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 Summary" sheetId="1" r:id="rId4"/>
    <sheet state="visible" name="Tracker" sheetId="2" r:id="rId5"/>
    <sheet state="visible" name="Export 2022" sheetId="3" r:id="rId6"/>
    <sheet state="visible" name="Volunteer Export 2022" sheetId="4" r:id="rId7"/>
    <sheet state="visible" name="Import 2022" sheetId="5" r:id="rId8"/>
    <sheet state="hidden" name="Warehouse Tracker" sheetId="6" r:id="rId9"/>
  </sheets>
  <definedNames>
    <definedName hidden="1" localSheetId="0" name="_xlnm._FilterDatabase">'2022 Summary'!$A$1:$F$1</definedName>
    <definedName hidden="1" localSheetId="1" name="_xlnm._FilterDatabase">Tracker!$A$1:$D$807</definedName>
    <definedName hidden="1" localSheetId="5" name="_xlnm._FilterDatabase">'Warehouse Tracker'!$A$1:$K$164</definedName>
    <definedName hidden="1" localSheetId="1" name="Z_E44C135C_E9BF_4D82_897C_104C646689B3_.wvu.FilterData">Tracker!$F$1:$I$807</definedName>
  </definedNames>
  <calcPr/>
  <customWorkbookViews>
    <customWorkbookView activeSheetId="0" maximized="1" windowHeight="0" windowWidth="0" guid="{E44C135C-E9BF-4D82-897C-104C646689B3}" name="Filter 1"/>
  </customWorkbookViews>
</workbook>
</file>

<file path=xl/sharedStrings.xml><?xml version="1.0" encoding="utf-8"?>
<sst xmlns="http://schemas.openxmlformats.org/spreadsheetml/2006/main" count="22547" uniqueCount="2402">
  <si>
    <t>2022 SUMMARY</t>
  </si>
  <si>
    <t>Export Year to Date:</t>
  </si>
  <si>
    <t>Import Year to Date:</t>
  </si>
  <si>
    <t>WAREHOUSE TOTAL</t>
  </si>
  <si>
    <t>Monthly Total:</t>
  </si>
  <si>
    <t>Monthly Imp Total:</t>
  </si>
  <si>
    <t>Goal</t>
  </si>
  <si>
    <t>How much left</t>
  </si>
  <si>
    <t>2021 Export Total</t>
  </si>
  <si>
    <t>2021 Import Total</t>
  </si>
  <si>
    <t>Month 2022</t>
  </si>
  <si>
    <t>Export total</t>
  </si>
  <si>
    <t>Volunteer Export</t>
  </si>
  <si>
    <t>Import Total</t>
  </si>
  <si>
    <t>Warehouse net</t>
  </si>
  <si>
    <t>Difference (Import-Export)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</si>
  <si>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</si>
  <si>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</si>
  <si>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</si>
  <si>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</si>
  <si>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</si>
  <si>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</si>
  <si>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</si>
  <si>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</si>
  <si>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</si>
  <si>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</si>
  <si>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</si>
  <si>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</si>
  <si>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Timestamp</t>
  </si>
  <si>
    <t>Name</t>
  </si>
  <si>
    <t>Weight of pallet (please only put numbers)</t>
  </si>
  <si>
    <t xml:space="preserve">What category of product </t>
  </si>
  <si>
    <t>(make all export negative values)</t>
  </si>
  <si>
    <t>Client or where the food is going?</t>
  </si>
  <si>
    <t>Rack number:</t>
  </si>
  <si>
    <t>Teia</t>
  </si>
  <si>
    <t>Dairy</t>
  </si>
  <si>
    <t>Young</t>
  </si>
  <si>
    <t>Meat</t>
  </si>
  <si>
    <t>EW</t>
  </si>
  <si>
    <t>Produce</t>
  </si>
  <si>
    <t>EWF</t>
  </si>
  <si>
    <t>Locstrobe</t>
  </si>
  <si>
    <t>Juice</t>
  </si>
  <si>
    <t>Loctrobe</t>
  </si>
  <si>
    <t>Coach</t>
  </si>
  <si>
    <t>Coach Dunkin</t>
  </si>
  <si>
    <t>Frozen</t>
  </si>
  <si>
    <t>We Our Us</t>
  </si>
  <si>
    <t xml:space="preserve">Ausar </t>
  </si>
  <si>
    <t>Janet Arce</t>
  </si>
  <si>
    <t>Emily wall foundation “ Mike”</t>
  </si>
  <si>
    <t xml:space="preserve">Emily wall foundation </t>
  </si>
  <si>
    <t>Water</t>
  </si>
  <si>
    <t>Volunteer water</t>
  </si>
  <si>
    <t>JC</t>
  </si>
  <si>
    <t>Mixed</t>
  </si>
  <si>
    <t>BCF - Partner</t>
  </si>
  <si>
    <t>Cleaning Supplies</t>
  </si>
  <si>
    <t>Meat/Personal Care</t>
  </si>
  <si>
    <t>Sunita</t>
  </si>
  <si>
    <t>Jelani Dula - Dated Food</t>
  </si>
  <si>
    <t>Home</t>
  </si>
  <si>
    <t>Ausar</t>
  </si>
  <si>
    <t>Assorted option</t>
  </si>
  <si>
    <t>Sandtown</t>
  </si>
  <si>
    <t xml:space="preserve">detergent </t>
  </si>
  <si>
    <t>Vincent Faulk</t>
  </si>
  <si>
    <t xml:space="preserve">Hygiene </t>
  </si>
  <si>
    <t>Assaur</t>
  </si>
  <si>
    <t>Mike Foy</t>
  </si>
  <si>
    <t>Lenora -  “Latrobe”</t>
  </si>
  <si>
    <t xml:space="preserve">Milk </t>
  </si>
  <si>
    <t xml:space="preserve">Bread </t>
  </si>
  <si>
    <t xml:space="preserve">Lenora </t>
  </si>
  <si>
    <t>BCF Curbside</t>
  </si>
  <si>
    <t>Snacks</t>
  </si>
  <si>
    <t xml:space="preserve">Cleaning </t>
  </si>
  <si>
    <t>Pet food</t>
  </si>
  <si>
    <t>Anna Nicosia</t>
  </si>
  <si>
    <t>Dry goods</t>
  </si>
  <si>
    <t xml:space="preserve">Young </t>
  </si>
  <si>
    <t xml:space="preserve">Personal care/baby </t>
  </si>
  <si>
    <t>International Animal Rescue City</t>
  </si>
  <si>
    <t>Jilleien Franquelli</t>
  </si>
  <si>
    <t xml:space="preserve">Meat, bread, snacks </t>
  </si>
  <si>
    <t xml:space="preserve">Love and lunches </t>
  </si>
  <si>
    <t xml:space="preserve">Drinks </t>
  </si>
  <si>
    <t>Mike F</t>
  </si>
  <si>
    <t>Mike f</t>
  </si>
  <si>
    <t>Meds</t>
  </si>
  <si>
    <t>Emily Stucke</t>
  </si>
  <si>
    <t>Emily</t>
  </si>
  <si>
    <t>Drinks</t>
  </si>
  <si>
    <t xml:space="preserve">Emily </t>
  </si>
  <si>
    <t>Bread</t>
  </si>
  <si>
    <t>Greenmount West</t>
  </si>
  <si>
    <t xml:space="preserve">Cleaning products </t>
  </si>
  <si>
    <t>Kevin</t>
  </si>
  <si>
    <t xml:space="preserve">Pet food </t>
  </si>
  <si>
    <t xml:space="preserve">Pastor young </t>
  </si>
  <si>
    <t>Pastor Young</t>
  </si>
  <si>
    <t xml:space="preserve">Health &amp; Beauty products </t>
  </si>
  <si>
    <t>Mike F.</t>
  </si>
  <si>
    <t xml:space="preserve">Mike F </t>
  </si>
  <si>
    <t>Mike foy</t>
  </si>
  <si>
    <t xml:space="preserve">Mike foy </t>
  </si>
  <si>
    <t xml:space="preserve">Hygiene &amp; produce </t>
  </si>
  <si>
    <t xml:space="preserve">Mixed items for lunches </t>
  </si>
  <si>
    <t xml:space="preserve">Love and Lunches </t>
  </si>
  <si>
    <t>Theresa Keil</t>
  </si>
  <si>
    <t>Theresa</t>
  </si>
  <si>
    <t>Clarice</t>
  </si>
  <si>
    <t xml:space="preserve">Cleaning supplies </t>
  </si>
  <si>
    <t>Cat Dog Food</t>
  </si>
  <si>
    <t>Soda</t>
  </si>
  <si>
    <t xml:space="preserve">Meds/cleaning </t>
  </si>
  <si>
    <t>Personal care</t>
  </si>
  <si>
    <t xml:space="preserve">Pampers </t>
  </si>
  <si>
    <t>January 2022 sum</t>
  </si>
  <si>
    <t>Sample</t>
  </si>
  <si>
    <t>Na</t>
  </si>
  <si>
    <t>Hannah Johnson</t>
  </si>
  <si>
    <t>Patterson Park Community Fridge</t>
  </si>
  <si>
    <t>Alexia Lilly</t>
  </si>
  <si>
    <t>Pet</t>
  </si>
  <si>
    <t>Adeola Sulaiman</t>
  </si>
  <si>
    <t xml:space="preserve">Jemila </t>
  </si>
  <si>
    <t xml:space="preserve">Mike </t>
  </si>
  <si>
    <t>Adriana Hill</t>
  </si>
  <si>
    <t xml:space="preserve">Eggs </t>
  </si>
  <si>
    <t>Lenora</t>
  </si>
  <si>
    <t xml:space="preserve">Adriana hill </t>
  </si>
  <si>
    <t>Mike</t>
  </si>
  <si>
    <t>Adriana hill</t>
  </si>
  <si>
    <t xml:space="preserve">Soda </t>
  </si>
  <si>
    <t xml:space="preserve">Fruit </t>
  </si>
  <si>
    <t>Eggs</t>
  </si>
  <si>
    <t>Pampers</t>
  </si>
  <si>
    <t>Kern</t>
  </si>
  <si>
    <t>Dog food</t>
  </si>
  <si>
    <t>Expired good</t>
  </si>
  <si>
    <t xml:space="preserve">Karen M. </t>
  </si>
  <si>
    <t>Gilmore Homes</t>
  </si>
  <si>
    <t xml:space="preserve">Anna Nicosia </t>
  </si>
  <si>
    <t xml:space="preserve">Pastor Young </t>
  </si>
  <si>
    <t xml:space="preserve">Baby items </t>
  </si>
  <si>
    <t>Lynnette cromer</t>
  </si>
  <si>
    <t>Personal</t>
  </si>
  <si>
    <t>Asaur</t>
  </si>
  <si>
    <t>L romer</t>
  </si>
  <si>
    <t>Soda (10)</t>
  </si>
  <si>
    <t xml:space="preserve">Church </t>
  </si>
  <si>
    <t>Hannah J</t>
  </si>
  <si>
    <t>Patterson Park Community Fridge &amp; Linwood Comm. Fridge</t>
  </si>
  <si>
    <t>Alexia</t>
  </si>
  <si>
    <t>Grains (rice, pasta, etc.)</t>
  </si>
  <si>
    <t>Milk</t>
  </si>
  <si>
    <t xml:space="preserve">Alexia </t>
  </si>
  <si>
    <t>Love and lunches</t>
  </si>
  <si>
    <t>Latrobe homes</t>
  </si>
  <si>
    <t>Sodas</t>
  </si>
  <si>
    <t>Latrobe homed</t>
  </si>
  <si>
    <t>Jean</t>
  </si>
  <si>
    <t>Labtrobe</t>
  </si>
  <si>
    <t>Morgan</t>
  </si>
  <si>
    <t>Jean I</t>
  </si>
  <si>
    <t>Seth Crawford</t>
  </si>
  <si>
    <t xml:space="preserve">Morgan </t>
  </si>
  <si>
    <t>Paper goods</t>
  </si>
  <si>
    <t>Pepsi</t>
  </si>
  <si>
    <t>Morgan State University</t>
  </si>
  <si>
    <t>Morgan State university</t>
  </si>
  <si>
    <t>Jc</t>
  </si>
  <si>
    <t>Mixed Drinks</t>
  </si>
  <si>
    <t>Paper Supplies</t>
  </si>
  <si>
    <t>JC - Common Market</t>
  </si>
  <si>
    <t>Karen</t>
  </si>
  <si>
    <t>Sara</t>
  </si>
  <si>
    <t xml:space="preserve">Pet Food </t>
  </si>
  <si>
    <t>Meat and chips</t>
  </si>
  <si>
    <t>Baby diapers/pampers</t>
  </si>
  <si>
    <t>Pastor. Young</t>
  </si>
  <si>
    <t>Pastor young</t>
  </si>
  <si>
    <t>Hygiene</t>
  </si>
  <si>
    <t>Vincent</t>
  </si>
  <si>
    <t>Gilmore homes</t>
  </si>
  <si>
    <t>Jean391</t>
  </si>
  <si>
    <t>Senior Mona</t>
  </si>
  <si>
    <t>Meat and frozen</t>
  </si>
  <si>
    <t>Ausaur</t>
  </si>
  <si>
    <t>Dorja</t>
  </si>
  <si>
    <t>Produce / Dairy</t>
  </si>
  <si>
    <t xml:space="preserve">Dorja </t>
  </si>
  <si>
    <t xml:space="preserve">Produce / Snacks </t>
  </si>
  <si>
    <t xml:space="preserve">Beverages </t>
  </si>
  <si>
    <t>Oblate Sisters</t>
  </si>
  <si>
    <t xml:space="preserve">Patterson Park Community Fridge, Linwood Community Fridge </t>
  </si>
  <si>
    <t>LaTrobe Hones</t>
  </si>
  <si>
    <t>Rilynn White</t>
  </si>
  <si>
    <t>Rilynn white</t>
  </si>
  <si>
    <t>Sydni Demby</t>
  </si>
  <si>
    <t>Love and Lunches</t>
  </si>
  <si>
    <t>Marci Yankelov</t>
  </si>
  <si>
    <t>pet food</t>
  </si>
  <si>
    <t>paper goods</t>
  </si>
  <si>
    <t>soda</t>
  </si>
  <si>
    <t xml:space="preserve">juice </t>
  </si>
  <si>
    <t>kern nacc</t>
  </si>
  <si>
    <t>cleaning</t>
  </si>
  <si>
    <t>Cereal</t>
  </si>
  <si>
    <t>Fruit</t>
  </si>
  <si>
    <t>Impact Hub</t>
  </si>
  <si>
    <t>Impact hub</t>
  </si>
  <si>
    <t>Monah</t>
  </si>
  <si>
    <t>Love &amp; lunches</t>
  </si>
  <si>
    <t>Latrobe</t>
  </si>
  <si>
    <t>Iyana Gross</t>
  </si>
  <si>
    <t>kern</t>
  </si>
  <si>
    <t>Women's Housing Coalition</t>
  </si>
  <si>
    <t>Taja Keitt</t>
  </si>
  <si>
    <t>kleenex</t>
  </si>
  <si>
    <t xml:space="preserve">deliveries </t>
  </si>
  <si>
    <t>sunita</t>
  </si>
  <si>
    <t xml:space="preserve">Marci Yankelov </t>
  </si>
  <si>
    <t>marci Yankelov</t>
  </si>
  <si>
    <t>personal care</t>
  </si>
  <si>
    <t xml:space="preserve">Shampoo </t>
  </si>
  <si>
    <t xml:space="preserve">Can goods </t>
  </si>
  <si>
    <t>Michael Foy</t>
  </si>
  <si>
    <t xml:space="preserve">Michael Foy </t>
  </si>
  <si>
    <t xml:space="preserve">Mixed </t>
  </si>
  <si>
    <t>Dairy/produce</t>
  </si>
  <si>
    <t>Sunita Pathik</t>
  </si>
  <si>
    <t>Delivery</t>
  </si>
  <si>
    <t>Expired</t>
  </si>
  <si>
    <t xml:space="preserve">Karen </t>
  </si>
  <si>
    <t xml:space="preserve">Kern </t>
  </si>
  <si>
    <t xml:space="preserve"> Ausar </t>
  </si>
  <si>
    <t>Canned goods</t>
  </si>
  <si>
    <t>Produce/dairy</t>
  </si>
  <si>
    <t>Assorted / expired</t>
  </si>
  <si>
    <t xml:space="preserve">Expired </t>
  </si>
  <si>
    <t>Patterson Park Comm Fridge &amp; Linwood Community Fridge</t>
  </si>
  <si>
    <t>GMW</t>
  </si>
  <si>
    <t>Morgan St university</t>
  </si>
  <si>
    <t>Aoda</t>
  </si>
  <si>
    <t>Mixed drinks</t>
  </si>
  <si>
    <t>Torey Wilkins</t>
  </si>
  <si>
    <t>Torey</t>
  </si>
  <si>
    <t>Torey Wikins</t>
  </si>
  <si>
    <t>Dog Food</t>
  </si>
  <si>
    <t>Torey W</t>
  </si>
  <si>
    <t>Panpers</t>
  </si>
  <si>
    <t>Ceral</t>
  </si>
  <si>
    <t xml:space="preserve">latrobe </t>
  </si>
  <si>
    <t xml:space="preserve">drinks </t>
  </si>
  <si>
    <t>latrobe</t>
  </si>
  <si>
    <t>Lunch meat, dairy</t>
  </si>
  <si>
    <t xml:space="preserve">Oil &amp; detergent </t>
  </si>
  <si>
    <t>Jack bellows</t>
  </si>
  <si>
    <t>Mel</t>
  </si>
  <si>
    <t xml:space="preserve">Cmarket </t>
  </si>
  <si>
    <t xml:space="preserve">Mel </t>
  </si>
  <si>
    <t>Bulbs</t>
  </si>
  <si>
    <t>Drink</t>
  </si>
  <si>
    <t>Torey W.</t>
  </si>
  <si>
    <t xml:space="preserve">Detergent </t>
  </si>
  <si>
    <t>Drinks/3-19-22</t>
  </si>
  <si>
    <t>Can Goods</t>
  </si>
  <si>
    <t>Patterson Park &amp; Linwood Community Fridge</t>
  </si>
  <si>
    <t>New Beginnings Center Church</t>
  </si>
  <si>
    <t xml:space="preserve">Munazza Abraham </t>
  </si>
  <si>
    <t>Assorted drinks and pads/poise</t>
  </si>
  <si>
    <t xml:space="preserve">Love &amp; lunches </t>
  </si>
  <si>
    <t xml:space="preserve">Kyla </t>
  </si>
  <si>
    <t>Kyla</t>
  </si>
  <si>
    <t xml:space="preserve">Nakia </t>
  </si>
  <si>
    <t>Nakia</t>
  </si>
  <si>
    <t>Pet Food</t>
  </si>
  <si>
    <t>KERN</t>
  </si>
  <si>
    <t>Pastor Young - 9 bins</t>
  </si>
  <si>
    <t>Condiments</t>
  </si>
  <si>
    <t>Spices</t>
  </si>
  <si>
    <t>Deborah claridy</t>
  </si>
  <si>
    <t xml:space="preserve">Deborah claridy </t>
  </si>
  <si>
    <t>Pastor Jenkins</t>
  </si>
  <si>
    <t>alexia</t>
  </si>
  <si>
    <t>Joanna</t>
  </si>
  <si>
    <t>Silk milk , produce</t>
  </si>
  <si>
    <t>Tissue paper dish soap</t>
  </si>
  <si>
    <t xml:space="preserve">Joanna </t>
  </si>
  <si>
    <t>CM</t>
  </si>
  <si>
    <t>Petfood</t>
  </si>
  <si>
    <t>Cleaning</t>
  </si>
  <si>
    <t>NBCC Karen</t>
  </si>
  <si>
    <t>Bcf curb</t>
  </si>
  <si>
    <t>Cleaning supplies</t>
  </si>
  <si>
    <t xml:space="preserve">Vincent </t>
  </si>
  <si>
    <t xml:space="preserve">Paper goods </t>
  </si>
  <si>
    <t>Dean Chien</t>
  </si>
  <si>
    <t>Ziploc Bags</t>
  </si>
  <si>
    <t>Torey E</t>
  </si>
  <si>
    <t>Pastor Young (2bins)</t>
  </si>
  <si>
    <t xml:space="preserve">Personal Care </t>
  </si>
  <si>
    <t>Produce&amp; personal care</t>
  </si>
  <si>
    <t xml:space="preserve">Mike Foyer </t>
  </si>
  <si>
    <t>Mike Foyer</t>
  </si>
  <si>
    <t>Produce and diary</t>
  </si>
  <si>
    <t>Storage bags</t>
  </si>
  <si>
    <t xml:space="preserve">Frozen meat </t>
  </si>
  <si>
    <t xml:space="preserve">Curbside </t>
  </si>
  <si>
    <t>Curbside</t>
  </si>
  <si>
    <t>Sugar</t>
  </si>
  <si>
    <t>Candy</t>
  </si>
  <si>
    <t xml:space="preserve">Condiments </t>
  </si>
  <si>
    <t>Spaghetti Sauce</t>
  </si>
  <si>
    <t>Can goods</t>
  </si>
  <si>
    <t xml:space="preserve">Sauce </t>
  </si>
  <si>
    <t xml:space="preserve">Candy </t>
  </si>
  <si>
    <t>Pasta</t>
  </si>
  <si>
    <t xml:space="preserve">Seasoning </t>
  </si>
  <si>
    <t>Jessica Lee</t>
  </si>
  <si>
    <t>Self</t>
  </si>
  <si>
    <t xml:space="preserve">Candy &amp; produce </t>
  </si>
  <si>
    <t>Potatos</t>
  </si>
  <si>
    <t>Norma Kriger</t>
  </si>
  <si>
    <t>Norma</t>
  </si>
  <si>
    <t>Crystal</t>
  </si>
  <si>
    <t>Notma</t>
  </si>
  <si>
    <t>Bread frozen</t>
  </si>
  <si>
    <t>Deborah Claridy</t>
  </si>
  <si>
    <t>Bags</t>
  </si>
  <si>
    <t>WHC</t>
  </si>
  <si>
    <t>Judy</t>
  </si>
  <si>
    <t xml:space="preserve">Seasonings </t>
  </si>
  <si>
    <t xml:space="preserve">Pasta sauce </t>
  </si>
  <si>
    <t>Sea food</t>
  </si>
  <si>
    <t>GG</t>
  </si>
  <si>
    <t>Frozen/meat</t>
  </si>
  <si>
    <t xml:space="preserve">Foy </t>
  </si>
  <si>
    <t>Foy</t>
  </si>
  <si>
    <t>Cailyn</t>
  </si>
  <si>
    <t xml:space="preserve">Latrobe </t>
  </si>
  <si>
    <t>Beth Torres</t>
  </si>
  <si>
    <t>Claire</t>
  </si>
  <si>
    <t xml:space="preserve">Spice’s </t>
  </si>
  <si>
    <t xml:space="preserve">Torey </t>
  </si>
  <si>
    <t>Personal  Care</t>
  </si>
  <si>
    <t>Hannah</t>
  </si>
  <si>
    <t>Patterson Park Comm Fridge</t>
  </si>
  <si>
    <t>Frozen/Dairy</t>
  </si>
  <si>
    <t>Product</t>
  </si>
  <si>
    <t>Meats</t>
  </si>
  <si>
    <t>Bread/meat</t>
  </si>
  <si>
    <t>Chenoa Martin</t>
  </si>
  <si>
    <t>Coppin</t>
  </si>
  <si>
    <t>Chenoa P Martin</t>
  </si>
  <si>
    <t>Coppin State</t>
  </si>
  <si>
    <t xml:space="preserve">Deborah Claridy’s </t>
  </si>
  <si>
    <t>Cleaning BCF return</t>
  </si>
  <si>
    <t xml:space="preserve">Deborah </t>
  </si>
  <si>
    <t>Snacks BCF return</t>
  </si>
  <si>
    <t>Veggie box BCF return</t>
  </si>
  <si>
    <t>Condiments BCF return</t>
  </si>
  <si>
    <t>Meat BCF return</t>
  </si>
  <si>
    <t xml:space="preserve">Juanita Chandler </t>
  </si>
  <si>
    <t>Frozen BCF return</t>
  </si>
  <si>
    <t>Dairy BCF return</t>
  </si>
  <si>
    <t>Drinks BCF return</t>
  </si>
  <si>
    <t>Juanita Chandler</t>
  </si>
  <si>
    <t>export- was in volunteer export</t>
  </si>
  <si>
    <t xml:space="preserve">Mike Foy </t>
  </si>
  <si>
    <t xml:space="preserve">Monahs elders </t>
  </si>
  <si>
    <t>Michell</t>
  </si>
  <si>
    <t>Rondell Robinson</t>
  </si>
  <si>
    <t xml:space="preserve">Cleaner’s </t>
  </si>
  <si>
    <t>Kitchen supplies</t>
  </si>
  <si>
    <t>Condiments &amp; Snacks</t>
  </si>
  <si>
    <t>Drinks soda</t>
  </si>
  <si>
    <t>Cleaning products</t>
  </si>
  <si>
    <t>We our us</t>
  </si>
  <si>
    <t>Janet</t>
  </si>
  <si>
    <t>mike Foy</t>
  </si>
  <si>
    <t xml:space="preserve">Lynnette </t>
  </si>
  <si>
    <t xml:space="preserve">Crystal </t>
  </si>
  <si>
    <t>Meat, dairy, frozen foods</t>
  </si>
  <si>
    <t xml:space="preserve">Paper products </t>
  </si>
  <si>
    <t>Toilet paper</t>
  </si>
  <si>
    <t xml:space="preserve">Personal care </t>
  </si>
  <si>
    <t>Expired food</t>
  </si>
  <si>
    <t>Paper products</t>
  </si>
  <si>
    <t xml:space="preserve">Patterson Park Community Fridge </t>
  </si>
  <si>
    <t>Snacks and bread</t>
  </si>
  <si>
    <t>Snacks and produce</t>
  </si>
  <si>
    <t>Produce and bread</t>
  </si>
  <si>
    <t>LAtrobe</t>
  </si>
  <si>
    <t>Tracee (Erskine)</t>
  </si>
  <si>
    <t>Erskine Moore</t>
  </si>
  <si>
    <t xml:space="preserve">Erskine Moore </t>
  </si>
  <si>
    <t>Latrobe home</t>
  </si>
  <si>
    <t>McCollouh Homes</t>
  </si>
  <si>
    <t>Pastor Mcmechan</t>
  </si>
  <si>
    <t>Clorox Products</t>
  </si>
  <si>
    <t>Pet Supplies</t>
  </si>
  <si>
    <t>Oxo</t>
  </si>
  <si>
    <t xml:space="preserve">Deborah Claridy </t>
  </si>
  <si>
    <t>OXO</t>
  </si>
  <si>
    <t xml:space="preserve">Medicine </t>
  </si>
  <si>
    <t>Mom Perry</t>
  </si>
  <si>
    <t xml:space="preserve">Snacks </t>
  </si>
  <si>
    <t>Zoe</t>
  </si>
  <si>
    <t>Frozen/Meats</t>
  </si>
  <si>
    <t>Thread</t>
  </si>
  <si>
    <t>Laronda</t>
  </si>
  <si>
    <t xml:space="preserve">Household </t>
  </si>
  <si>
    <t>Assortrd</t>
  </si>
  <si>
    <t>Assorted</t>
  </si>
  <si>
    <t xml:space="preserve">Housewares </t>
  </si>
  <si>
    <t>Paper</t>
  </si>
  <si>
    <t xml:space="preserve">Cereal / Milk </t>
  </si>
  <si>
    <t>Curbside return</t>
  </si>
  <si>
    <t>Lynnette C</t>
  </si>
  <si>
    <t>TOPP ministries</t>
  </si>
  <si>
    <t xml:space="preserve">Cereal </t>
  </si>
  <si>
    <t>young</t>
  </si>
  <si>
    <t>You g</t>
  </si>
  <si>
    <t>Assorted return</t>
  </si>
  <si>
    <t>Marion</t>
  </si>
  <si>
    <t>C/S</t>
  </si>
  <si>
    <t>Paper Products</t>
  </si>
  <si>
    <t>Mixed Fridge</t>
  </si>
  <si>
    <t>Food bags</t>
  </si>
  <si>
    <t>Douglas Homes</t>
  </si>
  <si>
    <t xml:space="preserve">Produce/frozen </t>
  </si>
  <si>
    <t>( lady shopping)</t>
  </si>
  <si>
    <t>Cat food cat littet</t>
  </si>
  <si>
    <t>Sheneil</t>
  </si>
  <si>
    <t>Broth</t>
  </si>
  <si>
    <t>Vinegar</t>
  </si>
  <si>
    <t>paper Products</t>
  </si>
  <si>
    <t>Chicken</t>
  </si>
  <si>
    <t>Shrimp</t>
  </si>
  <si>
    <t>Drinks &amp; oil</t>
  </si>
  <si>
    <t>Paper Towels</t>
  </si>
  <si>
    <t xml:space="preserve">Deodorant </t>
  </si>
  <si>
    <t>Wipes</t>
  </si>
  <si>
    <t>Canned food</t>
  </si>
  <si>
    <t>Charcoal</t>
  </si>
  <si>
    <t>XX</t>
  </si>
  <si>
    <t>Freezer truck</t>
  </si>
  <si>
    <t>F3</t>
  </si>
  <si>
    <t>Walk in</t>
  </si>
  <si>
    <t>B2</t>
  </si>
  <si>
    <t>B1</t>
  </si>
  <si>
    <t>Xx</t>
  </si>
  <si>
    <t>E3</t>
  </si>
  <si>
    <t xml:space="preserve">Pet supply </t>
  </si>
  <si>
    <t>I2</t>
  </si>
  <si>
    <t>F6</t>
  </si>
  <si>
    <t>H6</t>
  </si>
  <si>
    <t>E2</t>
  </si>
  <si>
    <t>I4</t>
  </si>
  <si>
    <t>Assorted/Unsorted</t>
  </si>
  <si>
    <t xml:space="preserve">Amazon </t>
  </si>
  <si>
    <t>Shampoo</t>
  </si>
  <si>
    <t xml:space="preserve">General </t>
  </si>
  <si>
    <t>Fridge</t>
  </si>
  <si>
    <t>New house church christ</t>
  </si>
  <si>
    <t>J2</t>
  </si>
  <si>
    <t>Pet supplies</t>
  </si>
  <si>
    <t>J5</t>
  </si>
  <si>
    <t>I3</t>
  </si>
  <si>
    <t>J6</t>
  </si>
  <si>
    <t>C5</t>
  </si>
  <si>
    <t>I6</t>
  </si>
  <si>
    <t>Baby products</t>
  </si>
  <si>
    <t>I1</t>
  </si>
  <si>
    <t>F2</t>
  </si>
  <si>
    <t>O5</t>
  </si>
  <si>
    <t>H1</t>
  </si>
  <si>
    <t>K4</t>
  </si>
  <si>
    <t xml:space="preserve">Baby products </t>
  </si>
  <si>
    <t>H2</t>
  </si>
  <si>
    <t xml:space="preserve">Meds &amp; mouthwash </t>
  </si>
  <si>
    <t xml:space="preserve">Flour </t>
  </si>
  <si>
    <t>Assort</t>
  </si>
  <si>
    <t>Malcom House</t>
  </si>
  <si>
    <t>Eze J</t>
  </si>
  <si>
    <t>Baltimore Cease Fire</t>
  </si>
  <si>
    <t>Paper Goods</t>
  </si>
  <si>
    <t>E4</t>
  </si>
  <si>
    <t>G6</t>
  </si>
  <si>
    <t>Clairr</t>
  </si>
  <si>
    <t>G3</t>
  </si>
  <si>
    <t>I5</t>
  </si>
  <si>
    <t>Tissue products</t>
  </si>
  <si>
    <t>G2</t>
  </si>
  <si>
    <t>Oil</t>
  </si>
  <si>
    <t>D6</t>
  </si>
  <si>
    <t xml:space="preserve">Ice cream </t>
  </si>
  <si>
    <t>Don</t>
  </si>
  <si>
    <t>D5</t>
  </si>
  <si>
    <t>C4</t>
  </si>
  <si>
    <t>k6</t>
  </si>
  <si>
    <t>Dee</t>
  </si>
  <si>
    <t>Trav</t>
  </si>
  <si>
    <t>Travs Fridge</t>
  </si>
  <si>
    <t>Volunteer area</t>
  </si>
  <si>
    <t>D2</t>
  </si>
  <si>
    <t>RE Harrington</t>
  </si>
  <si>
    <t>L1</t>
  </si>
  <si>
    <t>L4</t>
  </si>
  <si>
    <t>F5</t>
  </si>
  <si>
    <t>Assort box</t>
  </si>
  <si>
    <t>Cups/paper products</t>
  </si>
  <si>
    <t>X</t>
  </si>
  <si>
    <t>O2</t>
  </si>
  <si>
    <t>M2</t>
  </si>
  <si>
    <t>Ziploc</t>
  </si>
  <si>
    <t>P5</t>
  </si>
  <si>
    <t>B4</t>
  </si>
  <si>
    <t>D1</t>
  </si>
  <si>
    <t>C</t>
  </si>
  <si>
    <t>Baby Supplies</t>
  </si>
  <si>
    <t>Trash Bags</t>
  </si>
  <si>
    <t>E1</t>
  </si>
  <si>
    <t>G5</t>
  </si>
  <si>
    <t xml:space="preserve">Kaneesha </t>
  </si>
  <si>
    <t>Cleaning Products</t>
  </si>
  <si>
    <t>HI</t>
  </si>
  <si>
    <t xml:space="preserve">Paper Products </t>
  </si>
  <si>
    <t>Baby</t>
  </si>
  <si>
    <t>N/A</t>
  </si>
  <si>
    <t>Personal Care</t>
  </si>
  <si>
    <t>Baked</t>
  </si>
  <si>
    <t xml:space="preserve">Zoe </t>
  </si>
  <si>
    <t>Baby stuff</t>
  </si>
  <si>
    <t>Dish soap</t>
  </si>
  <si>
    <t>Feminine care</t>
  </si>
  <si>
    <t>Plates</t>
  </si>
  <si>
    <t>Monique - R.E. Harrington</t>
  </si>
  <si>
    <t>Produce/meat</t>
  </si>
  <si>
    <t xml:space="preserve">Pet </t>
  </si>
  <si>
    <t>Baby supplies</t>
  </si>
  <si>
    <t>J3</t>
  </si>
  <si>
    <t>J4</t>
  </si>
  <si>
    <t>A2</t>
  </si>
  <si>
    <t>Xx x</t>
  </si>
  <si>
    <t xml:space="preserve">Paper </t>
  </si>
  <si>
    <t xml:space="preserve">Protein powders </t>
  </si>
  <si>
    <t xml:space="preserve">Lynnette  </t>
  </si>
  <si>
    <t>Lynnette</t>
  </si>
  <si>
    <t>Alex</t>
  </si>
  <si>
    <t>Travis</t>
  </si>
  <si>
    <t>Travs</t>
  </si>
  <si>
    <t xml:space="preserve">Claire </t>
  </si>
  <si>
    <t>Assorted Boxes</t>
  </si>
  <si>
    <t>Assorted Bixes</t>
  </si>
  <si>
    <t xml:space="preserve">Fridge </t>
  </si>
  <si>
    <t xml:space="preserve">Plates </t>
  </si>
  <si>
    <t>Drinks&amp;cleaning</t>
  </si>
  <si>
    <t>Meat &amp; Frozen</t>
  </si>
  <si>
    <t>Travs fridge</t>
  </si>
  <si>
    <t>Cabbage</t>
  </si>
  <si>
    <t>Grapes</t>
  </si>
  <si>
    <t xml:space="preserve"> xx</t>
  </si>
  <si>
    <t>Clothes</t>
  </si>
  <si>
    <t>Cx</t>
  </si>
  <si>
    <t>CX</t>
  </si>
  <si>
    <t>Assort mix</t>
  </si>
  <si>
    <t>Dairy &amp; Meat</t>
  </si>
  <si>
    <t>Chips</t>
  </si>
  <si>
    <t>Assort/mix</t>
  </si>
  <si>
    <t>Trqvis</t>
  </si>
  <si>
    <t>Shoes</t>
  </si>
  <si>
    <t>Sunita pathik</t>
  </si>
  <si>
    <t>Trash bags</t>
  </si>
  <si>
    <t>T5</t>
  </si>
  <si>
    <t>Produce bags</t>
  </si>
  <si>
    <t xml:space="preserve">Underwear </t>
  </si>
  <si>
    <t>Assorted dry</t>
  </si>
  <si>
    <t>Drinks [dry]</t>
  </si>
  <si>
    <t>Dairy/eggs</t>
  </si>
  <si>
    <t>Drinks [fridge]</t>
  </si>
  <si>
    <t>Assorted Dry</t>
  </si>
  <si>
    <t>Drinks [Dry]</t>
  </si>
  <si>
    <t>Assorted Fridge</t>
  </si>
  <si>
    <t>Household</t>
  </si>
  <si>
    <t>McCollouh Homes [Coach Dunkin]</t>
  </si>
  <si>
    <t>xx</t>
  </si>
  <si>
    <t xml:space="preserve">Sunita pathik </t>
  </si>
  <si>
    <t>Drinks [Fridge]</t>
  </si>
  <si>
    <t>Meat [Raw]</t>
  </si>
  <si>
    <t>H3</t>
  </si>
  <si>
    <t>C3</t>
  </si>
  <si>
    <t>Opey</t>
  </si>
  <si>
    <t xml:space="preserve">Sheneil Black </t>
  </si>
  <si>
    <t>Mike Foy [Emily Wall]</t>
  </si>
  <si>
    <t xml:space="preserve">Sheneil </t>
  </si>
  <si>
    <t xml:space="preserve">XX </t>
  </si>
  <si>
    <t>Toys</t>
  </si>
  <si>
    <t>Frozen [Not Meat]</t>
  </si>
  <si>
    <t>STEAM toys</t>
  </si>
  <si>
    <t>Morgan State</t>
  </si>
  <si>
    <t>Morgan state</t>
  </si>
  <si>
    <t xml:space="preserve">STEAM toys </t>
  </si>
  <si>
    <t>Canned Goods</t>
  </si>
  <si>
    <t xml:space="preserve">Lynnette c </t>
  </si>
  <si>
    <t>Church</t>
  </si>
  <si>
    <t>All</t>
  </si>
  <si>
    <t>Opeyemi</t>
  </si>
  <si>
    <t xml:space="preserve">Opey </t>
  </si>
  <si>
    <t xml:space="preserve">Assorted dry and fridge </t>
  </si>
  <si>
    <t>Beverly Pinn</t>
  </si>
  <si>
    <t>Manifested Glory Worship Center</t>
  </si>
  <si>
    <t>Childrens guild</t>
  </si>
  <si>
    <t>Jean/Children's Guild</t>
  </si>
  <si>
    <t>Sheneil Black</t>
  </si>
  <si>
    <t>Drinks and snacks</t>
  </si>
  <si>
    <t>Sheneil and Aziza exam</t>
  </si>
  <si>
    <t>Snacks and  toys</t>
  </si>
  <si>
    <t>Dallas nicholas sr. Ele</t>
  </si>
  <si>
    <t>Toys &amp; Snacks</t>
  </si>
  <si>
    <t>Rem Fest</t>
  </si>
  <si>
    <t>Nate Tatum Center</t>
  </si>
  <si>
    <t>McCollouh Homes [Coach]</t>
  </si>
  <si>
    <t>Jean Yahudah</t>
  </si>
  <si>
    <t>STEAM Toys</t>
  </si>
  <si>
    <t>Cecil Elementary</t>
  </si>
  <si>
    <t xml:space="preserve">Linda Arc </t>
  </si>
  <si>
    <t>Ladaisha Thompson</t>
  </si>
  <si>
    <t>Medicine</t>
  </si>
  <si>
    <t>Cecil</t>
  </si>
  <si>
    <t>Hand sanitizer</t>
  </si>
  <si>
    <t>Hum Toothbrush</t>
  </si>
  <si>
    <t>Sauces</t>
  </si>
  <si>
    <t>Lynnette c</t>
  </si>
  <si>
    <t xml:space="preserve">Potatoes </t>
  </si>
  <si>
    <t>Water bottle</t>
  </si>
  <si>
    <t>Volunteer Church</t>
  </si>
  <si>
    <t>N/a</t>
  </si>
  <si>
    <t>Corner Rock Ministries (Pastor James)</t>
  </si>
  <si>
    <t>Crystal [Kingdom Worship Center]</t>
  </si>
  <si>
    <t>Perry</t>
  </si>
  <si>
    <t>-</t>
  </si>
  <si>
    <t xml:space="preserve">Hand sanitizer </t>
  </si>
  <si>
    <t>Michael Thompson [Board of Election]</t>
  </si>
  <si>
    <t>Raheem [Manna House]</t>
  </si>
  <si>
    <t>David [Rec &amp; Park]</t>
  </si>
  <si>
    <t>Her Loving Hands</t>
  </si>
  <si>
    <t xml:space="preserve">Fruit cups </t>
  </si>
  <si>
    <t xml:space="preserve">Her Loving Hands </t>
  </si>
  <si>
    <t>Boxes</t>
  </si>
  <si>
    <t>Boys &amp; Girls club</t>
  </si>
  <si>
    <t xml:space="preserve">Boys &amp; Girls club </t>
  </si>
  <si>
    <t>Fruit cups</t>
  </si>
  <si>
    <t>Freezer</t>
  </si>
  <si>
    <t>Chris</t>
  </si>
  <si>
    <t>J.C.</t>
  </si>
  <si>
    <t>Perry Faulk</t>
  </si>
  <si>
    <t>Beverly</t>
  </si>
  <si>
    <t xml:space="preserve">Assorted </t>
  </si>
  <si>
    <t>Dole</t>
  </si>
  <si>
    <t>Vegetables</t>
  </si>
  <si>
    <t>Dole fruit cups</t>
  </si>
  <si>
    <t>David McNair rec &amp; park cecil</t>
  </si>
  <si>
    <t>Perry faulk</t>
  </si>
  <si>
    <t>Cecil  Rec</t>
  </si>
  <si>
    <t>Cecil Rec</t>
  </si>
  <si>
    <t>Water bottles</t>
  </si>
  <si>
    <t xml:space="preserve">Dole fruit cup </t>
  </si>
  <si>
    <t xml:space="preserve">Opeyemi Faleye </t>
  </si>
  <si>
    <t>Lynnette aunt</t>
  </si>
  <si>
    <t>Dole Fruit Cup</t>
  </si>
  <si>
    <t xml:space="preserve">Dole Fruit Cup </t>
  </si>
  <si>
    <t>Nate Tatum center</t>
  </si>
  <si>
    <t>Dole fruit cup</t>
  </si>
  <si>
    <t>Penn North Recovery centre</t>
  </si>
  <si>
    <t>Bertille</t>
  </si>
  <si>
    <t xml:space="preserve">xx </t>
  </si>
  <si>
    <t>BCF (not curbside)</t>
  </si>
  <si>
    <t>Freezer Truck</t>
  </si>
  <si>
    <t xml:space="preserve">Opeyemi </t>
  </si>
  <si>
    <t>Health &amp; Beauty Products</t>
  </si>
  <si>
    <t xml:space="preserve">Cecil elementary </t>
  </si>
  <si>
    <t>Children's Guild/ jean</t>
  </si>
  <si>
    <t>Fruit Cup Dole</t>
  </si>
  <si>
    <t>B-Gaddy</t>
  </si>
  <si>
    <t>Hand Sanizer</t>
  </si>
  <si>
    <t xml:space="preserve">JUANITA Chandler </t>
  </si>
  <si>
    <t xml:space="preserve">Dole fruit Cup </t>
  </si>
  <si>
    <t>K5</t>
  </si>
  <si>
    <t>T&amp;T</t>
  </si>
  <si>
    <t>Linda Ares</t>
  </si>
  <si>
    <t>DW</t>
  </si>
  <si>
    <t>Mix</t>
  </si>
  <si>
    <t>COAT 🧥</t>
  </si>
  <si>
    <t>Coats Gloves</t>
  </si>
  <si>
    <t xml:space="preserve">COATS </t>
  </si>
  <si>
    <t>Dole Cup</t>
  </si>
  <si>
    <t>Gloves</t>
  </si>
  <si>
    <t>Produce &amp; Drinks</t>
  </si>
  <si>
    <t xml:space="preserve">Dole </t>
  </si>
  <si>
    <t>Ms Jackee</t>
  </si>
  <si>
    <t>Shopping</t>
  </si>
  <si>
    <t>Dole&amp; Mix</t>
  </si>
  <si>
    <t>Dole &amp; Mix</t>
  </si>
  <si>
    <t>Bernadette Grimes</t>
  </si>
  <si>
    <t>PERRY</t>
  </si>
  <si>
    <t>NA</t>
  </si>
  <si>
    <t>🎁 Gift</t>
  </si>
  <si>
    <t>Gift</t>
  </si>
  <si>
    <t xml:space="preserve">Nicolle diaz </t>
  </si>
  <si>
    <t>Nicolle diaz</t>
  </si>
  <si>
    <t xml:space="preserve">Nicolle Diaz </t>
  </si>
  <si>
    <t xml:space="preserve">Box gift </t>
  </si>
  <si>
    <t xml:space="preserve">Gift Box </t>
  </si>
  <si>
    <t xml:space="preserve">Frozen and assorted </t>
  </si>
  <si>
    <t>Linda</t>
  </si>
  <si>
    <t>Kids Tomorrow Hello</t>
  </si>
  <si>
    <t>Dole fruitcups</t>
  </si>
  <si>
    <t>Nate tatem Center</t>
  </si>
  <si>
    <t xml:space="preserve">Life Bridge </t>
  </si>
  <si>
    <t xml:space="preserve">Assorted item  BOXES </t>
  </si>
  <si>
    <t xml:space="preserve">Assorted item BOXES </t>
  </si>
  <si>
    <t xml:space="preserve">Life Bridge BOXES </t>
  </si>
  <si>
    <t xml:space="preserve">DOLE Fruit Cup </t>
  </si>
  <si>
    <t xml:space="preserve">Boys and Girl club </t>
  </si>
  <si>
    <t>Boys and GIRL Club</t>
  </si>
  <si>
    <t xml:space="preserve">Linden Park Apartments </t>
  </si>
  <si>
    <t>Gift Boxes</t>
  </si>
  <si>
    <t xml:space="preserve">Dog food Cat Litter </t>
  </si>
  <si>
    <t xml:space="preserve">Kiss Tomorrow </t>
  </si>
  <si>
    <t>Mix items</t>
  </si>
  <si>
    <t>Woodcrest HIV/AIDS Facility</t>
  </si>
  <si>
    <t>Brody (truck)</t>
  </si>
  <si>
    <t>So what Else Can We DO</t>
  </si>
  <si>
    <t>So What Else Can We Do</t>
  </si>
  <si>
    <t xml:space="preserve">So What Else Can We DO </t>
  </si>
  <si>
    <t xml:space="preserve">Dole  Fruit Cup </t>
  </si>
  <si>
    <t xml:space="preserve">So What Else Can We Do </t>
  </si>
  <si>
    <t>What Else can We DO</t>
  </si>
  <si>
    <t xml:space="preserve">  So What Else can We DO </t>
  </si>
  <si>
    <t>Gifts</t>
  </si>
  <si>
    <t>Drinks (fridge)</t>
  </si>
  <si>
    <t>So what else</t>
  </si>
  <si>
    <t xml:space="preserve">PERRY </t>
  </si>
  <si>
    <t>Pastry</t>
  </si>
  <si>
    <t xml:space="preserve">Nicolle </t>
  </si>
  <si>
    <t xml:space="preserve">Juy Chandler </t>
  </si>
  <si>
    <t>Weight (#s only!)</t>
  </si>
  <si>
    <t>What category of food?</t>
  </si>
  <si>
    <t>Derek O’Neill</t>
  </si>
  <si>
    <t>Christie Macdonald</t>
  </si>
  <si>
    <t>Sarah Jacklin</t>
  </si>
  <si>
    <t>Darcenia McDowell</t>
  </si>
  <si>
    <t>Guest</t>
  </si>
  <si>
    <t>Sherry</t>
  </si>
  <si>
    <t>Amanda wall</t>
  </si>
  <si>
    <t>Luke mayhew</t>
  </si>
  <si>
    <t>Chris Temoche</t>
  </si>
  <si>
    <t>Robin redding</t>
  </si>
  <si>
    <t>Steve theodoropolis</t>
  </si>
  <si>
    <t>Yates Godfrey</t>
  </si>
  <si>
    <t>Joe Doyle</t>
  </si>
  <si>
    <t>Charlene Rock-Foster</t>
  </si>
  <si>
    <t>Annie</t>
  </si>
  <si>
    <t>Joannabplasencia</t>
  </si>
  <si>
    <t>Cori Davis</t>
  </si>
  <si>
    <t>Christian</t>
  </si>
  <si>
    <t>Michelle collins</t>
  </si>
  <si>
    <t>Arien Young</t>
  </si>
  <si>
    <t xml:space="preserve">Tyshawn McGee </t>
  </si>
  <si>
    <t>Neetika Rastogi</t>
  </si>
  <si>
    <t>Akeera</t>
  </si>
  <si>
    <t>Gillian Mbambo</t>
  </si>
  <si>
    <t>Nathaniel McClean</t>
  </si>
  <si>
    <t xml:space="preserve">Aziza Frank </t>
  </si>
  <si>
    <t>Akeera Savadge</t>
  </si>
  <si>
    <t>Patrick Storck</t>
  </si>
  <si>
    <t>Ladan Savar</t>
  </si>
  <si>
    <t>Kristen Dreaper</t>
  </si>
  <si>
    <t>Molly cohen</t>
  </si>
  <si>
    <t>Luke</t>
  </si>
  <si>
    <t>Sarah</t>
  </si>
  <si>
    <t>Camille</t>
  </si>
  <si>
    <t>Amanda Wall</t>
  </si>
  <si>
    <t xml:space="preserve">Joe Doyle </t>
  </si>
  <si>
    <t>Ayanna</t>
  </si>
  <si>
    <t xml:space="preserve">Benjamin Matthews </t>
  </si>
  <si>
    <t>Garrett</t>
  </si>
  <si>
    <t>JC (Greenmount West)</t>
  </si>
  <si>
    <t>Gray</t>
  </si>
  <si>
    <t>Jalen</t>
  </si>
  <si>
    <t>Sara B</t>
  </si>
  <si>
    <t xml:space="preserve">Zellita </t>
  </si>
  <si>
    <t>Ladan</t>
  </si>
  <si>
    <t xml:space="preserve">Hannah Johnson </t>
  </si>
  <si>
    <t>Nathaniel</t>
  </si>
  <si>
    <t xml:space="preserve">Aziza </t>
  </si>
  <si>
    <t>Angelica Temoche</t>
  </si>
  <si>
    <t>Doeja</t>
  </si>
  <si>
    <t>Michelle Collins</t>
  </si>
  <si>
    <t xml:space="preserve">Maddie Pardes </t>
  </si>
  <si>
    <t xml:space="preserve">Mabel </t>
  </si>
  <si>
    <t>Edna</t>
  </si>
  <si>
    <t>Christopher Temoche</t>
  </si>
  <si>
    <t>Robin</t>
  </si>
  <si>
    <t>Inez</t>
  </si>
  <si>
    <t xml:space="preserve">Benjamin R Matthews </t>
  </si>
  <si>
    <t>Derek and Joanna</t>
  </si>
  <si>
    <t>JC - Curbside Drinks</t>
  </si>
  <si>
    <t>Jamison Murphy</t>
  </si>
  <si>
    <t xml:space="preserve">Derek </t>
  </si>
  <si>
    <t>Kristen, madeline, emily</t>
  </si>
  <si>
    <t>Mabel couser</t>
  </si>
  <si>
    <t>Virginia frazier</t>
  </si>
  <si>
    <t xml:space="preserve">Maddie </t>
  </si>
  <si>
    <t>Steve T.</t>
  </si>
  <si>
    <t>Kay Fenton</t>
  </si>
  <si>
    <t>Maddie Pardes</t>
  </si>
  <si>
    <t>Ginny</t>
  </si>
  <si>
    <t>Mabel</t>
  </si>
  <si>
    <t xml:space="preserve">Luke mayhew </t>
  </si>
  <si>
    <t>aziza</t>
  </si>
  <si>
    <t>Marsha</t>
  </si>
  <si>
    <t xml:space="preserve">tyler marshall </t>
  </si>
  <si>
    <t xml:space="preserve">jalen marshall </t>
  </si>
  <si>
    <t xml:space="preserve">Ayanna </t>
  </si>
  <si>
    <t xml:space="preserve">Zellita R Perry </t>
  </si>
  <si>
    <t xml:space="preserve">Monah </t>
  </si>
  <si>
    <t xml:space="preserve">Jean spoiled </t>
  </si>
  <si>
    <t>Monah spoiled</t>
  </si>
  <si>
    <t>Qweisi Knox</t>
  </si>
  <si>
    <t>Cabria Perry</t>
  </si>
  <si>
    <t xml:space="preserve">Qweisi Knox </t>
  </si>
  <si>
    <t>Zellita</t>
  </si>
  <si>
    <t>bonus</t>
  </si>
  <si>
    <t>Ana Tantaros</t>
  </si>
  <si>
    <t>Skylar Ross</t>
  </si>
  <si>
    <t>Cabria</t>
  </si>
  <si>
    <t>Lynwood McDaniel</t>
  </si>
  <si>
    <t>Jean spoil spoil</t>
  </si>
  <si>
    <t xml:space="preserve">Angelica Temoche </t>
  </si>
  <si>
    <t xml:space="preserve">Kim </t>
  </si>
  <si>
    <t>Carl</t>
  </si>
  <si>
    <t>Kim</t>
  </si>
  <si>
    <t xml:space="preserve">AziZa </t>
  </si>
  <si>
    <t>fruit, cat litter, laundry soap, dish washer pods, milk, tea</t>
  </si>
  <si>
    <t>25 bonus</t>
  </si>
  <si>
    <t xml:space="preserve">Cabria </t>
  </si>
  <si>
    <t>Aya Dixon</t>
  </si>
  <si>
    <t>Chris Heyward</t>
  </si>
  <si>
    <t>Lisa Gaston</t>
  </si>
  <si>
    <t>Crissy</t>
  </si>
  <si>
    <t>Lynnwood McDaniel</t>
  </si>
  <si>
    <t>Jean. Out dated</t>
  </si>
  <si>
    <t>Inez outdated</t>
  </si>
  <si>
    <t>Inezk</t>
  </si>
  <si>
    <t>Joanna plasencia</t>
  </si>
  <si>
    <t>Ryan Murphy</t>
  </si>
  <si>
    <t>Emily Engelbrecht-Wiggans</t>
  </si>
  <si>
    <t>Maya Mundell</t>
  </si>
  <si>
    <t>Shelley</t>
  </si>
  <si>
    <t>jquan wall</t>
  </si>
  <si>
    <t>11 bonus</t>
  </si>
  <si>
    <t xml:space="preserve">LARONDA </t>
  </si>
  <si>
    <t>Linwood</t>
  </si>
  <si>
    <t>Lisa Gaskins</t>
  </si>
  <si>
    <t>Chris T</t>
  </si>
  <si>
    <t xml:space="preserve">Ausars Malcom house guest </t>
  </si>
  <si>
    <t xml:space="preserve">Marsha </t>
  </si>
  <si>
    <t>34 lbs</t>
  </si>
  <si>
    <t xml:space="preserve">Maya </t>
  </si>
  <si>
    <t xml:space="preserve">Nathaniel </t>
  </si>
  <si>
    <t xml:space="preserve">Ayanna Williams </t>
  </si>
  <si>
    <t>Aarion Romany</t>
  </si>
  <si>
    <t>milk, fruit, oil, eggs, pasta, spinach, yogurt</t>
  </si>
  <si>
    <t>Sabrina Chamblee</t>
  </si>
  <si>
    <t>31lb</t>
  </si>
  <si>
    <t>11 food, 19 kitty litter</t>
  </si>
  <si>
    <t xml:space="preserve">Elizabeth </t>
  </si>
  <si>
    <t>Ana</t>
  </si>
  <si>
    <t>Sabrina</t>
  </si>
  <si>
    <t xml:space="preserve">Karen Moore </t>
  </si>
  <si>
    <t>Norma kriger</t>
  </si>
  <si>
    <t xml:space="preserve">1lb -make up remover </t>
  </si>
  <si>
    <t>Tysheek Battle</t>
  </si>
  <si>
    <t>Jorja</t>
  </si>
  <si>
    <t>expired</t>
  </si>
  <si>
    <t>Karen Moore</t>
  </si>
  <si>
    <t>Ryan</t>
  </si>
  <si>
    <t>Melvin</t>
  </si>
  <si>
    <t>Kathy Hodges</t>
  </si>
  <si>
    <t>Crissy Vines</t>
  </si>
  <si>
    <t>Aziza</t>
  </si>
  <si>
    <t xml:space="preserve">44- fruits, vegetables, milk, juice, chips </t>
  </si>
  <si>
    <t xml:space="preserve">Gillian Mbambo </t>
  </si>
  <si>
    <t xml:space="preserve">Chris </t>
  </si>
  <si>
    <t>Madeline Pardes</t>
  </si>
  <si>
    <t xml:space="preserve">Lusa Gaskins </t>
  </si>
  <si>
    <t xml:space="preserve">Laronda </t>
  </si>
  <si>
    <t>5lbs- dish washer stuff, lotion, shaving cream</t>
  </si>
  <si>
    <t>Hong</t>
  </si>
  <si>
    <t xml:space="preserve">Derek ONeill </t>
  </si>
  <si>
    <t xml:space="preserve">Thomas Aloisi </t>
  </si>
  <si>
    <t xml:space="preserve">Lisa Gaskins </t>
  </si>
  <si>
    <t>Kenadi Williams</t>
  </si>
  <si>
    <t xml:space="preserve">Aarion Romany </t>
  </si>
  <si>
    <t>Jamison</t>
  </si>
  <si>
    <t xml:space="preserve">39- vegetables, juice, bread, trash bags </t>
  </si>
  <si>
    <t>Brandon Clark</t>
  </si>
  <si>
    <t>Shelley Bonus</t>
  </si>
  <si>
    <t>Marci - Community Fridge</t>
  </si>
  <si>
    <t xml:space="preserve">Homeless </t>
  </si>
  <si>
    <t xml:space="preserve"> First Fruits Farm.  -corn </t>
  </si>
  <si>
    <t xml:space="preserve">15 - vegetables &amp; stuff for homeless lady </t>
  </si>
  <si>
    <t xml:space="preserve">Sara </t>
  </si>
  <si>
    <t>Brandon clark</t>
  </si>
  <si>
    <t xml:space="preserve">Crystal Shaw </t>
  </si>
  <si>
    <t xml:space="preserve">86 - home restock </t>
  </si>
  <si>
    <t>Jan Kleinman</t>
  </si>
  <si>
    <t>6 lbs expired food</t>
  </si>
  <si>
    <t>Jean38</t>
  </si>
  <si>
    <t xml:space="preserve">Patrick Spencer </t>
  </si>
  <si>
    <t>Christiona Harris</t>
  </si>
  <si>
    <t xml:space="preserve">Hong </t>
  </si>
  <si>
    <t>Sarah compost</t>
  </si>
  <si>
    <t>Angelica</t>
  </si>
  <si>
    <t xml:space="preserve">Ryan Murphy </t>
  </si>
  <si>
    <t>Jean outdated</t>
  </si>
  <si>
    <t>Chris T. + Dog Food</t>
  </si>
  <si>
    <t>Tyler</t>
  </si>
  <si>
    <t xml:space="preserve">2 - juice box/soda </t>
  </si>
  <si>
    <t>Christopher</t>
  </si>
  <si>
    <t>Hannah J -</t>
  </si>
  <si>
    <t>Dorja / Marcy</t>
  </si>
  <si>
    <t>Ainez</t>
  </si>
  <si>
    <t xml:space="preserve">Hannah J </t>
  </si>
  <si>
    <t>Ariadne S-B</t>
  </si>
  <si>
    <t>Maddie</t>
  </si>
  <si>
    <t>Laronda Johnson</t>
  </si>
  <si>
    <t>Maritza</t>
  </si>
  <si>
    <t>Ho ng</t>
  </si>
  <si>
    <t>Ariadne</t>
  </si>
  <si>
    <t>Brandon</t>
  </si>
  <si>
    <t>3 lbs</t>
  </si>
  <si>
    <t>5 lb</t>
  </si>
  <si>
    <t>Hung</t>
  </si>
  <si>
    <t>33 lbs</t>
  </si>
  <si>
    <t>Judy Freeman</t>
  </si>
  <si>
    <t xml:space="preserve">12 - damaged goods </t>
  </si>
  <si>
    <t xml:space="preserve">18 - expired </t>
  </si>
  <si>
    <t>Inez outdated 17</t>
  </si>
  <si>
    <t>Jean oitdated</t>
  </si>
  <si>
    <t>Beatrice outdated</t>
  </si>
  <si>
    <t>Beatrice</t>
  </si>
  <si>
    <t>Dorja Marshall</t>
  </si>
  <si>
    <t xml:space="preserve">1 - expired </t>
  </si>
  <si>
    <t>Danielle Harvin</t>
  </si>
  <si>
    <t>Inez - outdated</t>
  </si>
  <si>
    <t xml:space="preserve">Jean </t>
  </si>
  <si>
    <t>Jean - outdated</t>
  </si>
  <si>
    <t>Juanita - outdated</t>
  </si>
  <si>
    <t>Juanita - senior citizen kirkwood building</t>
  </si>
  <si>
    <t xml:space="preserve">Norma </t>
  </si>
  <si>
    <t>Hong - some outdated stuff</t>
  </si>
  <si>
    <t>Ariadne - outdated</t>
  </si>
  <si>
    <t xml:space="preserve">Ariadne - half going to  Patterson Park community fridge </t>
  </si>
  <si>
    <t>Cynthia Powell</t>
  </si>
  <si>
    <t>Elaineda Wilson</t>
  </si>
  <si>
    <t>Juanita chandler</t>
  </si>
  <si>
    <t>Joanna p</t>
  </si>
  <si>
    <t>Jack Bellows</t>
  </si>
  <si>
    <t xml:space="preserve">Cynthia </t>
  </si>
  <si>
    <t>Mark</t>
  </si>
  <si>
    <t xml:space="preserve">Helen </t>
  </si>
  <si>
    <t>Dinise</t>
  </si>
  <si>
    <t xml:space="preserve">Jalen </t>
  </si>
  <si>
    <t>Kaneesha Bailey</t>
  </si>
  <si>
    <t>19.7 pounds</t>
  </si>
  <si>
    <t>Evan El-Halawani</t>
  </si>
  <si>
    <t>Troi Jackson</t>
  </si>
  <si>
    <t>28 lbs</t>
  </si>
  <si>
    <t xml:space="preserve">26 - expired </t>
  </si>
  <si>
    <t xml:space="preserve">56 expired </t>
  </si>
  <si>
    <t>15 lbs</t>
  </si>
  <si>
    <t xml:space="preserve">2 - paper towels </t>
  </si>
  <si>
    <t>Vimco</t>
  </si>
  <si>
    <t>Inez outdates</t>
  </si>
  <si>
    <t xml:space="preserve">Monah outdated </t>
  </si>
  <si>
    <t>Gene outdated</t>
  </si>
  <si>
    <t>Gene</t>
  </si>
  <si>
    <t>Kaneesha outdate</t>
  </si>
  <si>
    <t>Kaneesha</t>
  </si>
  <si>
    <t>Ms.Bea outdated</t>
  </si>
  <si>
    <t xml:space="preserve">6 - expired </t>
  </si>
  <si>
    <t>7 - expired goods</t>
  </si>
  <si>
    <t>18 lbs</t>
  </si>
  <si>
    <t xml:space="preserve">9 lbs </t>
  </si>
  <si>
    <t>Hong Xue</t>
  </si>
  <si>
    <t>3lb 4oz</t>
  </si>
  <si>
    <t>Elaineda</t>
  </si>
  <si>
    <t>4.9lbs</t>
  </si>
  <si>
    <t xml:space="preserve">Joanna plasencia </t>
  </si>
  <si>
    <t xml:space="preserve">Juanita </t>
  </si>
  <si>
    <t>Crystal Ornduff</t>
  </si>
  <si>
    <t xml:space="preserve">Jan Kleinman </t>
  </si>
  <si>
    <t>6 lbs</t>
  </si>
  <si>
    <t>Jean outdated thx⁰</t>
  </si>
  <si>
    <t>Linda Tate</t>
  </si>
  <si>
    <t>20 lbs</t>
  </si>
  <si>
    <t>12 lbs</t>
  </si>
  <si>
    <t>16bs</t>
  </si>
  <si>
    <t xml:space="preserve">8 - expired </t>
  </si>
  <si>
    <t>25 expired</t>
  </si>
  <si>
    <t>39 tegular</t>
  </si>
  <si>
    <t>30 excess</t>
  </si>
  <si>
    <t>28 regular</t>
  </si>
  <si>
    <t>Wuanita</t>
  </si>
  <si>
    <t>33 donation Kirkwood seniors</t>
  </si>
  <si>
    <t>15 regular</t>
  </si>
  <si>
    <t>17 regular</t>
  </si>
  <si>
    <t>40 Out of date for Shelley</t>
  </si>
  <si>
    <t>18 for Shelley</t>
  </si>
  <si>
    <t>5lbs</t>
  </si>
  <si>
    <t>5 lbs expired</t>
  </si>
  <si>
    <t>13lbs</t>
  </si>
  <si>
    <t>Expired 13 lbs</t>
  </si>
  <si>
    <t xml:space="preserve">12 - expired </t>
  </si>
  <si>
    <t xml:space="preserve">Gillian </t>
  </si>
  <si>
    <t xml:space="preserve">2 - olives &amp; rice </t>
  </si>
  <si>
    <t>44 dated</t>
  </si>
  <si>
    <t>Gillian</t>
  </si>
  <si>
    <t>15 (dated)</t>
  </si>
  <si>
    <t xml:space="preserve"> Vincent </t>
  </si>
  <si>
    <t>Denise</t>
  </si>
  <si>
    <t>Denise outdated</t>
  </si>
  <si>
    <t xml:space="preserve">Kaneesha (Out Dated) </t>
  </si>
  <si>
    <t>Beautice</t>
  </si>
  <si>
    <t>Jean outdTed</t>
  </si>
  <si>
    <t>Chris T (Took a few Juices)</t>
  </si>
  <si>
    <t>38dated</t>
  </si>
  <si>
    <t>12lbs</t>
  </si>
  <si>
    <t>28 expired; 10 regular</t>
  </si>
  <si>
    <t>19 expired; 14 regular</t>
  </si>
  <si>
    <t>11 regular</t>
  </si>
  <si>
    <t>Tiffany</t>
  </si>
  <si>
    <t>20 regular 3 over</t>
  </si>
  <si>
    <t>Wuanira</t>
  </si>
  <si>
    <t>9 senior citizens; 9 fish</t>
  </si>
  <si>
    <t>Kay</t>
  </si>
  <si>
    <t>3 pounds</t>
  </si>
  <si>
    <t>19 lbs</t>
  </si>
  <si>
    <t>6 - detergent / fabric softener</t>
  </si>
  <si>
    <t>10 expired</t>
  </si>
  <si>
    <t xml:space="preserve">18 for Shelley expired </t>
  </si>
  <si>
    <t>for shelly 8 lbs</t>
  </si>
  <si>
    <t>Chris  T</t>
  </si>
  <si>
    <t>Monah ecpired food</t>
  </si>
  <si>
    <t>Monah wxpired</t>
  </si>
  <si>
    <t xml:space="preserve">Jean outdated </t>
  </si>
  <si>
    <t>Jean children guild</t>
  </si>
  <si>
    <t xml:space="preserve">Luke Mayhew </t>
  </si>
  <si>
    <t>Veronica Howell</t>
  </si>
  <si>
    <t>17lbs</t>
  </si>
  <si>
    <t>Veronica Howell (expired)</t>
  </si>
  <si>
    <t>4lbs</t>
  </si>
  <si>
    <t xml:space="preserve">Expire </t>
  </si>
  <si>
    <t>18 expired</t>
  </si>
  <si>
    <t>6 regular; 3 expiref</t>
  </si>
  <si>
    <t>13 -expired</t>
  </si>
  <si>
    <t>15lbs</t>
  </si>
  <si>
    <t>Thomas aloisi</t>
  </si>
  <si>
    <t>10 lbs</t>
  </si>
  <si>
    <t>Monah expired</t>
  </si>
  <si>
    <t>Cynthia expired</t>
  </si>
  <si>
    <t>35 lbs</t>
  </si>
  <si>
    <t xml:space="preserve">Michelle Collins </t>
  </si>
  <si>
    <t>20 expired</t>
  </si>
  <si>
    <t>5 lbs</t>
  </si>
  <si>
    <t xml:space="preserve">Hannah </t>
  </si>
  <si>
    <t xml:space="preserve">13lbs </t>
  </si>
  <si>
    <t>Tatiana</t>
  </si>
  <si>
    <t>19lbs</t>
  </si>
  <si>
    <t>DeAuntae - Expired</t>
  </si>
  <si>
    <t>DaVon Clark</t>
  </si>
  <si>
    <t xml:space="preserve">Tyrese expired </t>
  </si>
  <si>
    <t xml:space="preserve">Tyrese </t>
  </si>
  <si>
    <t>Tyrese expired</t>
  </si>
  <si>
    <t>Tae</t>
  </si>
  <si>
    <t>DaVon Clark (expired)</t>
  </si>
  <si>
    <t xml:space="preserve">Zach Expired </t>
  </si>
  <si>
    <t>Zach</t>
  </si>
  <si>
    <t>Alfred Brand</t>
  </si>
  <si>
    <t>Expired 6</t>
  </si>
  <si>
    <t>16 regular plus 13 expired</t>
  </si>
  <si>
    <t>9 regular</t>
  </si>
  <si>
    <t>13 oudated</t>
  </si>
  <si>
    <t xml:space="preserve">6 - water </t>
  </si>
  <si>
    <t>18lbs</t>
  </si>
  <si>
    <t>4 expired</t>
  </si>
  <si>
    <t>Thomas Aloisi</t>
  </si>
  <si>
    <t>Cynthia  11/13/21</t>
  </si>
  <si>
    <t xml:space="preserve">8 - dated </t>
  </si>
  <si>
    <t>17 lbs</t>
  </si>
  <si>
    <t>DeAuntae Corry</t>
  </si>
  <si>
    <t xml:space="preserve">Zachariah McDowell </t>
  </si>
  <si>
    <t xml:space="preserve">Tyrese Springer </t>
  </si>
  <si>
    <t xml:space="preserve">Monah and Lynwood </t>
  </si>
  <si>
    <t>Expired 4</t>
  </si>
  <si>
    <t xml:space="preserve">Aziza frank </t>
  </si>
  <si>
    <t>8 - soda</t>
  </si>
  <si>
    <t>6 expired</t>
  </si>
  <si>
    <t xml:space="preserve">12 - dated </t>
  </si>
  <si>
    <t xml:space="preserve">2 expired </t>
  </si>
  <si>
    <t xml:space="preserve">Zach expired </t>
  </si>
  <si>
    <t>Saw</t>
  </si>
  <si>
    <t>12 - paper goods</t>
  </si>
  <si>
    <t>21- dated</t>
  </si>
  <si>
    <t>Liz Miller</t>
  </si>
  <si>
    <t>8 expired</t>
  </si>
  <si>
    <t>Zach (expired)</t>
  </si>
  <si>
    <t>Zach (expired veg)</t>
  </si>
  <si>
    <t xml:space="preserve">Lavario Lemon </t>
  </si>
  <si>
    <t>Shardiece wills</t>
  </si>
  <si>
    <t>Melvin Penn</t>
  </si>
  <si>
    <t xml:space="preserve">90lbs </t>
  </si>
  <si>
    <t xml:space="preserve">14 - dated sweet potatoes / string beans </t>
  </si>
  <si>
    <t>Children Guild    11/17/21</t>
  </si>
  <si>
    <t xml:space="preserve">Judy Freeman </t>
  </si>
  <si>
    <t>12 - water</t>
  </si>
  <si>
    <t xml:space="preserve">Zach </t>
  </si>
  <si>
    <t xml:space="preserve">DeAuntae Corry </t>
  </si>
  <si>
    <t>19-outdated</t>
  </si>
  <si>
    <t>80lbs dated</t>
  </si>
  <si>
    <t>Marci</t>
  </si>
  <si>
    <t xml:space="preserve">Ayanna (expired) </t>
  </si>
  <si>
    <t>Christopher T</t>
  </si>
  <si>
    <t>20 +6(expired)</t>
  </si>
  <si>
    <t>9 lb regular</t>
  </si>
  <si>
    <t xml:space="preserve">Donation </t>
  </si>
  <si>
    <t>10lbs food 8lbs baby</t>
  </si>
  <si>
    <t>Jamison  Murphy</t>
  </si>
  <si>
    <t xml:space="preserve">16 expired </t>
  </si>
  <si>
    <t xml:space="preserve">Elaineda Wilson </t>
  </si>
  <si>
    <t xml:space="preserve">16 - soda </t>
  </si>
  <si>
    <t xml:space="preserve">Evan El-Halawani </t>
  </si>
  <si>
    <t>9 - fruit (dated)</t>
  </si>
  <si>
    <t>17 lbs expired food</t>
  </si>
  <si>
    <t>Marci expired</t>
  </si>
  <si>
    <t>M9nah expired</t>
  </si>
  <si>
    <t xml:space="preserve">Chris T </t>
  </si>
  <si>
    <t>Chris T (expired)</t>
  </si>
  <si>
    <t xml:space="preserve">10 lbs </t>
  </si>
  <si>
    <t>Tytese</t>
  </si>
  <si>
    <t>Jordan W</t>
  </si>
  <si>
    <t>Cailyn Lawler</t>
  </si>
  <si>
    <t xml:space="preserve">10.6 regular 14.6 expired </t>
  </si>
  <si>
    <t>Réal Canton II</t>
  </si>
  <si>
    <t xml:space="preserve">29 - dated </t>
  </si>
  <si>
    <t>78 expired; 16 regular</t>
  </si>
  <si>
    <t>8 regular</t>
  </si>
  <si>
    <t>9 regular; 60 expired</t>
  </si>
  <si>
    <t>19 regular; 63 expired</t>
  </si>
  <si>
    <t>11 expired</t>
  </si>
  <si>
    <t>30 trash</t>
  </si>
  <si>
    <t xml:space="preserve">8 - detergent </t>
  </si>
  <si>
    <t>Juanita (damaged goods)</t>
  </si>
  <si>
    <t>Juanita</t>
  </si>
  <si>
    <t>Elaineda wilson</t>
  </si>
  <si>
    <t>Kaneesja</t>
  </si>
  <si>
    <t xml:space="preserve">12 - Gatorade </t>
  </si>
  <si>
    <t xml:space="preserve">7.3 lbs </t>
  </si>
  <si>
    <t xml:space="preserve">17.0 lbs </t>
  </si>
  <si>
    <t>Jean expired</t>
  </si>
  <si>
    <t>Tyrese springer</t>
  </si>
  <si>
    <t>80 expired; 14 regular; 6 regular</t>
  </si>
  <si>
    <t>5 regular</t>
  </si>
  <si>
    <t>4 pounds</t>
  </si>
  <si>
    <t xml:space="preserve">Kaneesha( expire) </t>
  </si>
  <si>
    <t>Carla</t>
  </si>
  <si>
    <t>32 expired</t>
  </si>
  <si>
    <t xml:space="preserve">Marci Yankelov For Shelley Bonus </t>
  </si>
  <si>
    <t>38 - dated</t>
  </si>
  <si>
    <t xml:space="preserve">Kaneesha (expired) </t>
  </si>
  <si>
    <t>Jan</t>
  </si>
  <si>
    <t xml:space="preserve">16 - dated </t>
  </si>
  <si>
    <t xml:space="preserve">15-volunteer food 11-expires </t>
  </si>
  <si>
    <t>Maddie pardes</t>
  </si>
  <si>
    <t>Tyrese</t>
  </si>
  <si>
    <t>Rilynn</t>
  </si>
  <si>
    <t xml:space="preserve">39 - dated </t>
  </si>
  <si>
    <t>10 - sugar</t>
  </si>
  <si>
    <t xml:space="preserve">22 - juice </t>
  </si>
  <si>
    <t>16 expired</t>
  </si>
  <si>
    <t>Jean water</t>
  </si>
  <si>
    <t xml:space="preserve">18 - seafood dinner </t>
  </si>
  <si>
    <t xml:space="preserve">22 - dated </t>
  </si>
  <si>
    <t xml:space="preserve">11 expired </t>
  </si>
  <si>
    <t xml:space="preserve">44 - soda </t>
  </si>
  <si>
    <t>(dated) 27.3</t>
  </si>
  <si>
    <t xml:space="preserve">Jelani Dula </t>
  </si>
  <si>
    <t xml:space="preserve">Lynwood McDaniel for Monah Perry </t>
  </si>
  <si>
    <t xml:space="preserve">Lynwood MCDANIEL for Monah Perry </t>
  </si>
  <si>
    <t xml:space="preserve">12 expired </t>
  </si>
  <si>
    <t>28 - damaged</t>
  </si>
  <si>
    <t>Vincent 150</t>
  </si>
  <si>
    <t>1 lb damaged food</t>
  </si>
  <si>
    <t>22 for shelley</t>
  </si>
  <si>
    <t xml:space="preserve">50 - fruit/veg for juicing </t>
  </si>
  <si>
    <t xml:space="preserve">16 - juice </t>
  </si>
  <si>
    <t xml:space="preserve">Kevin Mason </t>
  </si>
  <si>
    <t>20lb</t>
  </si>
  <si>
    <t>Yulia Suslova</t>
  </si>
  <si>
    <t>20 pounds</t>
  </si>
  <si>
    <t xml:space="preserve">Deanne Gilliam </t>
  </si>
  <si>
    <t>Marsha Pacheco</t>
  </si>
  <si>
    <t>Vincent 34</t>
  </si>
  <si>
    <t>28 lbs for Shelley</t>
  </si>
  <si>
    <t>27 - coffee</t>
  </si>
  <si>
    <t>43 - veggies</t>
  </si>
  <si>
    <t>12 expired</t>
  </si>
  <si>
    <t xml:space="preserve">24 - damaged goods </t>
  </si>
  <si>
    <t>Nani Herring</t>
  </si>
  <si>
    <t xml:space="preserve">Christian </t>
  </si>
  <si>
    <t xml:space="preserve">expired </t>
  </si>
  <si>
    <t xml:space="preserve">Jelani </t>
  </si>
  <si>
    <t xml:space="preserve">Jelani - Expired </t>
  </si>
  <si>
    <t>Expire</t>
  </si>
  <si>
    <t>Kye Toussaint</t>
  </si>
  <si>
    <t xml:space="preserve">16 expired stuff </t>
  </si>
  <si>
    <t>Crystal shaw</t>
  </si>
  <si>
    <t xml:space="preserve">Larry Williams </t>
  </si>
  <si>
    <t xml:space="preserve">22- food 4-expired </t>
  </si>
  <si>
    <t xml:space="preserve">38 - fruit / veggies </t>
  </si>
  <si>
    <t xml:space="preserve">19 - Gatorade </t>
  </si>
  <si>
    <t>30 expired</t>
  </si>
  <si>
    <t>shelly bonus</t>
  </si>
  <si>
    <t>23 lbs expired food</t>
  </si>
  <si>
    <t>Denise Brown</t>
  </si>
  <si>
    <t>20 lbs expired and unexpired food</t>
  </si>
  <si>
    <t xml:space="preserve">18 - paper goods - bereavement </t>
  </si>
  <si>
    <t xml:space="preserve">53 - beverages - bereavement </t>
  </si>
  <si>
    <t xml:space="preserve">15 - dated/damaged </t>
  </si>
  <si>
    <t>Aree Booker</t>
  </si>
  <si>
    <t>jonathan ibironke</t>
  </si>
  <si>
    <t xml:space="preserve">myles austin </t>
  </si>
  <si>
    <t>Jelani Expired</t>
  </si>
  <si>
    <t xml:space="preserve">Peter Benjo </t>
  </si>
  <si>
    <t xml:space="preserve">15 for Volunteers 21 for free food </t>
  </si>
  <si>
    <t xml:space="preserve">20 lb </t>
  </si>
  <si>
    <t>Lynnette  cromer</t>
  </si>
  <si>
    <t>Lynnette cromer outdate</t>
  </si>
  <si>
    <t xml:space="preserve">42 liquids </t>
  </si>
  <si>
    <t>T</t>
  </si>
  <si>
    <t>Bill Rogers</t>
  </si>
  <si>
    <t>6 pounds</t>
  </si>
  <si>
    <t>Adriana</t>
  </si>
  <si>
    <t xml:space="preserve">13 expired </t>
  </si>
  <si>
    <t xml:space="preserve">Lynnette Cromer damaged </t>
  </si>
  <si>
    <t>Lynnette Cromer</t>
  </si>
  <si>
    <t>Steve Gercken</t>
  </si>
  <si>
    <t>Jeffrey Blackman</t>
  </si>
  <si>
    <t>Jelani</t>
  </si>
  <si>
    <t>Kamryn</t>
  </si>
  <si>
    <t xml:space="preserve">Food: 18, 3 expired </t>
  </si>
  <si>
    <t xml:space="preserve">15 regular 5.5 expired </t>
  </si>
  <si>
    <t>Nate</t>
  </si>
  <si>
    <t xml:space="preserve">18 food, 8 expired </t>
  </si>
  <si>
    <t>17 - soda</t>
  </si>
  <si>
    <t>19 - damaged/dated</t>
  </si>
  <si>
    <t>January total</t>
  </si>
  <si>
    <t>Lynnette c outdated</t>
  </si>
  <si>
    <t xml:space="preserve">12lbs </t>
  </si>
  <si>
    <t>19 volunteer food, 13 for free food</t>
  </si>
  <si>
    <t xml:space="preserve">Lynnette cromer damage </t>
  </si>
  <si>
    <t>270 water</t>
  </si>
  <si>
    <t>33 outdated</t>
  </si>
  <si>
    <t>Monah expired/food/dog</t>
  </si>
  <si>
    <t>24/20/14</t>
  </si>
  <si>
    <t>5 pounds</t>
  </si>
  <si>
    <t xml:space="preserve">Nani herring </t>
  </si>
  <si>
    <t>Yolanda W</t>
  </si>
  <si>
    <t xml:space="preserve">Christian Jones </t>
  </si>
  <si>
    <t>43 bananas, etc</t>
  </si>
  <si>
    <t xml:space="preserve">17 - dated fruit / veggies </t>
  </si>
  <si>
    <t xml:space="preserve">Yolanda Waters </t>
  </si>
  <si>
    <t>Aliyah Newby</t>
  </si>
  <si>
    <t>Cierra Bland</t>
  </si>
  <si>
    <t xml:space="preserve">9 pounds </t>
  </si>
  <si>
    <t>Expired (Sara)</t>
  </si>
  <si>
    <t xml:space="preserve">16 - chicken </t>
  </si>
  <si>
    <t>21 - dated fruit</t>
  </si>
  <si>
    <t xml:space="preserve">22 expired </t>
  </si>
  <si>
    <t xml:space="preserve">Brandon </t>
  </si>
  <si>
    <t>Lcromer (expired)</t>
  </si>
  <si>
    <t>14 lbs</t>
  </si>
  <si>
    <t>Lcromer</t>
  </si>
  <si>
    <t xml:space="preserve">30 expired </t>
  </si>
  <si>
    <t>14 expired</t>
  </si>
  <si>
    <t>30 - Vitamin water</t>
  </si>
  <si>
    <t xml:space="preserve">48 - 2/7 salmon </t>
  </si>
  <si>
    <t>Lisa matthews</t>
  </si>
  <si>
    <t>Anton george</t>
  </si>
  <si>
    <t>Corey Thuro</t>
  </si>
  <si>
    <t>2lbs</t>
  </si>
  <si>
    <t>Rilynn white (redo)</t>
  </si>
  <si>
    <t>dated</t>
  </si>
  <si>
    <t>water</t>
  </si>
  <si>
    <t>Lynwood</t>
  </si>
  <si>
    <t>Children's Guild.   2/8/22 nonprofit</t>
  </si>
  <si>
    <t>Jean.  Outdated.    2/8/22</t>
  </si>
  <si>
    <t>Jean. 2/8/22</t>
  </si>
  <si>
    <t>5 expired</t>
  </si>
  <si>
    <t>Lynnette cromer expired/damaged</t>
  </si>
  <si>
    <t>20 on the dot for volunteer and 7 for free food</t>
  </si>
  <si>
    <t>Jean.      Ginger beer. Olive oil</t>
  </si>
  <si>
    <t>Jean.   Damaged.  Children Guild</t>
  </si>
  <si>
    <t xml:space="preserve">24 - damaged / dated </t>
  </si>
  <si>
    <t>13 scratch and dent</t>
  </si>
  <si>
    <t>12 - meat</t>
  </si>
  <si>
    <t xml:space="preserve">14 - potatoes / onions </t>
  </si>
  <si>
    <t>Lynette c damage</t>
  </si>
  <si>
    <t>adeola sulaiman</t>
  </si>
  <si>
    <t>date</t>
  </si>
  <si>
    <t>20 lb</t>
  </si>
  <si>
    <t xml:space="preserve">46 w/Gatorade &amp; sprite </t>
  </si>
  <si>
    <t xml:space="preserve">46 - dated / expired veggies </t>
  </si>
  <si>
    <t xml:space="preserve">20 (reg), 14 (exp) </t>
  </si>
  <si>
    <t>27 expirrd</t>
  </si>
  <si>
    <t>2 lbs expired food</t>
  </si>
  <si>
    <t>Jean/ children guild</t>
  </si>
  <si>
    <t>Jean/children guild</t>
  </si>
  <si>
    <t xml:space="preserve">32 expired </t>
  </si>
  <si>
    <t>2 lbs</t>
  </si>
  <si>
    <t>Lynnette c ( damage )</t>
  </si>
  <si>
    <t xml:space="preserve">22 - dated / damaged </t>
  </si>
  <si>
    <t>21 out date</t>
  </si>
  <si>
    <t>Monah juice</t>
  </si>
  <si>
    <t xml:space="preserve">15lbs </t>
  </si>
  <si>
    <t xml:space="preserve">Lynwood MCDANIEL </t>
  </si>
  <si>
    <t>Lynwood MCDANIEL (Expired)</t>
  </si>
  <si>
    <t>Ajia Adams</t>
  </si>
  <si>
    <t>J-Ajanae’ Bey</t>
  </si>
  <si>
    <t xml:space="preserve">E'Shauna Stevens </t>
  </si>
  <si>
    <t>Ja’Maeca Stanton</t>
  </si>
  <si>
    <t xml:space="preserve">20 paid, 10 expired, 5 juice </t>
  </si>
  <si>
    <t>Jean/ outdated</t>
  </si>
  <si>
    <t>Yulia</t>
  </si>
  <si>
    <t>Tariq</t>
  </si>
  <si>
    <t>33 pounds</t>
  </si>
  <si>
    <t xml:space="preserve">Shinaya Todd </t>
  </si>
  <si>
    <t>Gynger</t>
  </si>
  <si>
    <t>Dunsin Fadojutimi</t>
  </si>
  <si>
    <t xml:space="preserve">Jelani - expired </t>
  </si>
  <si>
    <t>Lynette Cromer</t>
  </si>
  <si>
    <t>Kristen Sweets</t>
  </si>
  <si>
    <t>9 pounds</t>
  </si>
  <si>
    <t>Ashley Clarke</t>
  </si>
  <si>
    <t xml:space="preserve">17 pounds </t>
  </si>
  <si>
    <t>Expired/Sara</t>
  </si>
  <si>
    <t>Cynthia  expired 6</t>
  </si>
  <si>
    <t>Larry williams</t>
  </si>
  <si>
    <t>23 expired</t>
  </si>
  <si>
    <t>Larry</t>
  </si>
  <si>
    <t xml:space="preserve">23 - dated / damaged </t>
  </si>
  <si>
    <t>6 - toilet paper / paper towels</t>
  </si>
  <si>
    <t>33 expired</t>
  </si>
  <si>
    <t>Lynnette  C  (compost/damage)</t>
  </si>
  <si>
    <t>63 pounds</t>
  </si>
  <si>
    <t>Out date</t>
  </si>
  <si>
    <t xml:space="preserve">16 lbs </t>
  </si>
  <si>
    <t xml:space="preserve">Lynwood </t>
  </si>
  <si>
    <t xml:space="preserve">Lynwood (expired) </t>
  </si>
  <si>
    <t>16 paid, 16 expired</t>
  </si>
  <si>
    <t>Torey/ outdated</t>
  </si>
  <si>
    <t>Jean.  Outdated</t>
  </si>
  <si>
    <t xml:space="preserve">REG </t>
  </si>
  <si>
    <t>17- food, expired 6</t>
  </si>
  <si>
    <t xml:space="preserve"> Christian Jones </t>
  </si>
  <si>
    <t>1 expired</t>
  </si>
  <si>
    <t>Juanita Chandler Reg items</t>
  </si>
  <si>
    <t xml:space="preserve">7 expired </t>
  </si>
  <si>
    <t>Marci yankelov</t>
  </si>
  <si>
    <t>Lynette c (damage/expire</t>
  </si>
  <si>
    <t xml:space="preserve">Larry </t>
  </si>
  <si>
    <t>Corey</t>
  </si>
  <si>
    <t>9 exp</t>
  </si>
  <si>
    <t>27 lbs expired food</t>
  </si>
  <si>
    <t>Kaneesh(expired)</t>
  </si>
  <si>
    <t>Jean/children Guild</t>
  </si>
  <si>
    <t>Jean/outdated</t>
  </si>
  <si>
    <t>REG food</t>
  </si>
  <si>
    <t>Out dated</t>
  </si>
  <si>
    <t>Lynnette c   (damage)</t>
  </si>
  <si>
    <t>Marci (expired /damage)</t>
  </si>
  <si>
    <t>Marci( reg)</t>
  </si>
  <si>
    <t>Lynnette c (expire</t>
  </si>
  <si>
    <t xml:space="preserve">37 - dated chicken / veggies </t>
  </si>
  <si>
    <t xml:space="preserve">Zach Spencer </t>
  </si>
  <si>
    <t xml:space="preserve">12 - juice </t>
  </si>
  <si>
    <t xml:space="preserve">Lynwood McDaniel (expired) </t>
  </si>
  <si>
    <t>19 volunteer, 13 expired</t>
  </si>
  <si>
    <t>31 expired</t>
  </si>
  <si>
    <t>Marci-For Shelley</t>
  </si>
  <si>
    <t>21-expired</t>
  </si>
  <si>
    <t xml:space="preserve">Out dated </t>
  </si>
  <si>
    <t xml:space="preserve">REG food </t>
  </si>
  <si>
    <t xml:space="preserve">20/ 12 expired </t>
  </si>
  <si>
    <t xml:space="preserve">51 expired </t>
  </si>
  <si>
    <t>Dasia Wyatt</t>
  </si>
  <si>
    <t>Kamryn Brown</t>
  </si>
  <si>
    <t>Madison Grace</t>
  </si>
  <si>
    <t>Yolanda Waters</t>
  </si>
  <si>
    <t xml:space="preserve">18lbs and 3lbs outdated items </t>
  </si>
  <si>
    <t>Sara Brown</t>
  </si>
  <si>
    <t>expired/Sara Brown</t>
  </si>
  <si>
    <t>Lynnette c (expire/damage)</t>
  </si>
  <si>
    <t>Isaac Chen</t>
  </si>
  <si>
    <t>Lynnette c ( damage/expire)</t>
  </si>
  <si>
    <t>Dasia Wyatt-Moore</t>
  </si>
  <si>
    <t>Evan El-Halawani (Expired)</t>
  </si>
  <si>
    <t>20 - dated</t>
  </si>
  <si>
    <t>104 expired</t>
  </si>
  <si>
    <t>26 - juice / oil</t>
  </si>
  <si>
    <t>3 - breakfast bowls</t>
  </si>
  <si>
    <t xml:space="preserve">Marci for Shelley </t>
  </si>
  <si>
    <t>20lbs</t>
  </si>
  <si>
    <t>Kaneesha(expired)</t>
  </si>
  <si>
    <t>Lynnette c (damage/expired )</t>
  </si>
  <si>
    <t>23.  Outdated</t>
  </si>
  <si>
    <t xml:space="preserve">Jean.  </t>
  </si>
  <si>
    <t xml:space="preserve">Lynnette (damage </t>
  </si>
  <si>
    <t>17 expired</t>
  </si>
  <si>
    <t xml:space="preserve">63 outdated </t>
  </si>
  <si>
    <t xml:space="preserve">35 - dated /damaged </t>
  </si>
  <si>
    <t xml:space="preserve">6 - meat </t>
  </si>
  <si>
    <t>Jean  outtdated</t>
  </si>
  <si>
    <t>Lynnette c (expired)</t>
  </si>
  <si>
    <t>39 expired</t>
  </si>
  <si>
    <t>54 water and soda ok'ed by JC</t>
  </si>
  <si>
    <t>32 expired  16 volunteer</t>
  </si>
  <si>
    <t xml:space="preserve">8 expired </t>
  </si>
  <si>
    <t>51.  Distiled watet</t>
  </si>
  <si>
    <t xml:space="preserve">3 expired </t>
  </si>
  <si>
    <t xml:space="preserve">7 heavy liquid </t>
  </si>
  <si>
    <t>Torrance Kang</t>
  </si>
  <si>
    <t>Darielle costa</t>
  </si>
  <si>
    <t xml:space="preserve">Sara Shateri </t>
  </si>
  <si>
    <t xml:space="preserve">Dimpy Amin </t>
  </si>
  <si>
    <t>10 lbs-expired</t>
  </si>
  <si>
    <t>Torey wilkins</t>
  </si>
  <si>
    <t>13 food/ 15 expired</t>
  </si>
  <si>
    <t xml:space="preserve">Kendal cromer </t>
  </si>
  <si>
    <t xml:space="preserve">14 expired/ 8 regular </t>
  </si>
  <si>
    <t xml:space="preserve">25 - Snapple </t>
  </si>
  <si>
    <t xml:space="preserve">15 - dated / damaged </t>
  </si>
  <si>
    <t xml:space="preserve">Carla </t>
  </si>
  <si>
    <t>Kaneesha*expired</t>
  </si>
  <si>
    <t>Jean.   Water</t>
  </si>
  <si>
    <t>Jean.     Fiji</t>
  </si>
  <si>
    <t>Jean.  Ougdated</t>
  </si>
  <si>
    <t>Jeann.  Ojtdatef</t>
  </si>
  <si>
    <t>Juanita Chandlet</t>
  </si>
  <si>
    <t>18 out datef</t>
  </si>
  <si>
    <t xml:space="preserve">14 REGULAR </t>
  </si>
  <si>
    <t>47 free 18 volunteer</t>
  </si>
  <si>
    <t xml:space="preserve">Lynnette c epited </t>
  </si>
  <si>
    <t>Out date food.   9</t>
  </si>
  <si>
    <t>15 reg food</t>
  </si>
  <si>
    <t>3lbs</t>
  </si>
  <si>
    <t>Jeanine</t>
  </si>
  <si>
    <t xml:space="preserve">Juanita Chandlet </t>
  </si>
  <si>
    <t xml:space="preserve">16 outdated </t>
  </si>
  <si>
    <t xml:space="preserve">13 - dated / damaged </t>
  </si>
  <si>
    <t xml:space="preserve">20- food, 7 expired </t>
  </si>
  <si>
    <t>Kaneesha(expired )</t>
  </si>
  <si>
    <t xml:space="preserve">21 - detergent / almond milk </t>
  </si>
  <si>
    <t>Outdated 27</t>
  </si>
  <si>
    <t>Deborah Claridy damaged</t>
  </si>
  <si>
    <t>28 - snapple</t>
  </si>
  <si>
    <t>8 Reg</t>
  </si>
  <si>
    <t xml:space="preserve">21- fruit / veggies 4 juicing </t>
  </si>
  <si>
    <t>Jiaira Martin</t>
  </si>
  <si>
    <t>lacinda mitchell</t>
  </si>
  <si>
    <t>19 unexpired, 1 expired</t>
  </si>
  <si>
    <t xml:space="preserve">18 1b and expire 3lb </t>
  </si>
  <si>
    <t>Nethania Walker</t>
  </si>
  <si>
    <t>Extra</t>
  </si>
  <si>
    <t>22 LBs</t>
  </si>
  <si>
    <t>8 outdare</t>
  </si>
  <si>
    <t>17 reg</t>
  </si>
  <si>
    <t>Jean/ milk</t>
  </si>
  <si>
    <t>Jennie</t>
  </si>
  <si>
    <t xml:space="preserve">19 regular </t>
  </si>
  <si>
    <t>7 lbs damaged</t>
  </si>
  <si>
    <t>Linette v</t>
  </si>
  <si>
    <t xml:space="preserve">2lbs expired </t>
  </si>
  <si>
    <t xml:space="preserve">13 regular </t>
  </si>
  <si>
    <t>Michelle &amp; Maritza</t>
  </si>
  <si>
    <t xml:space="preserve">26 expired </t>
  </si>
  <si>
    <t xml:space="preserve">6 expired </t>
  </si>
  <si>
    <t xml:space="preserve">10 reg food </t>
  </si>
  <si>
    <t xml:space="preserve">19 put dated </t>
  </si>
  <si>
    <t xml:space="preserve">25 - dated /damaged </t>
  </si>
  <si>
    <t xml:space="preserve">Kamryn Brown </t>
  </si>
  <si>
    <t>Serena Chapple</t>
  </si>
  <si>
    <t>Sahmya Lake</t>
  </si>
  <si>
    <t>7lbs</t>
  </si>
  <si>
    <t>Jaylen Hardy</t>
  </si>
  <si>
    <t xml:space="preserve">Gabrielle Thompson </t>
  </si>
  <si>
    <t xml:space="preserve">Angela Patterson </t>
  </si>
  <si>
    <t xml:space="preserve">Jordin Walters </t>
  </si>
  <si>
    <t>Rebecca Cooper</t>
  </si>
  <si>
    <t xml:space="preserve">10 and 4 unlimited total 14 </t>
  </si>
  <si>
    <t>Amore Johnson</t>
  </si>
  <si>
    <t xml:space="preserve">Ajeñee Williams </t>
  </si>
  <si>
    <t xml:space="preserve">15 pounds </t>
  </si>
  <si>
    <t xml:space="preserve">Justin Coelho </t>
  </si>
  <si>
    <t>David Ondande</t>
  </si>
  <si>
    <t>15 + 7 D. = 22lbs</t>
  </si>
  <si>
    <t>Bryant Martin</t>
  </si>
  <si>
    <t xml:space="preserve">Cameron Minor </t>
  </si>
  <si>
    <t>Moesha graham</t>
  </si>
  <si>
    <t xml:space="preserve">Imani Battle </t>
  </si>
  <si>
    <t>Amari Clark</t>
  </si>
  <si>
    <t>Dimitrius Byrd</t>
  </si>
  <si>
    <t xml:space="preserve">Arron Stephens </t>
  </si>
  <si>
    <t>Azeez Idowu</t>
  </si>
  <si>
    <t>Lorraine Cuff</t>
  </si>
  <si>
    <t>PATRICIA CUFF</t>
  </si>
  <si>
    <t>Nakia Bailey</t>
  </si>
  <si>
    <t>6 damaged</t>
  </si>
  <si>
    <t>1 (expired)</t>
  </si>
  <si>
    <t>Lynnette c reg</t>
  </si>
  <si>
    <t>Ashley Watson</t>
  </si>
  <si>
    <t>Nicholas Roberts</t>
  </si>
  <si>
    <t xml:space="preserve">20-food 2-expired </t>
  </si>
  <si>
    <t xml:space="preserve">2 lbs expired </t>
  </si>
  <si>
    <t>Lacinda mitchell</t>
  </si>
  <si>
    <t xml:space="preserve">jean </t>
  </si>
  <si>
    <t xml:space="preserve">Deborah claridy regular </t>
  </si>
  <si>
    <t>12 regular and 22 expired</t>
  </si>
  <si>
    <t>Kaneesha (explred)</t>
  </si>
  <si>
    <t xml:space="preserve">Lynnette damage </t>
  </si>
  <si>
    <t xml:space="preserve">20 - dated / damaged </t>
  </si>
  <si>
    <t>26 ourdare</t>
  </si>
  <si>
    <t>REG 8</t>
  </si>
  <si>
    <t xml:space="preserve">12 lbs </t>
  </si>
  <si>
    <t>Connor Gephart</t>
  </si>
  <si>
    <t>14/3</t>
  </si>
  <si>
    <t xml:space="preserve">20 good 10 expiredexpire </t>
  </si>
  <si>
    <t xml:space="preserve">58 fo free, 18 volunteer </t>
  </si>
  <si>
    <t>Jean.  3/30/22</t>
  </si>
  <si>
    <t>Inez expired food</t>
  </si>
  <si>
    <t xml:space="preserve">Inez’s expired </t>
  </si>
  <si>
    <t xml:space="preserve">Inez </t>
  </si>
  <si>
    <t xml:space="preserve">Keamber Robeson </t>
  </si>
  <si>
    <t xml:space="preserve">Jiaira Martin </t>
  </si>
  <si>
    <t>Lynnette c expired</t>
  </si>
  <si>
    <t>Nani</t>
  </si>
  <si>
    <t>16 reg</t>
  </si>
  <si>
    <t>22 out date</t>
  </si>
  <si>
    <t>Denise brown</t>
  </si>
  <si>
    <t>Brandon c</t>
  </si>
  <si>
    <t>Cheryl U</t>
  </si>
  <si>
    <t>Dean</t>
  </si>
  <si>
    <t>Shaepsura Page</t>
  </si>
  <si>
    <t>Deborah Claridy reg</t>
  </si>
  <si>
    <t>Jamet Lomax</t>
  </si>
  <si>
    <t>Cameron  Minor</t>
  </si>
  <si>
    <t>Cameron Minor</t>
  </si>
  <si>
    <t xml:space="preserve">Juanita's Chandler </t>
  </si>
  <si>
    <t>REG 16</t>
  </si>
  <si>
    <t>Lynnette c  expire)</t>
  </si>
  <si>
    <t xml:space="preserve">Pat expired </t>
  </si>
  <si>
    <t xml:space="preserve">Pat </t>
  </si>
  <si>
    <t xml:space="preserve">9lb food, 4 lbs expired </t>
  </si>
  <si>
    <t>Evan El-Halawani (expired)</t>
  </si>
  <si>
    <t>20/15 expired</t>
  </si>
  <si>
    <t>20 lb +14 lb expired</t>
  </si>
  <si>
    <t>Deborah claridy regular</t>
  </si>
  <si>
    <t xml:space="preserve">28 - Snapple </t>
  </si>
  <si>
    <t>Jean. Outdated</t>
  </si>
  <si>
    <t>24 outdate</t>
  </si>
  <si>
    <t>15 reg</t>
  </si>
  <si>
    <t xml:space="preserve">Lynwood McDaniel </t>
  </si>
  <si>
    <t xml:space="preserve">17 lbs regular wgt and expired 2lbs </t>
  </si>
  <si>
    <t xml:space="preserve">Cailyn </t>
  </si>
  <si>
    <t>20 volunteer 47 free</t>
  </si>
  <si>
    <t>8 lbs volunteer food</t>
  </si>
  <si>
    <t>21REG</t>
  </si>
  <si>
    <t xml:space="preserve">9 outdate </t>
  </si>
  <si>
    <t>Trinity Burge</t>
  </si>
  <si>
    <t>Dimpy Amin</t>
  </si>
  <si>
    <t>Sara Shateri</t>
  </si>
  <si>
    <t xml:space="preserve">20 lbs </t>
  </si>
  <si>
    <t xml:space="preserve">Evelyn jiang </t>
  </si>
  <si>
    <t>Allana Ta-asan</t>
  </si>
  <si>
    <t xml:space="preserve">41 - expired </t>
  </si>
  <si>
    <t xml:space="preserve">10 - detergent </t>
  </si>
  <si>
    <t>Monah perry</t>
  </si>
  <si>
    <t>19 good 14 expired</t>
  </si>
  <si>
    <t>27. Stuff for daughter</t>
  </si>
  <si>
    <t xml:space="preserve">21 Reg </t>
  </si>
  <si>
    <t xml:space="preserve">6 outdated </t>
  </si>
  <si>
    <t>Lynnette expired</t>
  </si>
  <si>
    <t xml:space="preserve">Camille </t>
  </si>
  <si>
    <t>Doris Parker Tuggle</t>
  </si>
  <si>
    <t>22 regular</t>
  </si>
  <si>
    <t xml:space="preserve">Lynnette expired </t>
  </si>
  <si>
    <t>8 out dated</t>
  </si>
  <si>
    <t>Lynnette (damage )</t>
  </si>
  <si>
    <t xml:space="preserve">20 reg </t>
  </si>
  <si>
    <t>17 outday</t>
  </si>
  <si>
    <t xml:space="preserve">Sheneil expires </t>
  </si>
  <si>
    <t>D͟͟O͟͟R͟͟R͟͟A͟͟I͟͟N͟͟E͟͟ R͟͟e͟͟i͟͟d͟͟</t>
  </si>
  <si>
    <t>E͟͟x͟͟p͟͟i͟͟r͟͟e͟͟d͟͟</t>
  </si>
  <si>
    <t>9 extra</t>
  </si>
  <si>
    <t>20 + 5 (expired)</t>
  </si>
  <si>
    <t xml:space="preserve">14 outdated </t>
  </si>
  <si>
    <t xml:space="preserve">18 REG </t>
  </si>
  <si>
    <t xml:space="preserve">20 - beverages </t>
  </si>
  <si>
    <t xml:space="preserve">10 - dated / damaged </t>
  </si>
  <si>
    <t xml:space="preserve">26 - fruit / veggies </t>
  </si>
  <si>
    <t>Pooja lineswala</t>
  </si>
  <si>
    <t>Imani Armour</t>
  </si>
  <si>
    <t>Sean Kwak</t>
  </si>
  <si>
    <t>Julia song</t>
  </si>
  <si>
    <t>Nathan</t>
  </si>
  <si>
    <t>Evelyn jiang</t>
  </si>
  <si>
    <t>Tiffany Jiang</t>
  </si>
  <si>
    <t xml:space="preserve">3 lbs expired </t>
  </si>
  <si>
    <t xml:space="preserve">Isaac Chen </t>
  </si>
  <si>
    <t>Kaneesha(extra)</t>
  </si>
  <si>
    <t xml:space="preserve">20- food 5-expired </t>
  </si>
  <si>
    <t xml:space="preserve">3lbs expired </t>
  </si>
  <si>
    <t xml:space="preserve">Doris Parker Tuggle </t>
  </si>
  <si>
    <t>28 lbs expired food</t>
  </si>
  <si>
    <t>16 - dated /damaged</t>
  </si>
  <si>
    <t>Kaneesha (extra)</t>
  </si>
  <si>
    <t>5 - toilet paper</t>
  </si>
  <si>
    <t>Lynnette (expired)</t>
  </si>
  <si>
    <t>9 - detergent</t>
  </si>
  <si>
    <t xml:space="preserve">12 regular </t>
  </si>
  <si>
    <t>Judy  freeman</t>
  </si>
  <si>
    <t xml:space="preserve">23 regular </t>
  </si>
  <si>
    <t>Judy freeman</t>
  </si>
  <si>
    <t>13 od</t>
  </si>
  <si>
    <t>10 outdate</t>
  </si>
  <si>
    <t>17reg</t>
  </si>
  <si>
    <t>20 for volunteer, 48 free/expired</t>
  </si>
  <si>
    <t xml:space="preserve">Inez expired </t>
  </si>
  <si>
    <t>Jean 4_19_22 outdated</t>
  </si>
  <si>
    <t>Jean 4_19_22</t>
  </si>
  <si>
    <t>Jean 4_21_22. Outdated</t>
  </si>
  <si>
    <t xml:space="preserve">Jean watermelon/cantalope/milk </t>
  </si>
  <si>
    <t>22 reg</t>
  </si>
  <si>
    <t>8 outdate</t>
  </si>
  <si>
    <t>Birthday</t>
  </si>
  <si>
    <t>20 ourdate</t>
  </si>
  <si>
    <t>10 reg</t>
  </si>
  <si>
    <t xml:space="preserve">20 expired </t>
  </si>
  <si>
    <t xml:space="preserve">17 - dated / damaged </t>
  </si>
  <si>
    <t xml:space="preserve">Judy </t>
  </si>
  <si>
    <t>nathan</t>
  </si>
  <si>
    <t>19 reg</t>
  </si>
  <si>
    <t>4 exp</t>
  </si>
  <si>
    <t>Linette c</t>
  </si>
  <si>
    <t>22 exp</t>
  </si>
  <si>
    <t xml:space="preserve">Adeola Sulaiman </t>
  </si>
  <si>
    <t xml:space="preserve">dated </t>
  </si>
  <si>
    <t>Jelani - Outdated foods</t>
  </si>
  <si>
    <t xml:space="preserve">14 - dated </t>
  </si>
  <si>
    <t xml:space="preserve">24 - Starbucks </t>
  </si>
  <si>
    <t>Kaneesha (expired)</t>
  </si>
  <si>
    <t>Exp/1</t>
  </si>
  <si>
    <t xml:space="preserve">20, 9 expired </t>
  </si>
  <si>
    <t>11 lbs</t>
  </si>
  <si>
    <t>23 lbs</t>
  </si>
  <si>
    <t xml:space="preserve">extra </t>
  </si>
  <si>
    <t>20 volunteer, 187 expired</t>
  </si>
  <si>
    <t>9 lbs</t>
  </si>
  <si>
    <t>25 our date</t>
  </si>
  <si>
    <t xml:space="preserve">8 Reg </t>
  </si>
  <si>
    <t>32 extra</t>
  </si>
  <si>
    <t>Outdate8</t>
  </si>
  <si>
    <t>,19</t>
  </si>
  <si>
    <t xml:space="preserve">Nathan </t>
  </si>
  <si>
    <t>20 + 1 free</t>
  </si>
  <si>
    <t>27 expired</t>
  </si>
  <si>
    <t xml:space="preserve">4 - salmon </t>
  </si>
  <si>
    <t>17 Reg</t>
  </si>
  <si>
    <t>29 damaged</t>
  </si>
  <si>
    <t>15 expired</t>
  </si>
  <si>
    <t>Juanita Chandler jua</t>
  </si>
  <si>
    <t xml:space="preserve">19 outdated </t>
  </si>
  <si>
    <t>Lynnette  c expired</t>
  </si>
  <si>
    <t>Lynnette c expired/damaged</t>
  </si>
  <si>
    <t>REG 23</t>
  </si>
  <si>
    <t>16 volunteer, 77 expired</t>
  </si>
  <si>
    <t>Jean/water</t>
  </si>
  <si>
    <t>Jean,  juice, bleach22</t>
  </si>
  <si>
    <t xml:space="preserve">Sheneil expired </t>
  </si>
  <si>
    <t xml:space="preserve">Elliot Keeley </t>
  </si>
  <si>
    <t>23 ext 15</t>
  </si>
  <si>
    <t>Exp 15</t>
  </si>
  <si>
    <t>Joanna plasencia -</t>
  </si>
  <si>
    <t>20-3</t>
  </si>
  <si>
    <t>Reg9</t>
  </si>
  <si>
    <t>Outdate 19</t>
  </si>
  <si>
    <t>Cybil Bailey</t>
  </si>
  <si>
    <t xml:space="preserve">John Morrow </t>
  </si>
  <si>
    <t xml:space="preserve">14 regular </t>
  </si>
  <si>
    <t xml:space="preserve">17 damaged </t>
  </si>
  <si>
    <t xml:space="preserve">Jelani overflow </t>
  </si>
  <si>
    <t xml:space="preserve">748 Export </t>
  </si>
  <si>
    <t>36 expired</t>
  </si>
  <si>
    <t>Jean.   Assorted snacks and water</t>
  </si>
  <si>
    <t>17 out date</t>
  </si>
  <si>
    <t xml:space="preserve">18lbs </t>
  </si>
  <si>
    <t>20 plus 5 expired</t>
  </si>
  <si>
    <t>9 lb</t>
  </si>
  <si>
    <t xml:space="preserve">damaged </t>
  </si>
  <si>
    <t>23 (with bin)</t>
  </si>
  <si>
    <t>24 ourdate</t>
  </si>
  <si>
    <t>20 reg</t>
  </si>
  <si>
    <t>Elliot Keeley</t>
  </si>
  <si>
    <t>30 exp</t>
  </si>
  <si>
    <t>20 lbs outdated expired food</t>
  </si>
  <si>
    <t>Yulia Suslof</t>
  </si>
  <si>
    <t>20 and 21 expired</t>
  </si>
  <si>
    <t>Tom aloisi</t>
  </si>
  <si>
    <t xml:space="preserve">Sara B. </t>
  </si>
  <si>
    <t xml:space="preserve">Linette C </t>
  </si>
  <si>
    <t xml:space="preserve">29 regular </t>
  </si>
  <si>
    <t>13 Expired</t>
  </si>
  <si>
    <t>Lacinda</t>
  </si>
  <si>
    <t xml:space="preserve">17 regular </t>
  </si>
  <si>
    <t>REG 14</t>
  </si>
  <si>
    <t xml:space="preserve">17 - dated </t>
  </si>
  <si>
    <t>Anna Nicosia (extra)</t>
  </si>
  <si>
    <t>outdated</t>
  </si>
  <si>
    <t>meat</t>
  </si>
  <si>
    <t>BEVERLY Pinn expired</t>
  </si>
  <si>
    <t>Beverly pinn</t>
  </si>
  <si>
    <t>Danielle</t>
  </si>
  <si>
    <t>Lyynette c expired</t>
  </si>
  <si>
    <t xml:space="preserve">Luke </t>
  </si>
  <si>
    <t>JeAn</t>
  </si>
  <si>
    <t>JeAn.   ExtrA</t>
  </si>
  <si>
    <t>J ean</t>
  </si>
  <si>
    <t xml:space="preserve">Aziza- volunteer </t>
  </si>
  <si>
    <t>Sheneil expires</t>
  </si>
  <si>
    <t>Lynnette c damage</t>
  </si>
  <si>
    <t xml:space="preserve">Lynnette  c  damage </t>
  </si>
  <si>
    <t>Cyrano Yee</t>
  </si>
  <si>
    <t>Bud Stracker</t>
  </si>
  <si>
    <t>Marilyn Okine</t>
  </si>
  <si>
    <t>Lynnett c (damage)</t>
  </si>
  <si>
    <t>19 plus 121 extra</t>
  </si>
  <si>
    <t>drinks-soda</t>
  </si>
  <si>
    <t>Aaliyiah amour-Tati</t>
  </si>
  <si>
    <t>Tyrese Springer</t>
  </si>
  <si>
    <t xml:space="preserve">Lynnette c damage </t>
  </si>
  <si>
    <t>13 expired</t>
  </si>
  <si>
    <t>Najah baytan</t>
  </si>
  <si>
    <t>Tyeshia Davis</t>
  </si>
  <si>
    <t>Najah B. (Damage)</t>
  </si>
  <si>
    <t>Sara (expired)</t>
  </si>
  <si>
    <t>Lynnette (damage)</t>
  </si>
  <si>
    <t>1 outdated</t>
  </si>
  <si>
    <t>27 outdated</t>
  </si>
  <si>
    <t>Jean. E xtra</t>
  </si>
  <si>
    <t>Elliott Keeley</t>
  </si>
  <si>
    <t>Elliott Keeley damage</t>
  </si>
  <si>
    <t xml:space="preserve">Theresa Columbus </t>
  </si>
  <si>
    <t>Theresa Columbus  damage</t>
  </si>
  <si>
    <t>Juanita c.</t>
  </si>
  <si>
    <t>JUANITA  C damage</t>
  </si>
  <si>
    <t>Thomas</t>
  </si>
  <si>
    <t>Kim (extra)</t>
  </si>
  <si>
    <t>Juanita  c  damage</t>
  </si>
  <si>
    <t>Lynnette c dammage</t>
  </si>
  <si>
    <t>Juanita C</t>
  </si>
  <si>
    <t>Juanita C damage</t>
  </si>
  <si>
    <t>Lynnette Cromer damage</t>
  </si>
  <si>
    <t>Beverly E. Pinn</t>
  </si>
  <si>
    <t>Dedrah Richards</t>
  </si>
  <si>
    <t>Luke Mayhew</t>
  </si>
  <si>
    <t>106 extra</t>
  </si>
  <si>
    <t>23 outdated</t>
  </si>
  <si>
    <t>Aziza Frank</t>
  </si>
  <si>
    <t>10 outdated</t>
  </si>
  <si>
    <t>Kevin Mischka</t>
  </si>
  <si>
    <t>Kevin mischka</t>
  </si>
  <si>
    <t>Gretchen Pike</t>
  </si>
  <si>
    <t>Sisson St dump dpw drinks (Bud Stracker)</t>
  </si>
  <si>
    <t xml:space="preserve">Linette </t>
  </si>
  <si>
    <t xml:space="preserve">Connor Gephart </t>
  </si>
  <si>
    <t>Randy Cochran</t>
  </si>
  <si>
    <t>Dee Satterfield</t>
  </si>
  <si>
    <t>Lynnett expire</t>
  </si>
  <si>
    <t>Juanita expired</t>
  </si>
  <si>
    <t xml:space="preserve">nathan </t>
  </si>
  <si>
    <t>Juanita Chandler 5 teg</t>
  </si>
  <si>
    <t>22 outdated</t>
  </si>
  <si>
    <t>Jean.     Extra</t>
  </si>
  <si>
    <t>Bud Stracker (sisson St dpw drinks)</t>
  </si>
  <si>
    <t xml:space="preserve">Bud Stracker </t>
  </si>
  <si>
    <t>Michelle and Maritza</t>
  </si>
  <si>
    <t>Karen expired</t>
  </si>
  <si>
    <t>Free</t>
  </si>
  <si>
    <t>2 outdated</t>
  </si>
  <si>
    <t xml:space="preserve">Aziza - pet kitty litter </t>
  </si>
  <si>
    <t>Lynnette danage</t>
  </si>
  <si>
    <t>Alex Wang</t>
  </si>
  <si>
    <t>Jean. Extra</t>
  </si>
  <si>
    <t>Jewel Pike</t>
  </si>
  <si>
    <t>Teia H</t>
  </si>
  <si>
    <t xml:space="preserve">Bud Stracker - Sisson St DPW drinks </t>
  </si>
  <si>
    <t xml:space="preserve">Bud Stracker - personal </t>
  </si>
  <si>
    <t xml:space="preserve">Karen expired </t>
  </si>
  <si>
    <t xml:space="preserve">Karen donation </t>
  </si>
  <si>
    <t xml:space="preserve">Solene </t>
  </si>
  <si>
    <t>Shaneen</t>
  </si>
  <si>
    <t>Shaneen Expired Food</t>
  </si>
  <si>
    <t>Nathaniel Mcclean</t>
  </si>
  <si>
    <t>5 outdated</t>
  </si>
  <si>
    <t>Jean    xtra</t>
  </si>
  <si>
    <t>Jean.  Xtra</t>
  </si>
  <si>
    <t xml:space="preserve">Kimone </t>
  </si>
  <si>
    <t>Janet Lomax</t>
  </si>
  <si>
    <t>Cheryl Utsey</t>
  </si>
  <si>
    <t>Emily stucke</t>
  </si>
  <si>
    <t>Lynnette c expire (damage)</t>
  </si>
  <si>
    <t>Juanita coleman (damage</t>
  </si>
  <si>
    <t>Clarie</t>
  </si>
  <si>
    <t>extra</t>
  </si>
  <si>
    <t>Lynette c</t>
  </si>
  <si>
    <t>damage</t>
  </si>
  <si>
    <t>Juanita c</t>
  </si>
  <si>
    <t>Deborah Davis</t>
  </si>
  <si>
    <t>Luke Mayhew Expired</t>
  </si>
  <si>
    <t>Kimone Kocica</t>
  </si>
  <si>
    <t>Monah Perry</t>
  </si>
  <si>
    <t>Aziza Frank (cat food)</t>
  </si>
  <si>
    <t>Shaneen - Expired Food</t>
  </si>
  <si>
    <t>Evelyn joang</t>
  </si>
  <si>
    <t>Deborah O</t>
  </si>
  <si>
    <t>Regina S.</t>
  </si>
  <si>
    <t xml:space="preserve">Gabriela  cortes </t>
  </si>
  <si>
    <t>Travis James</t>
  </si>
  <si>
    <t xml:space="preserve">Shaneen Unlimited </t>
  </si>
  <si>
    <t xml:space="preserve">Ryan Helcoski </t>
  </si>
  <si>
    <t>Treston Codrington</t>
  </si>
  <si>
    <t>Deborah</t>
  </si>
  <si>
    <t>Lynnette expire</t>
  </si>
  <si>
    <t>Lynnette damage</t>
  </si>
  <si>
    <t>Aeryn Banh</t>
  </si>
  <si>
    <t>Polaire Woods</t>
  </si>
  <si>
    <t xml:space="preserve">Amanda Wall expired </t>
  </si>
  <si>
    <t>Deborah Davis expired</t>
  </si>
  <si>
    <t>Jean extra</t>
  </si>
  <si>
    <t>Norma &amp; friend</t>
  </si>
  <si>
    <t>Angeles</t>
  </si>
  <si>
    <t>Lee Little</t>
  </si>
  <si>
    <t xml:space="preserve">Shaneen </t>
  </si>
  <si>
    <t>Shaneen Expired</t>
  </si>
  <si>
    <t>Melissa Thomas</t>
  </si>
  <si>
    <t>Bud- sisson St drinks</t>
  </si>
  <si>
    <t>Sarah Kondo</t>
  </si>
  <si>
    <t>beans</t>
  </si>
  <si>
    <t>Jean.    Extra</t>
  </si>
  <si>
    <t xml:space="preserve">Nate </t>
  </si>
  <si>
    <t xml:space="preserve">Lynette </t>
  </si>
  <si>
    <t>Sunita Pathik extra</t>
  </si>
  <si>
    <t>M Angeles</t>
  </si>
  <si>
    <t>Gilda</t>
  </si>
  <si>
    <t>last &amp; this week</t>
  </si>
  <si>
    <t>Gabriela</t>
  </si>
  <si>
    <t>Erline</t>
  </si>
  <si>
    <t>Debra Davis</t>
  </si>
  <si>
    <t>Aurora Dustin</t>
  </si>
  <si>
    <t>Daniel Huff</t>
  </si>
  <si>
    <t>Darcil Gangoo</t>
  </si>
  <si>
    <t>Julia Buckson</t>
  </si>
  <si>
    <t>Gina Privette</t>
  </si>
  <si>
    <t>Sharron Robinson</t>
  </si>
  <si>
    <t xml:space="preserve">Bud- Sisson st water/drinks </t>
  </si>
  <si>
    <t xml:space="preserve">Bud Stracker-personal </t>
  </si>
  <si>
    <t>Norma K</t>
  </si>
  <si>
    <t xml:space="preserve">Gilda castillo huertos </t>
  </si>
  <si>
    <t>Angeles cortes</t>
  </si>
  <si>
    <t>Zach Brilliant</t>
  </si>
  <si>
    <t>Luke Pitsenbarger</t>
  </si>
  <si>
    <t xml:space="preserve">Victoria (tori) </t>
  </si>
  <si>
    <t>DeAuntae</t>
  </si>
  <si>
    <t>Tori</t>
  </si>
  <si>
    <t>27 - dated</t>
  </si>
  <si>
    <t>Bud sisson st DPW drinks</t>
  </si>
  <si>
    <t xml:space="preserve">DeAuntae </t>
  </si>
  <si>
    <t>Zach Spencer</t>
  </si>
  <si>
    <t>Barbara Jordan</t>
  </si>
  <si>
    <t>Emily Engelbrecht</t>
  </si>
  <si>
    <t xml:space="preserve">Gilda castillo </t>
  </si>
  <si>
    <t>Gilda Castillo</t>
  </si>
  <si>
    <t>Angeles Cortes</t>
  </si>
  <si>
    <t>5 lbs savage Corn</t>
  </si>
  <si>
    <t>James w</t>
  </si>
  <si>
    <t xml:space="preserve">Travis </t>
  </si>
  <si>
    <t>Denise Wilkins</t>
  </si>
  <si>
    <t>Obi Nwokoro</t>
  </si>
  <si>
    <t>Adeola S</t>
  </si>
  <si>
    <t xml:space="preserve">Bud Stracker - sisson st dpw drinks </t>
  </si>
  <si>
    <t>Jean   extra</t>
  </si>
  <si>
    <t>extrta</t>
  </si>
  <si>
    <t xml:space="preserve">Gilda Castillo </t>
  </si>
  <si>
    <t>Nathan so</t>
  </si>
  <si>
    <t>Ceidelina Perez</t>
  </si>
  <si>
    <t>James willians</t>
  </si>
  <si>
    <t>(20 from yesterday)</t>
  </si>
  <si>
    <t>Raquel Bailey</t>
  </si>
  <si>
    <t>Bud- sisson st dpw waters</t>
  </si>
  <si>
    <t>Bud Stracker- personal</t>
  </si>
  <si>
    <t>Jonathan Ibironke</t>
  </si>
  <si>
    <t>Shinaya Todd</t>
  </si>
  <si>
    <t>damage/expired</t>
  </si>
  <si>
    <t xml:space="preserve">Gildacastillo </t>
  </si>
  <si>
    <t>watermelon</t>
  </si>
  <si>
    <t>Kendrick Johnson</t>
  </si>
  <si>
    <t>James williams</t>
  </si>
  <si>
    <t>Jean.  ExtrA</t>
  </si>
  <si>
    <t>Alana Thomas</t>
  </si>
  <si>
    <t>Davente Jones</t>
  </si>
  <si>
    <t>Family Function</t>
  </si>
  <si>
    <t>Bud- sisson st dranks</t>
  </si>
  <si>
    <t xml:space="preserve">Bud Stracker personal </t>
  </si>
  <si>
    <t xml:space="preserve">Jean.  Extra. </t>
  </si>
  <si>
    <t xml:space="preserve">Dinez Urquhart </t>
  </si>
  <si>
    <t xml:space="preserve">Kye Toussaint </t>
  </si>
  <si>
    <t>Kate Weeks</t>
  </si>
  <si>
    <t>Barbara</t>
  </si>
  <si>
    <t>Babara</t>
  </si>
  <si>
    <t xml:space="preserve">Romaine Bouldin </t>
  </si>
  <si>
    <t>Beverly Graham</t>
  </si>
  <si>
    <t>Worthy Charles</t>
  </si>
  <si>
    <t>Denise R</t>
  </si>
  <si>
    <t>Josiah Richardson</t>
  </si>
  <si>
    <t>Jean.   Extra</t>
  </si>
  <si>
    <t>Nathan So</t>
  </si>
  <si>
    <t>Gabriela Cortez</t>
  </si>
  <si>
    <t>damage/extra</t>
  </si>
  <si>
    <t>Laila Norwood</t>
  </si>
  <si>
    <t xml:space="preserve">Treasure McNeill </t>
  </si>
  <si>
    <t>Treston</t>
  </si>
  <si>
    <t>Doris Parker tuggle</t>
  </si>
  <si>
    <t>Treston (extra)</t>
  </si>
  <si>
    <t>damge/expired</t>
  </si>
  <si>
    <t xml:space="preserve">Bud-Sisson st dpw drinks </t>
  </si>
  <si>
    <t xml:space="preserve">Maddie p </t>
  </si>
  <si>
    <t>Joaiah</t>
  </si>
  <si>
    <t>Jean.  Extra</t>
  </si>
  <si>
    <t>Theresa Columbus</t>
  </si>
  <si>
    <t>Clarice Cook</t>
  </si>
  <si>
    <t>Yvette wilson</t>
  </si>
  <si>
    <t>Sara B. (free)</t>
  </si>
  <si>
    <t>Denise Rivers</t>
  </si>
  <si>
    <t xml:space="preserve">Beverly Graham </t>
  </si>
  <si>
    <t>Jjean.     Extra</t>
  </si>
  <si>
    <t>Jo Richards</t>
  </si>
  <si>
    <t>Melissa</t>
  </si>
  <si>
    <t>melissa</t>
  </si>
  <si>
    <t>Bud- Sisson st dpw drinks</t>
  </si>
  <si>
    <t>Bud Stracker - personal</t>
  </si>
  <si>
    <t>cat food</t>
  </si>
  <si>
    <t>Salena Wheatley</t>
  </si>
  <si>
    <t>Keyra Hall</t>
  </si>
  <si>
    <t xml:space="preserve">Nadia Simmons </t>
  </si>
  <si>
    <t>Cherise Castello</t>
  </si>
  <si>
    <t>Danaysha</t>
  </si>
  <si>
    <t xml:space="preserve">Danaysha </t>
  </si>
  <si>
    <t xml:space="preserve">Tyrisha Haskins </t>
  </si>
  <si>
    <t xml:space="preserve">Regina Shepherd </t>
  </si>
  <si>
    <t xml:space="preserve">Jemila Sequeira </t>
  </si>
  <si>
    <t>Annie Hopson</t>
  </si>
  <si>
    <t>Bud - Sisson st dpw drinks</t>
  </si>
  <si>
    <t>Barbara jordan</t>
  </si>
  <si>
    <t>Damage/expired/extra</t>
  </si>
  <si>
    <t>Regular (up to 20lbs)</t>
  </si>
  <si>
    <t xml:space="preserve">Bud - sisson st drinks </t>
  </si>
  <si>
    <t>Bertille Monteil</t>
  </si>
  <si>
    <t>Lynmette c</t>
  </si>
  <si>
    <t>Ryan J</t>
  </si>
  <si>
    <t>Anna West</t>
  </si>
  <si>
    <t>Anita Bryant</t>
  </si>
  <si>
    <t xml:space="preserve">Beverly  Graham </t>
  </si>
  <si>
    <t xml:space="preserve">Bud-sisson st dpw drinks </t>
  </si>
  <si>
    <t>Dee Satterfield Richards</t>
  </si>
  <si>
    <t xml:space="preserve"> Dee Satterfield Richards</t>
  </si>
  <si>
    <t>ryan jedlicka</t>
  </si>
  <si>
    <t xml:space="preserve">Kate Weeks </t>
  </si>
  <si>
    <t>Sharron</t>
  </si>
  <si>
    <t>Powerful</t>
  </si>
  <si>
    <t xml:space="preserve">Bud - Sisson st dpw drinks </t>
  </si>
  <si>
    <t xml:space="preserve">adeola </t>
  </si>
  <si>
    <t>Obinna Nwokoro</t>
  </si>
  <si>
    <t xml:space="preserve">Maria Reyes </t>
  </si>
  <si>
    <t>Angela Gutierrez</t>
  </si>
  <si>
    <t>Natalie Comas</t>
  </si>
  <si>
    <t>Ashley</t>
  </si>
  <si>
    <t xml:space="preserve">Janiyah Blake </t>
  </si>
  <si>
    <t>Tashai Houston</t>
  </si>
  <si>
    <t xml:space="preserve">Nailah Bishop </t>
  </si>
  <si>
    <t>Brielle Redd</t>
  </si>
  <si>
    <t>James</t>
  </si>
  <si>
    <t>John Henry Williams</t>
  </si>
  <si>
    <t>Bud Stracker - DPW sisson st drinks</t>
  </si>
  <si>
    <t>Raymond Gong</t>
  </si>
  <si>
    <t>Teresa  C</t>
  </si>
  <si>
    <t>Teresa C</t>
  </si>
  <si>
    <t xml:space="preserve">Emily Engelbrecht-Wiggans </t>
  </si>
  <si>
    <t>Naomi Johnson-Smith</t>
  </si>
  <si>
    <t>Kianna Wills</t>
  </si>
  <si>
    <t>Jaydan Ziglar</t>
  </si>
  <si>
    <t>Justin Zhong</t>
  </si>
  <si>
    <t>Danaysha Samuel</t>
  </si>
  <si>
    <t xml:space="preserve">Raven Fernandes </t>
  </si>
  <si>
    <t xml:space="preserve">Aisha Frazier </t>
  </si>
  <si>
    <t xml:space="preserve">Kayla Mack-Easley </t>
  </si>
  <si>
    <t>Teaunia Mcintyre</t>
  </si>
  <si>
    <t>Wubbie Taye</t>
  </si>
  <si>
    <t>Katelyn</t>
  </si>
  <si>
    <t>Susan larson</t>
  </si>
  <si>
    <t>Sarah Krensky</t>
  </si>
  <si>
    <t>Juantia Chandler</t>
  </si>
  <si>
    <t>Adeola</t>
  </si>
  <si>
    <t xml:space="preserve">Xiomara Rodriguez </t>
  </si>
  <si>
    <t>Shantika Bhat</t>
  </si>
  <si>
    <t>Lynette C</t>
  </si>
  <si>
    <t>Bach huynh</t>
  </si>
  <si>
    <t xml:space="preserve">Bach huynh </t>
  </si>
  <si>
    <t xml:space="preserve">Salena Wheatley </t>
  </si>
  <si>
    <t>Connor Lu</t>
  </si>
  <si>
    <t>Aza Shiao</t>
  </si>
  <si>
    <t xml:space="preserve">Julie Erhart </t>
  </si>
  <si>
    <t>Diego Trafton</t>
  </si>
  <si>
    <t>Waldo Alvarez</t>
  </si>
  <si>
    <t>Waldo</t>
  </si>
  <si>
    <t>Abby Disman</t>
  </si>
  <si>
    <t>Madison Whybrew</t>
  </si>
  <si>
    <t xml:space="preserve">Kendal </t>
  </si>
  <si>
    <t>Kendal</t>
  </si>
  <si>
    <t>Patricia Mensah</t>
  </si>
  <si>
    <t xml:space="preserve">Anita Bryant </t>
  </si>
  <si>
    <t>Rosemary Hendricks</t>
  </si>
  <si>
    <t>Susan</t>
  </si>
  <si>
    <t xml:space="preserve">Nishikar Paruchuri </t>
  </si>
  <si>
    <t>Sunita  pathik</t>
  </si>
  <si>
    <t xml:space="preserve">Rawan Elshobaky </t>
  </si>
  <si>
    <t>Emily Ma</t>
  </si>
  <si>
    <t>nathan so</t>
  </si>
  <si>
    <t xml:space="preserve">Shuwonjah Jeffrey </t>
  </si>
  <si>
    <t xml:space="preserve">Nevaeh Christy </t>
  </si>
  <si>
    <t>Sanaa Beck</t>
  </si>
  <si>
    <t>Sanaa Bec</t>
  </si>
  <si>
    <t>Cheryl A Utsey</t>
  </si>
  <si>
    <t>kids/linda arce</t>
  </si>
  <si>
    <t xml:space="preserve">Kate weeks </t>
  </si>
  <si>
    <t>Ellen Cho</t>
  </si>
  <si>
    <t xml:space="preserve">Emily Zhang </t>
  </si>
  <si>
    <t>Emily Zhang</t>
  </si>
  <si>
    <t>Sheniel Black</t>
  </si>
  <si>
    <t>Brian Min</t>
  </si>
  <si>
    <t>Malik Grace</t>
  </si>
  <si>
    <t>Amari</t>
  </si>
  <si>
    <t>Rawan Elshobaky</t>
  </si>
  <si>
    <t>Ritwik Raj</t>
  </si>
  <si>
    <t xml:space="preserve">James williams </t>
  </si>
  <si>
    <t xml:space="preserve">Yulia </t>
  </si>
  <si>
    <t>Susan Larson</t>
  </si>
  <si>
    <t>Bonnie Peck</t>
  </si>
  <si>
    <t>Nat Busbee</t>
  </si>
  <si>
    <t>Brian Horan</t>
  </si>
  <si>
    <t>Sarah K</t>
  </si>
  <si>
    <t>Bryce Barnes</t>
  </si>
  <si>
    <t xml:space="preserve">adeola sulaiman </t>
  </si>
  <si>
    <t>Emily Baca</t>
  </si>
  <si>
    <t>Kelly Chen</t>
  </si>
  <si>
    <t>Nicolle Diaz</t>
  </si>
  <si>
    <t>Daniel Jin</t>
  </si>
  <si>
    <t>elena porras</t>
  </si>
  <si>
    <t xml:space="preserve">jonyce bland </t>
  </si>
  <si>
    <t xml:space="preserve">Elena porras </t>
  </si>
  <si>
    <t>jonyce bland</t>
  </si>
  <si>
    <t>Lynnette (jackie)</t>
  </si>
  <si>
    <t>Nishikar Paruchuri</t>
  </si>
  <si>
    <t>Norrma</t>
  </si>
  <si>
    <t>Kelly Evans</t>
  </si>
  <si>
    <t xml:space="preserve">Adriana </t>
  </si>
  <si>
    <t xml:space="preserve">Nani </t>
  </si>
  <si>
    <t>Ryan Kasraii</t>
  </si>
  <si>
    <t>Efrain Baca</t>
  </si>
  <si>
    <t>Harris Malik</t>
  </si>
  <si>
    <t>Brendan Montgomery</t>
  </si>
  <si>
    <t>Azel King</t>
  </si>
  <si>
    <t>Justin Maduka</t>
  </si>
  <si>
    <t>Justin</t>
  </si>
  <si>
    <t>Juhi Dwivedi</t>
  </si>
  <si>
    <t>Mohamad Elghoul</t>
  </si>
  <si>
    <t>Arezou Esmaeeli</t>
  </si>
  <si>
    <t>Nailah Bishop</t>
  </si>
  <si>
    <t>Lynn</t>
  </si>
  <si>
    <t>Rewa Hazim</t>
  </si>
  <si>
    <t>Hanna S</t>
  </si>
  <si>
    <t>Amirabbas A</t>
  </si>
  <si>
    <t>Ngozi</t>
  </si>
  <si>
    <t>Saeid S</t>
  </si>
  <si>
    <t>Evan S</t>
  </si>
  <si>
    <t>Karla</t>
  </si>
  <si>
    <t>Kyrollos M</t>
  </si>
  <si>
    <t>Safeer</t>
  </si>
  <si>
    <t>Arsa H</t>
  </si>
  <si>
    <t>Heera R</t>
  </si>
  <si>
    <t>Isabel Z</t>
  </si>
  <si>
    <t>Jade W</t>
  </si>
  <si>
    <t>Bud attacker-Sisson st dpw drinks</t>
  </si>
  <si>
    <t>Obi</t>
  </si>
  <si>
    <t>Bud Stracker-Sisson st dpw</t>
  </si>
  <si>
    <t>Tina P</t>
  </si>
  <si>
    <t>Deidre</t>
  </si>
  <si>
    <t>Tracey Wilkins</t>
  </si>
  <si>
    <t>Lynnett</t>
  </si>
  <si>
    <t xml:space="preserve">Bud- Sisson st dpw drinks </t>
  </si>
  <si>
    <t>Tina paquet</t>
  </si>
  <si>
    <t>Tina p</t>
  </si>
  <si>
    <t>9 (+ friend)</t>
  </si>
  <si>
    <t>Tina</t>
  </si>
  <si>
    <t>Lynnnette c</t>
  </si>
  <si>
    <t>Weight</t>
  </si>
  <si>
    <t xml:space="preserve">Where is the food coming from? </t>
  </si>
  <si>
    <t>Rack Number:</t>
  </si>
  <si>
    <t>Amazon</t>
  </si>
  <si>
    <t>Pet Fiod</t>
  </si>
  <si>
    <t xml:space="preserve">Juice </t>
  </si>
  <si>
    <t>JC - 1/2</t>
  </si>
  <si>
    <t>Common Market</t>
  </si>
  <si>
    <t>Ausar’s Food donations</t>
  </si>
  <si>
    <t>JC - 1/10/22</t>
  </si>
  <si>
    <t xml:space="preserve">Pet food / dry goods </t>
  </si>
  <si>
    <t>Jan Kkeinman</t>
  </si>
  <si>
    <t>BCF</t>
  </si>
  <si>
    <t xml:space="preserve">Expired food </t>
  </si>
  <si>
    <t xml:space="preserve">Adriana Hill </t>
  </si>
  <si>
    <t xml:space="preserve">Clarice </t>
  </si>
  <si>
    <t>Sponges and soap</t>
  </si>
  <si>
    <t xml:space="preserve">Water dry goods </t>
  </si>
  <si>
    <t>Water soda</t>
  </si>
  <si>
    <t xml:space="preserve">Banana s and bread </t>
  </si>
  <si>
    <t>January sum</t>
  </si>
  <si>
    <t xml:space="preserve">Sodas </t>
  </si>
  <si>
    <t>Frig</t>
  </si>
  <si>
    <t>Mixed frig</t>
  </si>
  <si>
    <t>Dry</t>
  </si>
  <si>
    <t>Dry assorted</t>
  </si>
  <si>
    <t>Expired, from volunteer table</t>
  </si>
  <si>
    <t xml:space="preserve">assorted dry </t>
  </si>
  <si>
    <t xml:space="preserve"> Drinks</t>
  </si>
  <si>
    <t>Dairy and Juice</t>
  </si>
  <si>
    <t>Fresh Salmon</t>
  </si>
  <si>
    <t>Fridge Drinks</t>
  </si>
  <si>
    <t>Baby diapers</t>
  </si>
  <si>
    <t>Mixed      dry/produce</t>
  </si>
  <si>
    <t xml:space="preserve">Tariq </t>
  </si>
  <si>
    <t>Dairy/ produce</t>
  </si>
  <si>
    <t xml:space="preserve">Taja Keitt </t>
  </si>
  <si>
    <t>GoPuff</t>
  </si>
  <si>
    <t>Pet food and dry: mixed</t>
  </si>
  <si>
    <t xml:space="preserve">Assorted fridge </t>
  </si>
  <si>
    <t>Produce / Meat</t>
  </si>
  <si>
    <t>Produce/dry</t>
  </si>
  <si>
    <t>Torey Wlkins</t>
  </si>
  <si>
    <t xml:space="preserve">Cleaning Supplies </t>
  </si>
  <si>
    <t>Dry Goods</t>
  </si>
  <si>
    <t>DrynGoods</t>
  </si>
  <si>
    <t>Torry</t>
  </si>
  <si>
    <t xml:space="preserve">Meat/dairy </t>
  </si>
  <si>
    <t xml:space="preserve">Frozen shrimp </t>
  </si>
  <si>
    <t>Common market</t>
  </si>
  <si>
    <t>Dry and drink</t>
  </si>
  <si>
    <t>Go puff</t>
  </si>
  <si>
    <t xml:space="preserve">Paper towels </t>
  </si>
  <si>
    <t>Mixed: frozen &amp; dry</t>
  </si>
  <si>
    <t>Mixed/Dry</t>
  </si>
  <si>
    <t>Beth</t>
  </si>
  <si>
    <t>Shop supply</t>
  </si>
  <si>
    <t>Chiller</t>
  </si>
  <si>
    <t>Lotion</t>
  </si>
  <si>
    <t xml:space="preserve">Monah Perry </t>
  </si>
  <si>
    <t>McCormick</t>
  </si>
  <si>
    <t>Dry and bread</t>
  </si>
  <si>
    <t>Produce and meat</t>
  </si>
  <si>
    <t xml:space="preserve">Personal care (deodorant) </t>
  </si>
  <si>
    <t xml:space="preserve">Mix: meat &amp; dry goods </t>
  </si>
  <si>
    <t xml:space="preserve">Mix: dairy &amp; bread </t>
  </si>
  <si>
    <t>Frozen/produce</t>
  </si>
  <si>
    <t>Bananas</t>
  </si>
  <si>
    <t>Assorted frig</t>
  </si>
  <si>
    <t>JC - Correction</t>
  </si>
  <si>
    <t>Assar Import</t>
  </si>
  <si>
    <t>soap and sponges</t>
  </si>
  <si>
    <t>Vincent-Correctin</t>
  </si>
  <si>
    <t xml:space="preserve">Dish soap </t>
  </si>
  <si>
    <t>Meat and produce</t>
  </si>
  <si>
    <t xml:space="preserve">Assorted Fridge </t>
  </si>
  <si>
    <t>Dry paper Products</t>
  </si>
  <si>
    <t xml:space="preserve">Mixed Fridge </t>
  </si>
  <si>
    <t>We are us</t>
  </si>
  <si>
    <t xml:space="preserve">We our us </t>
  </si>
  <si>
    <t xml:space="preserve">Seafood </t>
  </si>
  <si>
    <t xml:space="preserve">Cailyn Lawler </t>
  </si>
  <si>
    <t>Frusge</t>
  </si>
  <si>
    <t>Detergent personal care</t>
  </si>
  <si>
    <t>Drinks/assort</t>
  </si>
  <si>
    <t>Asar</t>
  </si>
  <si>
    <t>Assorted fridge</t>
  </si>
  <si>
    <t>Drinks/dry</t>
  </si>
  <si>
    <t>Bread/frozen</t>
  </si>
  <si>
    <t>Mixed dry</t>
  </si>
  <si>
    <t>Connor</t>
  </si>
  <si>
    <t>paper products</t>
  </si>
  <si>
    <t>paper products/snacks</t>
  </si>
  <si>
    <t xml:space="preserve">Cleaning and pet food </t>
  </si>
  <si>
    <t>Walk up</t>
  </si>
  <si>
    <t>Mixed/fridge</t>
  </si>
  <si>
    <t>Salad bags</t>
  </si>
  <si>
    <t>Dry/Assorted</t>
  </si>
  <si>
    <t>Sandtown quakers</t>
  </si>
  <si>
    <t xml:space="preserve">Mixed Produce </t>
  </si>
  <si>
    <t>Donation/Missy</t>
  </si>
  <si>
    <t>First fruits farm</t>
  </si>
  <si>
    <t>Walmart</t>
  </si>
  <si>
    <t>UTZ</t>
  </si>
  <si>
    <t>First Fruit Farm</t>
  </si>
  <si>
    <t>First Fruit Farms</t>
  </si>
  <si>
    <t xml:space="preserve">First Fruit Farms </t>
  </si>
  <si>
    <t>Assort Dry</t>
  </si>
  <si>
    <t>Spencer Ellsworth</t>
  </si>
  <si>
    <t xml:space="preserve">Alto Dale Farm </t>
  </si>
  <si>
    <t xml:space="preserve">Laundry Detergent </t>
  </si>
  <si>
    <t xml:space="preserve">Walmart </t>
  </si>
  <si>
    <t>First fruit farm</t>
  </si>
  <si>
    <t xml:space="preserve">Spencer Ellsworth </t>
  </si>
  <si>
    <t>Alto Dale Farm</t>
  </si>
  <si>
    <t>Meat and dairy</t>
  </si>
  <si>
    <t>first fruits farm</t>
  </si>
  <si>
    <t>First farm fruits</t>
  </si>
  <si>
    <t>First Fruits Farm</t>
  </si>
  <si>
    <t>Fresh Fruit Farm</t>
  </si>
  <si>
    <t>FFF</t>
  </si>
  <si>
    <t>Dry/Mix</t>
  </si>
  <si>
    <t xml:space="preserve">Fresh fruit farm </t>
  </si>
  <si>
    <t>House hold</t>
  </si>
  <si>
    <t>na</t>
  </si>
  <si>
    <t xml:space="preserve">First fruits farm </t>
  </si>
  <si>
    <t>Toilet Paper</t>
  </si>
  <si>
    <t>White Box</t>
  </si>
  <si>
    <t>White box</t>
  </si>
  <si>
    <t>Donation</t>
  </si>
  <si>
    <t>First Fruits farm</t>
  </si>
  <si>
    <t xml:space="preserve">White box </t>
  </si>
  <si>
    <t xml:space="preserve">Xx </t>
  </si>
  <si>
    <t>Drinks (Dry)</t>
  </si>
  <si>
    <t>Arce</t>
  </si>
  <si>
    <t>First Fruit Farm - Corn</t>
  </si>
  <si>
    <t xml:space="preserve">Refrigerator </t>
  </si>
  <si>
    <t xml:space="preserve">First Fruit Farm </t>
  </si>
  <si>
    <t xml:space="preserve">Whitebox </t>
  </si>
  <si>
    <t xml:space="preserve">STEAM Toys </t>
  </si>
  <si>
    <t>Mixed Frig</t>
  </si>
  <si>
    <t>Homewood Friends</t>
  </si>
  <si>
    <t>Whitebox</t>
  </si>
  <si>
    <t>Jean (Cecil)</t>
  </si>
  <si>
    <t>Jean (Dallas Nicholas)</t>
  </si>
  <si>
    <t>Powerade</t>
  </si>
  <si>
    <t xml:space="preserve">Sandtown </t>
  </si>
  <si>
    <t>D-5</t>
  </si>
  <si>
    <t>H4</t>
  </si>
  <si>
    <t>H5</t>
  </si>
  <si>
    <t>L5</t>
  </si>
  <si>
    <t>N6</t>
  </si>
  <si>
    <t>L9</t>
  </si>
  <si>
    <t>L2</t>
  </si>
  <si>
    <t>L7</t>
  </si>
  <si>
    <t>N3</t>
  </si>
  <si>
    <t>M5</t>
  </si>
  <si>
    <t>D3</t>
  </si>
  <si>
    <t>O6</t>
  </si>
  <si>
    <t>O3</t>
  </si>
  <si>
    <t>P3</t>
  </si>
  <si>
    <t>E6</t>
  </si>
  <si>
    <t>L6</t>
  </si>
  <si>
    <t>L3</t>
  </si>
  <si>
    <t>Tubman House</t>
  </si>
  <si>
    <t>Jean Shiers</t>
  </si>
  <si>
    <t xml:space="preserve">Jean Shiers </t>
  </si>
  <si>
    <t>YWAM Greg</t>
  </si>
  <si>
    <t>COATS</t>
  </si>
  <si>
    <t xml:space="preserve">Assorted item </t>
  </si>
  <si>
    <t>Homewood (donation)</t>
  </si>
  <si>
    <t>Homewood</t>
  </si>
  <si>
    <t xml:space="preserve">Freezer </t>
  </si>
  <si>
    <t>Drinks (Fridge)</t>
  </si>
  <si>
    <t xml:space="preserve">Homewood and Friends </t>
  </si>
  <si>
    <t>Beauty items</t>
  </si>
  <si>
    <t xml:space="preserve">Dairy and Produce </t>
  </si>
  <si>
    <t>Sysco Purchase</t>
  </si>
  <si>
    <t>MIX</t>
  </si>
  <si>
    <t xml:space="preserve">Homewood Friends and Meeting </t>
  </si>
  <si>
    <t xml:space="preserve">Frozen </t>
  </si>
  <si>
    <t>Dannon</t>
  </si>
  <si>
    <t>dairy</t>
  </si>
  <si>
    <t>Food Donation  David Greenway</t>
  </si>
  <si>
    <t>Name (First, Last)</t>
  </si>
  <si>
    <t>How much does the pallet weigh?</t>
  </si>
  <si>
    <t>What section is the pallet in?</t>
  </si>
  <si>
    <t>What's on the pallet?</t>
  </si>
  <si>
    <t>Claire Franey</t>
  </si>
  <si>
    <t>A5</t>
  </si>
  <si>
    <t>Hallmark</t>
  </si>
  <si>
    <t xml:space="preserve">update </t>
  </si>
  <si>
    <t>A4</t>
  </si>
  <si>
    <t>B5</t>
  </si>
  <si>
    <t>Plates &amp; Bowls</t>
  </si>
  <si>
    <t>C2</t>
  </si>
  <si>
    <t>Cups &amp; plates</t>
  </si>
  <si>
    <t>C6</t>
  </si>
  <si>
    <t>Sauces/oil</t>
  </si>
  <si>
    <t>E5</t>
  </si>
  <si>
    <t>Tissue/TP</t>
  </si>
  <si>
    <t>Cooking oil</t>
  </si>
  <si>
    <t>Firewood/logs</t>
  </si>
  <si>
    <t>Flour</t>
  </si>
  <si>
    <t>Misc Drinks</t>
  </si>
  <si>
    <t>J5 (curb)</t>
  </si>
  <si>
    <t>Tissue</t>
  </si>
  <si>
    <t>J4 (curb)</t>
  </si>
  <si>
    <t>J1 (curb)</t>
  </si>
  <si>
    <t>J2 (curb)</t>
  </si>
  <si>
    <t>Tissues</t>
  </si>
  <si>
    <t>L8</t>
  </si>
  <si>
    <t>P2</t>
  </si>
  <si>
    <t>Pancake mix</t>
  </si>
  <si>
    <t>Fem products</t>
  </si>
  <si>
    <t>N5</t>
  </si>
  <si>
    <t>Coffee</t>
  </si>
  <si>
    <t>N2</t>
  </si>
  <si>
    <t>M6</t>
  </si>
  <si>
    <t>Baking goods</t>
  </si>
  <si>
    <t>M3</t>
  </si>
  <si>
    <t>T1</t>
  </si>
  <si>
    <t>T2</t>
  </si>
  <si>
    <t>Fish</t>
  </si>
  <si>
    <t>T3</t>
  </si>
  <si>
    <t>Salmon</t>
  </si>
  <si>
    <t>T4</t>
  </si>
  <si>
    <t>Steaks</t>
  </si>
  <si>
    <t>T8</t>
  </si>
  <si>
    <t>T9</t>
  </si>
  <si>
    <t>T10</t>
  </si>
  <si>
    <t>C1</t>
  </si>
  <si>
    <t>Fire/charcoal</t>
  </si>
  <si>
    <t>O4</t>
  </si>
  <si>
    <t>MD Food Bank</t>
  </si>
  <si>
    <t>Cans</t>
  </si>
  <si>
    <t>XX (Freezer truck)</t>
  </si>
  <si>
    <t>Assort meat</t>
  </si>
  <si>
    <t>Baked goods</t>
  </si>
  <si>
    <t xml:space="preserve">Feminine products </t>
  </si>
  <si>
    <t xml:space="preserve">Ziploc/storage containers </t>
  </si>
  <si>
    <t>Coffee/tea</t>
  </si>
  <si>
    <t>Pancake/syrup</t>
  </si>
  <si>
    <t>N4</t>
  </si>
  <si>
    <t xml:space="preserve">Emily Stucke </t>
  </si>
  <si>
    <t>XX Frozen</t>
  </si>
  <si>
    <t>Oral Care</t>
  </si>
  <si>
    <t>Medicine/Vitamins</t>
  </si>
  <si>
    <t>Storage containers</t>
  </si>
  <si>
    <t>P1</t>
  </si>
  <si>
    <t>K1</t>
  </si>
  <si>
    <t>K2</t>
  </si>
  <si>
    <t>Water for Staff</t>
  </si>
  <si>
    <t>P4</t>
  </si>
  <si>
    <t xml:space="preserve">Vinegar </t>
  </si>
  <si>
    <t>Grain/Pasta</t>
  </si>
  <si>
    <t>Paper Plates</t>
  </si>
  <si>
    <t>Canned goods/ loose</t>
  </si>
  <si>
    <t>Sauces/cases</t>
  </si>
  <si>
    <t>Food Bank cans</t>
  </si>
  <si>
    <t>Produce/Dairy/Pads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</si>
</sst>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_);[Red](#,##0)"/>
    <numFmt numFmtId="165" formatCode="m/d/yyyy h:mm:ss"/>
    <numFmt numFmtId="166" formatCode="m/d/yyyy"/>
    <numFmt numFmtId="167" formatCode="m/d/yy"/>
  </numFmts>
  <fonts count="11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FFFFFF"/>
      <name val="Arial"/>
    </font>
    <font>
      <b/>
      <color theme="1"/>
      <name val="Arial"/>
      <scheme val="minor"/>
    </font>
    <font>
      <sz val="11.0"/>
      <color rgb="FF030303"/>
      <name val="Roboto"/>
    </font>
    <font>
      <sz val="11.0"/>
      <color rgb="FF000000"/>
      <name val="Inconsolata"/>
    </font>
    <font>
      <color rgb="FF000000"/>
      <name val="Roboto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4" fillId="0" fontId="1" numFmtId="0" xfId="0" applyAlignment="1" applyBorder="1" applyFont="1">
      <alignment shrinkToFit="0" vertical="bottom" wrapText="1"/>
    </xf>
    <xf borderId="4" fillId="0" fontId="3" numFmtId="164" xfId="0" applyAlignment="1" applyBorder="1" applyFont="1" applyNumberFormat="1">
      <alignment horizontal="right" vertical="bottom"/>
    </xf>
    <xf borderId="4" fillId="0" fontId="4" numFmtId="0" xfId="0" applyBorder="1" applyFont="1"/>
    <xf borderId="4" fillId="0" fontId="5" numFmtId="164" xfId="0" applyAlignment="1" applyBorder="1" applyFont="1" applyNumberFormat="1">
      <alignment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0" fontId="3" numFmtId="3" xfId="0" applyAlignment="1" applyBorder="1" applyFont="1" applyNumberFormat="1">
      <alignment horizontal="right" vertical="bottom"/>
    </xf>
    <xf borderId="4" fillId="0" fontId="5" numFmtId="3" xfId="0" applyAlignment="1" applyBorder="1" applyFont="1" applyNumberFormat="1">
      <alignment horizontal="right" vertical="bottom"/>
    </xf>
    <xf borderId="4" fillId="0" fontId="3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vertical="bottom"/>
    </xf>
    <xf borderId="4" fillId="0" fontId="4" numFmtId="164" xfId="0" applyAlignment="1" applyBorder="1" applyFont="1" applyNumberFormat="1">
      <alignment readingOrder="0"/>
    </xf>
    <xf borderId="4" fillId="0" fontId="4" numFmtId="0" xfId="0" applyAlignment="1" applyBorder="1" applyFont="1">
      <alignment readingOrder="0"/>
    </xf>
    <xf borderId="4" fillId="0" fontId="3" numFmtId="3" xfId="0" applyAlignment="1" applyBorder="1" applyFont="1" applyNumberFormat="1">
      <alignment horizontal="right" readingOrder="0" vertical="bottom"/>
    </xf>
    <xf borderId="4" fillId="0" fontId="3" numFmtId="3" xfId="0" applyAlignment="1" applyBorder="1" applyFont="1" applyNumberFormat="1">
      <alignment readingOrder="0" vertical="bottom"/>
    </xf>
    <xf borderId="4" fillId="0" fontId="3" numFmtId="3" xfId="0" applyAlignment="1" applyBorder="1" applyFont="1" applyNumberFormat="1">
      <alignment vertical="bottom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4" numFmtId="165" xfId="0" applyFont="1" applyNumberFormat="1"/>
    <xf borderId="0" fillId="0" fontId="4" numFmtId="0" xfId="0" applyFont="1"/>
    <xf borderId="0" fillId="4" fontId="7" numFmtId="165" xfId="0" applyFill="1" applyFont="1" applyNumberFormat="1"/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5" fontId="4" numFmtId="0" xfId="0" applyFill="1" applyFont="1"/>
    <xf borderId="0" fillId="6" fontId="4" numFmtId="0" xfId="0" applyAlignment="1" applyFill="1" applyFont="1">
      <alignment readingOrder="0"/>
    </xf>
    <xf borderId="0" fillId="5" fontId="4" numFmtId="0" xfId="0" applyAlignment="1" applyFont="1">
      <alignment readingOrder="0"/>
    </xf>
    <xf borderId="0" fillId="5" fontId="4" numFmtId="165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7" fontId="8" numFmtId="0" xfId="0" applyAlignment="1" applyFill="1" applyFont="1">
      <alignment readingOrder="0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left"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" max="3" width="16.13"/>
    <col customWidth="1" min="4" max="4" width="14.63"/>
    <col customWidth="1" min="5" max="5" width="14.25"/>
    <col customWidth="1" min="6" max="6" width="21.8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4"/>
      <c r="C2" s="4"/>
      <c r="D2" s="4"/>
      <c r="E2" s="4"/>
      <c r="F2" s="4"/>
    </row>
    <row r="3">
      <c r="A3" s="5" t="s">
        <v>1</v>
      </c>
      <c r="B3" s="6">
        <f>sum(B9:B20,C9:C20)</f>
        <v>1323758.4</v>
      </c>
      <c r="C3" s="5" t="s">
        <v>2</v>
      </c>
      <c r="D3" s="6">
        <f>sum(D9:D20)</f>
        <v>1360395</v>
      </c>
      <c r="E3" s="7"/>
      <c r="F3" s="8" t="s">
        <v>3</v>
      </c>
    </row>
    <row r="4">
      <c r="A4" s="9" t="s">
        <v>4</v>
      </c>
      <c r="B4" s="6">
        <f>B20</f>
        <v>79498</v>
      </c>
      <c r="C4" s="10" t="s">
        <v>5</v>
      </c>
      <c r="D4" s="11">
        <f>D20</f>
        <v>51731</v>
      </c>
      <c r="E4" s="7"/>
      <c r="F4" s="12">
        <f>sum('Warehouse Tracker'!C2:C325)</f>
        <v>27599</v>
      </c>
    </row>
    <row r="5">
      <c r="A5" s="9" t="s">
        <v>6</v>
      </c>
      <c r="B5" s="13">
        <v>1800000.0</v>
      </c>
      <c r="C5" s="9" t="s">
        <v>7</v>
      </c>
      <c r="D5" s="6">
        <f>B5-B3</f>
        <v>476241.6</v>
      </c>
      <c r="E5" s="7"/>
      <c r="F5" s="14"/>
    </row>
    <row r="6">
      <c r="A6" s="10" t="s">
        <v>8</v>
      </c>
      <c r="B6" s="15">
        <v>1711977.0</v>
      </c>
      <c r="C6" s="10" t="s">
        <v>9</v>
      </c>
      <c r="D6" s="13">
        <v>1587992.0</v>
      </c>
      <c r="E6" s="7"/>
      <c r="F6" s="14"/>
    </row>
    <row r="7">
      <c r="A7" s="4"/>
      <c r="B7" s="4"/>
      <c r="C7" s="4"/>
      <c r="D7" s="4"/>
      <c r="E7" s="4"/>
      <c r="F7" s="4"/>
    </row>
    <row r="8">
      <c r="A8" s="10" t="s">
        <v>10</v>
      </c>
      <c r="B8" s="10" t="s">
        <v>11</v>
      </c>
      <c r="C8" s="9" t="s">
        <v>12</v>
      </c>
      <c r="D8" s="9" t="s">
        <v>13</v>
      </c>
      <c r="E8" s="16" t="s">
        <v>14</v>
      </c>
      <c r="F8" s="9" t="s">
        <v>15</v>
      </c>
    </row>
    <row r="9">
      <c r="A9" s="9" t="s">
        <v>16</v>
      </c>
      <c r="B9" s="17">
        <v>124300.6</v>
      </c>
      <c r="C9" s="18">
        <v>4192.4</v>
      </c>
      <c r="D9" s="11">
        <f>'Import 2022'!C195</f>
        <v>154523</v>
      </c>
      <c r="E9" s="7"/>
      <c r="F9" s="19">
        <f t="shared" ref="F9:F14" si="1">(C9+B9)-D9</f>
        <v>-26030</v>
      </c>
    </row>
    <row r="10">
      <c r="A10" s="9" t="s">
        <v>17</v>
      </c>
      <c r="B10" s="17">
        <v>265828.2</v>
      </c>
      <c r="C10" s="18">
        <v>2724.0</v>
      </c>
      <c r="D10" s="17">
        <v>281798.0</v>
      </c>
      <c r="E10" s="7"/>
      <c r="F10" s="19">
        <f t="shared" si="1"/>
        <v>-13245.8</v>
      </c>
    </row>
    <row r="11">
      <c r="A11" s="9" t="s">
        <v>18</v>
      </c>
      <c r="B11" s="11">
        <f>sum('Export 2022'!C530:C787)</f>
        <v>179819</v>
      </c>
      <c r="C11" s="19">
        <v>5040.5</v>
      </c>
      <c r="D11" s="11">
        <f>sum('Import 2022'!C458:C657)</f>
        <v>182056</v>
      </c>
      <c r="E11" s="7"/>
      <c r="F11" s="19">
        <f t="shared" si="1"/>
        <v>2803.5</v>
      </c>
    </row>
    <row r="12">
      <c r="A12" s="9" t="s">
        <v>19</v>
      </c>
      <c r="B12" s="17">
        <v>86631.0</v>
      </c>
      <c r="C12" s="18">
        <v>5078.0</v>
      </c>
      <c r="D12" s="17">
        <v>106220.0</v>
      </c>
      <c r="E12" s="7"/>
      <c r="F12" s="19">
        <f t="shared" si="1"/>
        <v>-14511</v>
      </c>
    </row>
    <row r="13">
      <c r="A13" s="9" t="s">
        <v>20</v>
      </c>
      <c r="B13" s="17">
        <v>68451.0</v>
      </c>
      <c r="C13" s="17">
        <v>5315.0</v>
      </c>
      <c r="D13" s="17">
        <v>86790.0</v>
      </c>
      <c r="E13" s="7"/>
      <c r="F13" s="19">
        <f t="shared" si="1"/>
        <v>-13024</v>
      </c>
    </row>
    <row r="14">
      <c r="A14" s="9" t="s">
        <v>21</v>
      </c>
      <c r="B14" s="11">
        <f>sum('Export 2022'!C1273:C1517)</f>
        <v>85564</v>
      </c>
      <c r="C14" s="17">
        <v>3906.0</v>
      </c>
      <c r="D14" s="11">
        <f>sum('Import 2022'!C932:C1053)</f>
        <v>87906</v>
      </c>
      <c r="E14" s="11">
        <v>42392.0</v>
      </c>
      <c r="F14" s="19">
        <f t="shared" si="1"/>
        <v>1564</v>
      </c>
    </row>
    <row r="15">
      <c r="A15" s="9" t="s">
        <v>22</v>
      </c>
      <c r="B15" s="17">
        <v>100111.0</v>
      </c>
      <c r="C15" s="17">
        <v>5941.5</v>
      </c>
      <c r="D15" s="17">
        <v>57222.0</v>
      </c>
      <c r="E15" s="11">
        <f>sum('Warehouse Tracker'!C240:C305)</f>
        <v>-14793</v>
      </c>
      <c r="F15" s="19">
        <f t="shared" ref="F15:F20" si="2">(E15+B15)-D15</f>
        <v>28096</v>
      </c>
    </row>
    <row r="16">
      <c r="A16" s="9" t="s">
        <v>23</v>
      </c>
      <c r="B16" s="11">
        <f>sum('Export 2022'!C1778:C1929)</f>
        <v>54382</v>
      </c>
      <c r="C16" s="17">
        <v>16725.6</v>
      </c>
      <c r="D16" s="11">
        <f>sum('Import 2022'!C1151:C1252)</f>
        <v>71426</v>
      </c>
      <c r="E16" s="11"/>
      <c r="F16" s="19">
        <f t="shared" si="2"/>
        <v>-17044</v>
      </c>
    </row>
    <row r="17">
      <c r="A17" s="9" t="s">
        <v>24</v>
      </c>
      <c r="B17" s="17">
        <v>58902.0</v>
      </c>
      <c r="C17" s="11">
        <v>11075.7</v>
      </c>
      <c r="D17" s="11">
        <v>74523.0</v>
      </c>
      <c r="E17" s="11"/>
      <c r="F17" s="19">
        <f t="shared" si="2"/>
        <v>-15621</v>
      </c>
    </row>
    <row r="18">
      <c r="A18" s="9" t="s">
        <v>25</v>
      </c>
      <c r="B18" s="11">
        <v>68040.0</v>
      </c>
      <c r="C18" s="11">
        <v>5084.9</v>
      </c>
      <c r="D18" s="11">
        <v>118542.0</v>
      </c>
      <c r="E18" s="11"/>
      <c r="F18" s="19">
        <f t="shared" si="2"/>
        <v>-50502</v>
      </c>
    </row>
    <row r="19">
      <c r="A19" s="9" t="s">
        <v>26</v>
      </c>
      <c r="B19" s="11">
        <v>76023.0</v>
      </c>
      <c r="C19" s="11">
        <v>5980.0</v>
      </c>
      <c r="D19" s="11">
        <v>87658.0</v>
      </c>
      <c r="E19" s="11"/>
      <c r="F19" s="19">
        <f t="shared" si="2"/>
        <v>-11635</v>
      </c>
    </row>
    <row r="20">
      <c r="A20" s="9" t="s">
        <v>27</v>
      </c>
      <c r="B20" s="17">
        <v>79498.0</v>
      </c>
      <c r="C20" s="11">
        <f>sum('Volunteer Export 2022'!C4391:C4845)</f>
        <v>5145</v>
      </c>
      <c r="D20" s="11">
        <f>sum('Import 2022'!C1628:C2092)</f>
        <v>51731</v>
      </c>
      <c r="E20" s="11"/>
      <c r="F20" s="19">
        <f t="shared" si="2"/>
        <v>27767</v>
      </c>
    </row>
    <row r="23">
      <c r="A23" s="20" t="s">
        <v>17</v>
      </c>
    </row>
  </sheetData>
  <autoFilter ref="$A$1:$F$1"/>
  <mergeCells count="1">
    <mergeCell ref="A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28</v>
      </c>
      <c r="B1" s="21" t="s">
        <v>29</v>
      </c>
      <c r="C1" s="21" t="s">
        <v>30</v>
      </c>
      <c r="D1" s="21" t="s">
        <v>31</v>
      </c>
      <c r="F1" s="21" t="s">
        <v>28</v>
      </c>
      <c r="G1" s="21" t="s">
        <v>29</v>
      </c>
      <c r="H1" s="21" t="s">
        <v>30</v>
      </c>
      <c r="I1" s="21" t="s">
        <v>31</v>
      </c>
      <c r="K1" s="22" t="s">
        <v>32</v>
      </c>
    </row>
    <row r="2">
      <c r="A2" s="23">
        <f>IFERROR(__xludf.DUMMYFUNCTION("query({'Warehouse Tracker'!A2:D4714;'Import 2022'!A979:D4714;'Export 2022'!A1397:D4714;'Volunteer Export 2022'!A2567:D4714},""select * where Col1 is not Null"")"),44728.62332396991)</f>
        <v>44728.62332</v>
      </c>
      <c r="B2" s="24" t="str">
        <f>IFERROR(__xludf.DUMMYFUNCTION("""COMPUTED_VALUE"""),"Claire Franey")</f>
        <v>Claire Franey</v>
      </c>
      <c r="C2" s="24">
        <f>IFERROR(__xludf.DUMMYFUNCTION("""COMPUTED_VALUE"""),263.0)</f>
        <v>263</v>
      </c>
      <c r="D2" s="24" t="str">
        <f>IFERROR(__xludf.DUMMYFUNCTION("""COMPUTED_VALUE"""),"A5")</f>
        <v>A5</v>
      </c>
      <c r="F2" s="25">
        <f>IFERROR(__xludf.DUMMYFUNCTION("SORT(QUERY({'Warehouse Tracker'!A2:D4714;'Import 2022'!A979:D4714;'Export 2022'!A1397:D4714;'Volunteer Export 2022'!A2567:D4714},""select * where Col1 is not Null or Col2 is not Null""),1,TRUE)"),44728.59750224537)</f>
        <v>44728.5975</v>
      </c>
      <c r="G2" s="24" t="str">
        <f>IFERROR(__xludf.DUMMYFUNCTION("""COMPUTED_VALUE"""),"Ausar")</f>
        <v>Ausar</v>
      </c>
      <c r="H2" s="24">
        <f>IFERROR(__xludf.DUMMYFUNCTION("""COMPUTED_VALUE"""),97.0)</f>
        <v>97</v>
      </c>
      <c r="I2" s="24" t="str">
        <f>IFERROR(__xludf.DUMMYFUNCTION("""COMPUTED_VALUE"""),"Assorted option")</f>
        <v>Assorted option</v>
      </c>
    </row>
    <row r="3">
      <c r="A3" s="23">
        <f>IFERROR(__xludf.DUMMYFUNCTION("""COMPUTED_VALUE"""),44728.6235584838)</f>
        <v>44728.62356</v>
      </c>
      <c r="B3" s="24" t="str">
        <f>IFERROR(__xludf.DUMMYFUNCTION("""COMPUTED_VALUE"""),"Claire")</f>
        <v>Claire</v>
      </c>
      <c r="C3" s="24">
        <f>IFERROR(__xludf.DUMMYFUNCTION("""COMPUTED_VALUE"""),198.0)</f>
        <v>198</v>
      </c>
      <c r="D3" s="24" t="str">
        <f>IFERROR(__xludf.DUMMYFUNCTION("""COMPUTED_VALUE"""),"A4")</f>
        <v>A4</v>
      </c>
      <c r="F3" s="23">
        <f>IFERROR(__xludf.DUMMYFUNCTION("""COMPUTED_VALUE"""),44728.60459851851)</f>
        <v>44728.6046</v>
      </c>
      <c r="G3" s="24" t="str">
        <f>IFERROR(__xludf.DUMMYFUNCTION("""COMPUTED_VALUE"""),"Ausar ")</f>
        <v>Ausar </v>
      </c>
      <c r="H3" s="24">
        <f>IFERROR(__xludf.DUMMYFUNCTION("""COMPUTED_VALUE"""),422.0)</f>
        <v>422</v>
      </c>
      <c r="I3" s="24" t="str">
        <f>IFERROR(__xludf.DUMMYFUNCTION("""COMPUTED_VALUE"""),"Produce")</f>
        <v>Produce</v>
      </c>
    </row>
    <row r="4">
      <c r="A4" s="23">
        <f>IFERROR(__xludf.DUMMYFUNCTION("""COMPUTED_VALUE"""),44728.62386060185)</f>
        <v>44728.62386</v>
      </c>
      <c r="B4" s="24" t="str">
        <f>IFERROR(__xludf.DUMMYFUNCTION("""COMPUTED_VALUE"""),"Claire")</f>
        <v>Claire</v>
      </c>
      <c r="C4" s="24">
        <f>IFERROR(__xludf.DUMMYFUNCTION("""COMPUTED_VALUE"""),199.0)</f>
        <v>199</v>
      </c>
      <c r="D4" s="24" t="str">
        <f>IFERROR(__xludf.DUMMYFUNCTION("""COMPUTED_VALUE"""),"B2")</f>
        <v>B2</v>
      </c>
      <c r="F4" s="23">
        <f>IFERROR(__xludf.DUMMYFUNCTION("""COMPUTED_VALUE"""),44728.60494480324)</f>
        <v>44728.60494</v>
      </c>
      <c r="G4" s="24" t="str">
        <f>IFERROR(__xludf.DUMMYFUNCTION("""COMPUTED_VALUE"""),"Ausar ")</f>
        <v>Ausar </v>
      </c>
      <c r="H4" s="24">
        <f>IFERROR(__xludf.DUMMYFUNCTION("""COMPUTED_VALUE"""),46.0)</f>
        <v>46</v>
      </c>
      <c r="I4" s="24" t="str">
        <f>IFERROR(__xludf.DUMMYFUNCTION("""COMPUTED_VALUE"""),"Meat")</f>
        <v>Meat</v>
      </c>
    </row>
    <row r="5">
      <c r="A5" s="23">
        <f>IFERROR(__xludf.DUMMYFUNCTION("""COMPUTED_VALUE"""),44728.624284398145)</f>
        <v>44728.62428</v>
      </c>
      <c r="B5" s="24" t="str">
        <f>IFERROR(__xludf.DUMMYFUNCTION("""COMPUTED_VALUE"""),"Claire")</f>
        <v>Claire</v>
      </c>
      <c r="C5" s="24">
        <f>IFERROR(__xludf.DUMMYFUNCTION("""COMPUTED_VALUE"""),181.0)</f>
        <v>181</v>
      </c>
      <c r="D5" s="24" t="str">
        <f>IFERROR(__xludf.DUMMYFUNCTION("""COMPUTED_VALUE"""),"B1")</f>
        <v>B1</v>
      </c>
      <c r="F5" s="23">
        <f>IFERROR(__xludf.DUMMYFUNCTION("""COMPUTED_VALUE"""),44728.60546370371)</f>
        <v>44728.60546</v>
      </c>
      <c r="G5" s="24" t="str">
        <f>IFERROR(__xludf.DUMMYFUNCTION("""COMPUTED_VALUE"""),"Ausar ")</f>
        <v>Ausar </v>
      </c>
      <c r="H5" s="24">
        <f>IFERROR(__xludf.DUMMYFUNCTION("""COMPUTED_VALUE"""),289.0)</f>
        <v>289</v>
      </c>
      <c r="I5" s="24" t="str">
        <f>IFERROR(__xludf.DUMMYFUNCTION("""COMPUTED_VALUE"""),"Frozen")</f>
        <v>Frozen</v>
      </c>
    </row>
    <row r="6">
      <c r="A6" s="23">
        <f>IFERROR(__xludf.DUMMYFUNCTION("""COMPUTED_VALUE"""),44728.62455606482)</f>
        <v>44728.62456</v>
      </c>
      <c r="B6" s="24" t="str">
        <f>IFERROR(__xludf.DUMMYFUNCTION("""COMPUTED_VALUE"""),"Claire")</f>
        <v>Claire</v>
      </c>
      <c r="C6" s="24">
        <f>IFERROR(__xludf.DUMMYFUNCTION("""COMPUTED_VALUE"""),131.0)</f>
        <v>131</v>
      </c>
      <c r="D6" s="24" t="str">
        <f>IFERROR(__xludf.DUMMYFUNCTION("""COMPUTED_VALUE"""),"B4")</f>
        <v>B4</v>
      </c>
      <c r="F6" s="23">
        <f>IFERROR(__xludf.DUMMYFUNCTION("""COMPUTED_VALUE"""),44728.62332396991)</f>
        <v>44728.62332</v>
      </c>
      <c r="G6" s="24" t="str">
        <f>IFERROR(__xludf.DUMMYFUNCTION("""COMPUTED_VALUE"""),"Claire Franey")</f>
        <v>Claire Franey</v>
      </c>
      <c r="H6" s="24">
        <f>IFERROR(__xludf.DUMMYFUNCTION("""COMPUTED_VALUE"""),263.0)</f>
        <v>263</v>
      </c>
      <c r="I6" s="24" t="str">
        <f>IFERROR(__xludf.DUMMYFUNCTION("""COMPUTED_VALUE"""),"A5")</f>
        <v>A5</v>
      </c>
    </row>
    <row r="7">
      <c r="A7" s="23">
        <f>IFERROR(__xludf.DUMMYFUNCTION("""COMPUTED_VALUE"""),44728.62484163194)</f>
        <v>44728.62484</v>
      </c>
      <c r="B7" s="24" t="str">
        <f>IFERROR(__xludf.DUMMYFUNCTION("""COMPUTED_VALUE"""),"Claire")</f>
        <v>Claire</v>
      </c>
      <c r="C7" s="24">
        <f>IFERROR(__xludf.DUMMYFUNCTION("""COMPUTED_VALUE"""),620.0)</f>
        <v>620</v>
      </c>
      <c r="D7" s="24" t="str">
        <f>IFERROR(__xludf.DUMMYFUNCTION("""COMPUTED_VALUE"""),"B5")</f>
        <v>B5</v>
      </c>
      <c r="F7" s="23">
        <f>IFERROR(__xludf.DUMMYFUNCTION("""COMPUTED_VALUE"""),44728.6235584838)</f>
        <v>44728.62356</v>
      </c>
      <c r="G7" s="24" t="str">
        <f>IFERROR(__xludf.DUMMYFUNCTION("""COMPUTED_VALUE"""),"Claire")</f>
        <v>Claire</v>
      </c>
      <c r="H7" s="24">
        <f>IFERROR(__xludf.DUMMYFUNCTION("""COMPUTED_VALUE"""),198.0)</f>
        <v>198</v>
      </c>
      <c r="I7" s="24" t="str">
        <f>IFERROR(__xludf.DUMMYFUNCTION("""COMPUTED_VALUE"""),"A4")</f>
        <v>A4</v>
      </c>
    </row>
    <row r="8">
      <c r="A8" s="23">
        <f>IFERROR(__xludf.DUMMYFUNCTION("""COMPUTED_VALUE"""),44728.62518710648)</f>
        <v>44728.62519</v>
      </c>
      <c r="B8" s="24" t="str">
        <f>IFERROR(__xludf.DUMMYFUNCTION("""COMPUTED_VALUE"""),"Claire")</f>
        <v>Claire</v>
      </c>
      <c r="C8" s="24">
        <f>IFERROR(__xludf.DUMMYFUNCTION("""COMPUTED_VALUE"""),308.0)</f>
        <v>308</v>
      </c>
      <c r="D8" s="24" t="str">
        <f>IFERROR(__xludf.DUMMYFUNCTION("""COMPUTED_VALUE"""),"C2")</f>
        <v>C2</v>
      </c>
      <c r="F8" s="23">
        <f>IFERROR(__xludf.DUMMYFUNCTION("""COMPUTED_VALUE"""),44728.62386060185)</f>
        <v>44728.62386</v>
      </c>
      <c r="G8" s="24" t="str">
        <f>IFERROR(__xludf.DUMMYFUNCTION("""COMPUTED_VALUE"""),"Claire")</f>
        <v>Claire</v>
      </c>
      <c r="H8" s="24">
        <f>IFERROR(__xludf.DUMMYFUNCTION("""COMPUTED_VALUE"""),199.0)</f>
        <v>199</v>
      </c>
      <c r="I8" s="24" t="str">
        <f>IFERROR(__xludf.DUMMYFUNCTION("""COMPUTED_VALUE"""),"B2")</f>
        <v>B2</v>
      </c>
    </row>
    <row r="9">
      <c r="A9" s="23">
        <f>IFERROR(__xludf.DUMMYFUNCTION("""COMPUTED_VALUE"""),44728.62546638889)</f>
        <v>44728.62547</v>
      </c>
      <c r="B9" s="24" t="str">
        <f>IFERROR(__xludf.DUMMYFUNCTION("""COMPUTED_VALUE"""),"Claire")</f>
        <v>Claire</v>
      </c>
      <c r="C9" s="24">
        <f>IFERROR(__xludf.DUMMYFUNCTION("""COMPUTED_VALUE"""),1132.0)</f>
        <v>1132</v>
      </c>
      <c r="D9" s="24" t="str">
        <f>IFERROR(__xludf.DUMMYFUNCTION("""COMPUTED_VALUE"""),"C6")</f>
        <v>C6</v>
      </c>
      <c r="F9" s="23">
        <f>IFERROR(__xludf.DUMMYFUNCTION("""COMPUTED_VALUE"""),44728.624284398145)</f>
        <v>44728.62428</v>
      </c>
      <c r="G9" s="24" t="str">
        <f>IFERROR(__xludf.DUMMYFUNCTION("""COMPUTED_VALUE"""),"Claire")</f>
        <v>Claire</v>
      </c>
      <c r="H9" s="24">
        <f>IFERROR(__xludf.DUMMYFUNCTION("""COMPUTED_VALUE"""),181.0)</f>
        <v>181</v>
      </c>
      <c r="I9" s="24" t="str">
        <f>IFERROR(__xludf.DUMMYFUNCTION("""COMPUTED_VALUE"""),"B1")</f>
        <v>B1</v>
      </c>
    </row>
    <row r="10">
      <c r="A10" s="23">
        <f>IFERROR(__xludf.DUMMYFUNCTION("""COMPUTED_VALUE"""),44728.62571460648)</f>
        <v>44728.62571</v>
      </c>
      <c r="B10" s="24" t="str">
        <f>IFERROR(__xludf.DUMMYFUNCTION("""COMPUTED_VALUE"""),"Claire")</f>
        <v>Claire</v>
      </c>
      <c r="C10" s="24">
        <f>IFERROR(__xludf.DUMMYFUNCTION("""COMPUTED_VALUE"""),54.0)</f>
        <v>54</v>
      </c>
      <c r="D10" s="24" t="str">
        <f>IFERROR(__xludf.DUMMYFUNCTION("""COMPUTED_VALUE"""),"D5")</f>
        <v>D5</v>
      </c>
      <c r="F10" s="23">
        <f>IFERROR(__xludf.DUMMYFUNCTION("""COMPUTED_VALUE"""),44728.62455606482)</f>
        <v>44728.62456</v>
      </c>
      <c r="G10" s="24" t="str">
        <f>IFERROR(__xludf.DUMMYFUNCTION("""COMPUTED_VALUE"""),"Claire")</f>
        <v>Claire</v>
      </c>
      <c r="H10" s="24">
        <f>IFERROR(__xludf.DUMMYFUNCTION("""COMPUTED_VALUE"""),131.0)</f>
        <v>131</v>
      </c>
      <c r="I10" s="24" t="str">
        <f>IFERROR(__xludf.DUMMYFUNCTION("""COMPUTED_VALUE"""),"B4")</f>
        <v>B4</v>
      </c>
    </row>
    <row r="11">
      <c r="A11" s="23">
        <f>IFERROR(__xludf.DUMMYFUNCTION("""COMPUTED_VALUE"""),44728.62612616898)</f>
        <v>44728.62613</v>
      </c>
      <c r="B11" s="24" t="str">
        <f>IFERROR(__xludf.DUMMYFUNCTION("""COMPUTED_VALUE"""),"Claire")</f>
        <v>Claire</v>
      </c>
      <c r="C11" s="24">
        <f>IFERROR(__xludf.DUMMYFUNCTION("""COMPUTED_VALUE"""),476.0)</f>
        <v>476</v>
      </c>
      <c r="D11" s="24" t="str">
        <f>IFERROR(__xludf.DUMMYFUNCTION("""COMPUTED_VALUE"""),"D6")</f>
        <v>D6</v>
      </c>
      <c r="F11" s="23">
        <f>IFERROR(__xludf.DUMMYFUNCTION("""COMPUTED_VALUE"""),44728.62484163194)</f>
        <v>44728.62484</v>
      </c>
      <c r="G11" s="24" t="str">
        <f>IFERROR(__xludf.DUMMYFUNCTION("""COMPUTED_VALUE"""),"Claire")</f>
        <v>Claire</v>
      </c>
      <c r="H11" s="24">
        <f>IFERROR(__xludf.DUMMYFUNCTION("""COMPUTED_VALUE"""),620.0)</f>
        <v>620</v>
      </c>
      <c r="I11" s="24" t="str">
        <f>IFERROR(__xludf.DUMMYFUNCTION("""COMPUTED_VALUE"""),"B5")</f>
        <v>B5</v>
      </c>
    </row>
    <row r="12">
      <c r="A12" s="23">
        <f>IFERROR(__xludf.DUMMYFUNCTION("""COMPUTED_VALUE"""),44728.62649645833)</f>
        <v>44728.6265</v>
      </c>
      <c r="B12" s="24" t="str">
        <f>IFERROR(__xludf.DUMMYFUNCTION("""COMPUTED_VALUE"""),"Claire")</f>
        <v>Claire</v>
      </c>
      <c r="C12" s="24">
        <f>IFERROR(__xludf.DUMMYFUNCTION("""COMPUTED_VALUE"""),375.0)</f>
        <v>375</v>
      </c>
      <c r="D12" s="24" t="str">
        <f>IFERROR(__xludf.DUMMYFUNCTION("""COMPUTED_VALUE"""),"D3")</f>
        <v>D3</v>
      </c>
      <c r="F12" s="23">
        <f>IFERROR(__xludf.DUMMYFUNCTION("""COMPUTED_VALUE"""),44728.62518710648)</f>
        <v>44728.62519</v>
      </c>
      <c r="G12" s="24" t="str">
        <f>IFERROR(__xludf.DUMMYFUNCTION("""COMPUTED_VALUE"""),"Claire")</f>
        <v>Claire</v>
      </c>
      <c r="H12" s="24">
        <f>IFERROR(__xludf.DUMMYFUNCTION("""COMPUTED_VALUE"""),308.0)</f>
        <v>308</v>
      </c>
      <c r="I12" s="24" t="str">
        <f>IFERROR(__xludf.DUMMYFUNCTION("""COMPUTED_VALUE"""),"C2")</f>
        <v>C2</v>
      </c>
    </row>
    <row r="13">
      <c r="A13" s="23">
        <f>IFERROR(__xludf.DUMMYFUNCTION("""COMPUTED_VALUE"""),44728.62671094907)</f>
        <v>44728.62671</v>
      </c>
      <c r="B13" s="24" t="str">
        <f>IFERROR(__xludf.DUMMYFUNCTION("""COMPUTED_VALUE"""),"Claire")</f>
        <v>Claire</v>
      </c>
      <c r="C13" s="24">
        <f>IFERROR(__xludf.DUMMYFUNCTION("""COMPUTED_VALUE"""),171.0)</f>
        <v>171</v>
      </c>
      <c r="D13" s="24" t="str">
        <f>IFERROR(__xludf.DUMMYFUNCTION("""COMPUTED_VALUE"""),"D2")</f>
        <v>D2</v>
      </c>
      <c r="F13" s="23">
        <f>IFERROR(__xludf.DUMMYFUNCTION("""COMPUTED_VALUE"""),44728.62546638889)</f>
        <v>44728.62547</v>
      </c>
      <c r="G13" s="24" t="str">
        <f>IFERROR(__xludf.DUMMYFUNCTION("""COMPUTED_VALUE"""),"Claire")</f>
        <v>Claire</v>
      </c>
      <c r="H13" s="24">
        <f>IFERROR(__xludf.DUMMYFUNCTION("""COMPUTED_VALUE"""),1132.0)</f>
        <v>1132</v>
      </c>
      <c r="I13" s="24" t="str">
        <f>IFERROR(__xludf.DUMMYFUNCTION("""COMPUTED_VALUE"""),"C6")</f>
        <v>C6</v>
      </c>
    </row>
    <row r="14">
      <c r="A14" s="23">
        <f>IFERROR(__xludf.DUMMYFUNCTION("""COMPUTED_VALUE"""),44728.639800069446)</f>
        <v>44728.6398</v>
      </c>
      <c r="B14" s="24" t="str">
        <f>IFERROR(__xludf.DUMMYFUNCTION("""COMPUTED_VALUE"""),"Claire")</f>
        <v>Claire</v>
      </c>
      <c r="C14" s="24">
        <f>IFERROR(__xludf.DUMMYFUNCTION("""COMPUTED_VALUE"""),3287.0)</f>
        <v>3287</v>
      </c>
      <c r="D14" s="24" t="str">
        <f>IFERROR(__xludf.DUMMYFUNCTION("""COMPUTED_VALUE"""),"D1")</f>
        <v>D1</v>
      </c>
      <c r="F14" s="23">
        <f>IFERROR(__xludf.DUMMYFUNCTION("""COMPUTED_VALUE"""),44728.62571460648)</f>
        <v>44728.62571</v>
      </c>
      <c r="G14" s="24" t="str">
        <f>IFERROR(__xludf.DUMMYFUNCTION("""COMPUTED_VALUE"""),"Claire")</f>
        <v>Claire</v>
      </c>
      <c r="H14" s="24">
        <f>IFERROR(__xludf.DUMMYFUNCTION("""COMPUTED_VALUE"""),54.0)</f>
        <v>54</v>
      </c>
      <c r="I14" s="24" t="str">
        <f>IFERROR(__xludf.DUMMYFUNCTION("""COMPUTED_VALUE"""),"D5")</f>
        <v>D5</v>
      </c>
    </row>
    <row r="15">
      <c r="A15" s="23">
        <f>IFERROR(__xludf.DUMMYFUNCTION("""COMPUTED_VALUE"""),44728.640143993056)</f>
        <v>44728.64014</v>
      </c>
      <c r="B15" s="24" t="str">
        <f>IFERROR(__xludf.DUMMYFUNCTION("""COMPUTED_VALUE"""),"Claire")</f>
        <v>Claire</v>
      </c>
      <c r="C15" s="24">
        <f>IFERROR(__xludf.DUMMYFUNCTION("""COMPUTED_VALUE"""),193.0)</f>
        <v>193</v>
      </c>
      <c r="D15" s="24" t="str">
        <f>IFERROR(__xludf.DUMMYFUNCTION("""COMPUTED_VALUE"""),"E6")</f>
        <v>E6</v>
      </c>
      <c r="F15" s="23">
        <f>IFERROR(__xludf.DUMMYFUNCTION("""COMPUTED_VALUE"""),44728.62612616898)</f>
        <v>44728.62613</v>
      </c>
      <c r="G15" s="24" t="str">
        <f>IFERROR(__xludf.DUMMYFUNCTION("""COMPUTED_VALUE"""),"Claire")</f>
        <v>Claire</v>
      </c>
      <c r="H15" s="24">
        <f>IFERROR(__xludf.DUMMYFUNCTION("""COMPUTED_VALUE"""),476.0)</f>
        <v>476</v>
      </c>
      <c r="I15" s="24" t="str">
        <f>IFERROR(__xludf.DUMMYFUNCTION("""COMPUTED_VALUE"""),"D6")</f>
        <v>D6</v>
      </c>
    </row>
    <row r="16">
      <c r="A16" s="23">
        <f>IFERROR(__xludf.DUMMYFUNCTION("""COMPUTED_VALUE"""),44728.64051090278)</f>
        <v>44728.64051</v>
      </c>
      <c r="B16" s="24" t="str">
        <f>IFERROR(__xludf.DUMMYFUNCTION("""COMPUTED_VALUE"""),"Claire")</f>
        <v>Claire</v>
      </c>
      <c r="C16" s="24">
        <f>IFERROR(__xludf.DUMMYFUNCTION("""COMPUTED_VALUE"""),207.0)</f>
        <v>207</v>
      </c>
      <c r="D16" s="24" t="str">
        <f>IFERROR(__xludf.DUMMYFUNCTION("""COMPUTED_VALUE"""),"E5")</f>
        <v>E5</v>
      </c>
      <c r="F16" s="23">
        <f>IFERROR(__xludf.DUMMYFUNCTION("""COMPUTED_VALUE"""),44728.62649645833)</f>
        <v>44728.6265</v>
      </c>
      <c r="G16" s="24" t="str">
        <f>IFERROR(__xludf.DUMMYFUNCTION("""COMPUTED_VALUE"""),"Claire")</f>
        <v>Claire</v>
      </c>
      <c r="H16" s="24">
        <f>IFERROR(__xludf.DUMMYFUNCTION("""COMPUTED_VALUE"""),375.0)</f>
        <v>375</v>
      </c>
      <c r="I16" s="24" t="str">
        <f>IFERROR(__xludf.DUMMYFUNCTION("""COMPUTED_VALUE"""),"D3")</f>
        <v>D3</v>
      </c>
    </row>
    <row r="17">
      <c r="A17" s="23">
        <f>IFERROR(__xludf.DUMMYFUNCTION("""COMPUTED_VALUE"""),44728.64082090278)</f>
        <v>44728.64082</v>
      </c>
      <c r="B17" s="24" t="str">
        <f>IFERROR(__xludf.DUMMYFUNCTION("""COMPUTED_VALUE"""),"Claire")</f>
        <v>Claire</v>
      </c>
      <c r="C17" s="24">
        <f>IFERROR(__xludf.DUMMYFUNCTION("""COMPUTED_VALUE"""),179.0)</f>
        <v>179</v>
      </c>
      <c r="D17" s="24" t="str">
        <f>IFERROR(__xludf.DUMMYFUNCTION("""COMPUTED_VALUE"""),"E4")</f>
        <v>E4</v>
      </c>
      <c r="F17" s="23">
        <f>IFERROR(__xludf.DUMMYFUNCTION("""COMPUTED_VALUE"""),44728.62671094907)</f>
        <v>44728.62671</v>
      </c>
      <c r="G17" s="24" t="str">
        <f>IFERROR(__xludf.DUMMYFUNCTION("""COMPUTED_VALUE"""),"Claire")</f>
        <v>Claire</v>
      </c>
      <c r="H17" s="24">
        <f>IFERROR(__xludf.DUMMYFUNCTION("""COMPUTED_VALUE"""),171.0)</f>
        <v>171</v>
      </c>
      <c r="I17" s="24" t="str">
        <f>IFERROR(__xludf.DUMMYFUNCTION("""COMPUTED_VALUE"""),"D2")</f>
        <v>D2</v>
      </c>
    </row>
    <row r="18">
      <c r="A18" s="23">
        <f>IFERROR(__xludf.DUMMYFUNCTION("""COMPUTED_VALUE"""),44728.64120005787)</f>
        <v>44728.6412</v>
      </c>
      <c r="B18" s="24" t="str">
        <f>IFERROR(__xludf.DUMMYFUNCTION("""COMPUTED_VALUE"""),"Claire")</f>
        <v>Claire</v>
      </c>
      <c r="C18" s="24">
        <f>IFERROR(__xludf.DUMMYFUNCTION("""COMPUTED_VALUE"""),244.0)</f>
        <v>244</v>
      </c>
      <c r="D18" s="24" t="str">
        <f>IFERROR(__xludf.DUMMYFUNCTION("""COMPUTED_VALUE"""),"E2")</f>
        <v>E2</v>
      </c>
      <c r="F18" s="23">
        <f>IFERROR(__xludf.DUMMYFUNCTION("""COMPUTED_VALUE"""),44728.639800069446)</f>
        <v>44728.6398</v>
      </c>
      <c r="G18" s="24" t="str">
        <f>IFERROR(__xludf.DUMMYFUNCTION("""COMPUTED_VALUE"""),"Claire")</f>
        <v>Claire</v>
      </c>
      <c r="H18" s="24">
        <f>IFERROR(__xludf.DUMMYFUNCTION("""COMPUTED_VALUE"""),3287.0)</f>
        <v>3287</v>
      </c>
      <c r="I18" s="24" t="str">
        <f>IFERROR(__xludf.DUMMYFUNCTION("""COMPUTED_VALUE"""),"D1")</f>
        <v>D1</v>
      </c>
    </row>
    <row r="19">
      <c r="A19" s="23">
        <f>IFERROR(__xludf.DUMMYFUNCTION("""COMPUTED_VALUE"""),44728.641626296296)</f>
        <v>44728.64163</v>
      </c>
      <c r="B19" s="24" t="str">
        <f>IFERROR(__xludf.DUMMYFUNCTION("""COMPUTED_VALUE"""),"Claire")</f>
        <v>Claire</v>
      </c>
      <c r="C19" s="24">
        <f>IFERROR(__xludf.DUMMYFUNCTION("""COMPUTED_VALUE"""),1055.0)</f>
        <v>1055</v>
      </c>
      <c r="D19" s="24" t="str">
        <f>IFERROR(__xludf.DUMMYFUNCTION("""COMPUTED_VALUE"""),"E3")</f>
        <v>E3</v>
      </c>
      <c r="F19" s="23">
        <f>IFERROR(__xludf.DUMMYFUNCTION("""COMPUTED_VALUE"""),44728.640143993056)</f>
        <v>44728.64014</v>
      </c>
      <c r="G19" s="24" t="str">
        <f>IFERROR(__xludf.DUMMYFUNCTION("""COMPUTED_VALUE"""),"Claire")</f>
        <v>Claire</v>
      </c>
      <c r="H19" s="24">
        <f>IFERROR(__xludf.DUMMYFUNCTION("""COMPUTED_VALUE"""),193.0)</f>
        <v>193</v>
      </c>
      <c r="I19" s="24" t="str">
        <f>IFERROR(__xludf.DUMMYFUNCTION("""COMPUTED_VALUE"""),"E6")</f>
        <v>E6</v>
      </c>
    </row>
    <row r="20">
      <c r="A20" s="23">
        <f>IFERROR(__xludf.DUMMYFUNCTION("""COMPUTED_VALUE"""),44728.641820405086)</f>
        <v>44728.64182</v>
      </c>
      <c r="B20" s="24" t="str">
        <f>IFERROR(__xludf.DUMMYFUNCTION("""COMPUTED_VALUE"""),"Claire")</f>
        <v>Claire</v>
      </c>
      <c r="C20" s="24">
        <f>IFERROR(__xludf.DUMMYFUNCTION("""COMPUTED_VALUE"""),252.0)</f>
        <v>252</v>
      </c>
      <c r="D20" s="24" t="str">
        <f>IFERROR(__xludf.DUMMYFUNCTION("""COMPUTED_VALUE"""),"F5")</f>
        <v>F5</v>
      </c>
      <c r="F20" s="23">
        <f>IFERROR(__xludf.DUMMYFUNCTION("""COMPUTED_VALUE"""),44728.64051090278)</f>
        <v>44728.64051</v>
      </c>
      <c r="G20" s="24" t="str">
        <f>IFERROR(__xludf.DUMMYFUNCTION("""COMPUTED_VALUE"""),"Claire")</f>
        <v>Claire</v>
      </c>
      <c r="H20" s="24">
        <f>IFERROR(__xludf.DUMMYFUNCTION("""COMPUTED_VALUE"""),207.0)</f>
        <v>207</v>
      </c>
      <c r="I20" s="24" t="str">
        <f>IFERROR(__xludf.DUMMYFUNCTION("""COMPUTED_VALUE"""),"E5")</f>
        <v>E5</v>
      </c>
    </row>
    <row r="21">
      <c r="A21" s="23">
        <f>IFERROR(__xludf.DUMMYFUNCTION("""COMPUTED_VALUE"""),44728.64209207176)</f>
        <v>44728.64209</v>
      </c>
      <c r="B21" s="24" t="str">
        <f>IFERROR(__xludf.DUMMYFUNCTION("""COMPUTED_VALUE"""),"Claire")</f>
        <v>Claire</v>
      </c>
      <c r="C21" s="24">
        <f>IFERROR(__xludf.DUMMYFUNCTION("""COMPUTED_VALUE"""),600.0)</f>
        <v>600</v>
      </c>
      <c r="D21" s="24" t="str">
        <f>IFERROR(__xludf.DUMMYFUNCTION("""COMPUTED_VALUE"""),"F2")</f>
        <v>F2</v>
      </c>
      <c r="F21" s="23">
        <f>IFERROR(__xludf.DUMMYFUNCTION("""COMPUTED_VALUE"""),44728.64082090278)</f>
        <v>44728.64082</v>
      </c>
      <c r="G21" s="24" t="str">
        <f>IFERROR(__xludf.DUMMYFUNCTION("""COMPUTED_VALUE"""),"Claire")</f>
        <v>Claire</v>
      </c>
      <c r="H21" s="24">
        <f>IFERROR(__xludf.DUMMYFUNCTION("""COMPUTED_VALUE"""),179.0)</f>
        <v>179</v>
      </c>
      <c r="I21" s="24" t="str">
        <f>IFERROR(__xludf.DUMMYFUNCTION("""COMPUTED_VALUE"""),"E4")</f>
        <v>E4</v>
      </c>
    </row>
    <row r="22">
      <c r="A22" s="23">
        <f>IFERROR(__xludf.DUMMYFUNCTION("""COMPUTED_VALUE"""),44728.642394305556)</f>
        <v>44728.64239</v>
      </c>
      <c r="B22" s="24" t="str">
        <f>IFERROR(__xludf.DUMMYFUNCTION("""COMPUTED_VALUE"""),"Claire")</f>
        <v>Claire</v>
      </c>
      <c r="C22" s="24">
        <f>IFERROR(__xludf.DUMMYFUNCTION("""COMPUTED_VALUE"""),813.0)</f>
        <v>813</v>
      </c>
      <c r="D22" s="24" t="str">
        <f>IFERROR(__xludf.DUMMYFUNCTION("""COMPUTED_VALUE"""),"C3")</f>
        <v>C3</v>
      </c>
      <c r="F22" s="23">
        <f>IFERROR(__xludf.DUMMYFUNCTION("""COMPUTED_VALUE"""),44728.64120005787)</f>
        <v>44728.6412</v>
      </c>
      <c r="G22" s="24" t="str">
        <f>IFERROR(__xludf.DUMMYFUNCTION("""COMPUTED_VALUE"""),"Claire")</f>
        <v>Claire</v>
      </c>
      <c r="H22" s="24">
        <f>IFERROR(__xludf.DUMMYFUNCTION("""COMPUTED_VALUE"""),244.0)</f>
        <v>244</v>
      </c>
      <c r="I22" s="24" t="str">
        <f>IFERROR(__xludf.DUMMYFUNCTION("""COMPUTED_VALUE"""),"E2")</f>
        <v>E2</v>
      </c>
    </row>
    <row r="23">
      <c r="A23" s="23">
        <f>IFERROR(__xludf.DUMMYFUNCTION("""COMPUTED_VALUE"""),44728.6427778125)</f>
        <v>44728.64278</v>
      </c>
      <c r="B23" s="24" t="str">
        <f>IFERROR(__xludf.DUMMYFUNCTION("""COMPUTED_VALUE"""),"Claire")</f>
        <v>Claire</v>
      </c>
      <c r="C23" s="24">
        <f>IFERROR(__xludf.DUMMYFUNCTION("""COMPUTED_VALUE"""),496.0)</f>
        <v>496</v>
      </c>
      <c r="D23" s="24" t="str">
        <f>IFERROR(__xludf.DUMMYFUNCTION("""COMPUTED_VALUE"""),"G6")</f>
        <v>G6</v>
      </c>
      <c r="F23" s="23">
        <f>IFERROR(__xludf.DUMMYFUNCTION("""COMPUTED_VALUE"""),44728.641626296296)</f>
        <v>44728.64163</v>
      </c>
      <c r="G23" s="24" t="str">
        <f>IFERROR(__xludf.DUMMYFUNCTION("""COMPUTED_VALUE"""),"Claire")</f>
        <v>Claire</v>
      </c>
      <c r="H23" s="24">
        <f>IFERROR(__xludf.DUMMYFUNCTION("""COMPUTED_VALUE"""),1055.0)</f>
        <v>1055</v>
      </c>
      <c r="I23" s="24" t="str">
        <f>IFERROR(__xludf.DUMMYFUNCTION("""COMPUTED_VALUE"""),"E3")</f>
        <v>E3</v>
      </c>
    </row>
    <row r="24">
      <c r="A24" s="23">
        <f>IFERROR(__xludf.DUMMYFUNCTION("""COMPUTED_VALUE"""),44728.643038923605)</f>
        <v>44728.64304</v>
      </c>
      <c r="B24" s="24" t="str">
        <f>IFERROR(__xludf.DUMMYFUNCTION("""COMPUTED_VALUE"""),"Claire")</f>
        <v>Claire</v>
      </c>
      <c r="C24" s="24">
        <f>IFERROR(__xludf.DUMMYFUNCTION("""COMPUTED_VALUE"""),432.0)</f>
        <v>432</v>
      </c>
      <c r="D24" s="24" t="str">
        <f>IFERROR(__xludf.DUMMYFUNCTION("""COMPUTED_VALUE"""),"G5")</f>
        <v>G5</v>
      </c>
      <c r="F24" s="23">
        <f>IFERROR(__xludf.DUMMYFUNCTION("""COMPUTED_VALUE"""),44728.641820405086)</f>
        <v>44728.64182</v>
      </c>
      <c r="G24" s="24" t="str">
        <f>IFERROR(__xludf.DUMMYFUNCTION("""COMPUTED_VALUE"""),"Claire")</f>
        <v>Claire</v>
      </c>
      <c r="H24" s="24">
        <f>IFERROR(__xludf.DUMMYFUNCTION("""COMPUTED_VALUE"""),252.0)</f>
        <v>252</v>
      </c>
      <c r="I24" s="24" t="str">
        <f>IFERROR(__xludf.DUMMYFUNCTION("""COMPUTED_VALUE"""),"F5")</f>
        <v>F5</v>
      </c>
    </row>
    <row r="25">
      <c r="A25" s="23">
        <f>IFERROR(__xludf.DUMMYFUNCTION("""COMPUTED_VALUE"""),44728.643298344905)</f>
        <v>44728.6433</v>
      </c>
      <c r="B25" s="24" t="str">
        <f>IFERROR(__xludf.DUMMYFUNCTION("""COMPUTED_VALUE"""),"Claire")</f>
        <v>Claire</v>
      </c>
      <c r="C25" s="24">
        <f>IFERROR(__xludf.DUMMYFUNCTION("""COMPUTED_VALUE"""),465.0)</f>
        <v>465</v>
      </c>
      <c r="D25" s="24" t="str">
        <f>IFERROR(__xludf.DUMMYFUNCTION("""COMPUTED_VALUE"""),"G2")</f>
        <v>G2</v>
      </c>
      <c r="F25" s="23">
        <f>IFERROR(__xludf.DUMMYFUNCTION("""COMPUTED_VALUE"""),44728.64209207176)</f>
        <v>44728.64209</v>
      </c>
      <c r="G25" s="24" t="str">
        <f>IFERROR(__xludf.DUMMYFUNCTION("""COMPUTED_VALUE"""),"Claire")</f>
        <v>Claire</v>
      </c>
      <c r="H25" s="24">
        <f>IFERROR(__xludf.DUMMYFUNCTION("""COMPUTED_VALUE"""),600.0)</f>
        <v>600</v>
      </c>
      <c r="I25" s="24" t="str">
        <f>IFERROR(__xludf.DUMMYFUNCTION("""COMPUTED_VALUE"""),"F2")</f>
        <v>F2</v>
      </c>
    </row>
    <row r="26">
      <c r="A26" s="23">
        <f>IFERROR(__xludf.DUMMYFUNCTION("""COMPUTED_VALUE"""),44728.64395869213)</f>
        <v>44728.64396</v>
      </c>
      <c r="B26" s="24" t="str">
        <f>IFERROR(__xludf.DUMMYFUNCTION("""COMPUTED_VALUE"""),"Claire")</f>
        <v>Claire</v>
      </c>
      <c r="C26" s="24">
        <f>IFERROR(__xludf.DUMMYFUNCTION("""COMPUTED_VALUE"""),448.0)</f>
        <v>448</v>
      </c>
      <c r="D26" s="24" t="str">
        <f>IFERROR(__xludf.DUMMYFUNCTION("""COMPUTED_VALUE"""),"H4")</f>
        <v>H4</v>
      </c>
      <c r="F26" s="23">
        <f>IFERROR(__xludf.DUMMYFUNCTION("""COMPUTED_VALUE"""),44728.642394305556)</f>
        <v>44728.64239</v>
      </c>
      <c r="G26" s="24" t="str">
        <f>IFERROR(__xludf.DUMMYFUNCTION("""COMPUTED_VALUE"""),"Claire")</f>
        <v>Claire</v>
      </c>
      <c r="H26" s="24">
        <f>IFERROR(__xludf.DUMMYFUNCTION("""COMPUTED_VALUE"""),813.0)</f>
        <v>813</v>
      </c>
      <c r="I26" s="24" t="str">
        <f>IFERROR(__xludf.DUMMYFUNCTION("""COMPUTED_VALUE"""),"C3")</f>
        <v>C3</v>
      </c>
    </row>
    <row r="27">
      <c r="A27" s="23">
        <f>IFERROR(__xludf.DUMMYFUNCTION("""COMPUTED_VALUE"""),44728.64427700231)</f>
        <v>44728.64428</v>
      </c>
      <c r="B27" s="24" t="str">
        <f>IFERROR(__xludf.DUMMYFUNCTION("""COMPUTED_VALUE"""),"Claire")</f>
        <v>Claire</v>
      </c>
      <c r="C27" s="24">
        <f>IFERROR(__xludf.DUMMYFUNCTION("""COMPUTED_VALUE"""),339.0)</f>
        <v>339</v>
      </c>
      <c r="D27" s="24" t="str">
        <f>IFERROR(__xludf.DUMMYFUNCTION("""COMPUTED_VALUE"""),"H2")</f>
        <v>H2</v>
      </c>
      <c r="F27" s="23">
        <f>IFERROR(__xludf.DUMMYFUNCTION("""COMPUTED_VALUE"""),44728.6427778125)</f>
        <v>44728.64278</v>
      </c>
      <c r="G27" s="24" t="str">
        <f>IFERROR(__xludf.DUMMYFUNCTION("""COMPUTED_VALUE"""),"Claire")</f>
        <v>Claire</v>
      </c>
      <c r="H27" s="24">
        <f>IFERROR(__xludf.DUMMYFUNCTION("""COMPUTED_VALUE"""),496.0)</f>
        <v>496</v>
      </c>
      <c r="I27" s="24" t="str">
        <f>IFERROR(__xludf.DUMMYFUNCTION("""COMPUTED_VALUE"""),"G6")</f>
        <v>G6</v>
      </c>
    </row>
    <row r="28">
      <c r="A28" s="23">
        <f>IFERROR(__xludf.DUMMYFUNCTION("""COMPUTED_VALUE"""),44728.644618182865)</f>
        <v>44728.64462</v>
      </c>
      <c r="B28" s="24" t="str">
        <f>IFERROR(__xludf.DUMMYFUNCTION("""COMPUTED_VALUE"""),"Claire")</f>
        <v>Claire</v>
      </c>
      <c r="C28" s="24">
        <f>IFERROR(__xludf.DUMMYFUNCTION("""COMPUTED_VALUE"""),820.0)</f>
        <v>820</v>
      </c>
      <c r="D28" s="24" t="str">
        <f>IFERROR(__xludf.DUMMYFUNCTION("""COMPUTED_VALUE"""),"I5")</f>
        <v>I5</v>
      </c>
      <c r="F28" s="23">
        <f>IFERROR(__xludf.DUMMYFUNCTION("""COMPUTED_VALUE"""),44728.643038923605)</f>
        <v>44728.64304</v>
      </c>
      <c r="G28" s="24" t="str">
        <f>IFERROR(__xludf.DUMMYFUNCTION("""COMPUTED_VALUE"""),"Claire")</f>
        <v>Claire</v>
      </c>
      <c r="H28" s="24">
        <f>IFERROR(__xludf.DUMMYFUNCTION("""COMPUTED_VALUE"""),432.0)</f>
        <v>432</v>
      </c>
      <c r="I28" s="24" t="str">
        <f>IFERROR(__xludf.DUMMYFUNCTION("""COMPUTED_VALUE"""),"G5")</f>
        <v>G5</v>
      </c>
    </row>
    <row r="29">
      <c r="A29" s="23">
        <f>IFERROR(__xludf.DUMMYFUNCTION("""COMPUTED_VALUE"""),44728.645060428236)</f>
        <v>44728.64506</v>
      </c>
      <c r="B29" s="24" t="str">
        <f>IFERROR(__xludf.DUMMYFUNCTION("""COMPUTED_VALUE"""),"Claire")</f>
        <v>Claire</v>
      </c>
      <c r="C29" s="24">
        <f>IFERROR(__xludf.DUMMYFUNCTION("""COMPUTED_VALUE"""),472.0)</f>
        <v>472</v>
      </c>
      <c r="D29" s="24" t="str">
        <f>IFERROR(__xludf.DUMMYFUNCTION("""COMPUTED_VALUE"""),"I4")</f>
        <v>I4</v>
      </c>
      <c r="F29" s="23">
        <f>IFERROR(__xludf.DUMMYFUNCTION("""COMPUTED_VALUE"""),44728.643298344905)</f>
        <v>44728.6433</v>
      </c>
      <c r="G29" s="24" t="str">
        <f>IFERROR(__xludf.DUMMYFUNCTION("""COMPUTED_VALUE"""),"Claire")</f>
        <v>Claire</v>
      </c>
      <c r="H29" s="24">
        <f>IFERROR(__xludf.DUMMYFUNCTION("""COMPUTED_VALUE"""),465.0)</f>
        <v>465</v>
      </c>
      <c r="I29" s="24" t="str">
        <f>IFERROR(__xludf.DUMMYFUNCTION("""COMPUTED_VALUE"""),"G2")</f>
        <v>G2</v>
      </c>
    </row>
    <row r="30">
      <c r="A30" s="23">
        <f>IFERROR(__xludf.DUMMYFUNCTION("""COMPUTED_VALUE"""),44728.6453675463)</f>
        <v>44728.64537</v>
      </c>
      <c r="B30" s="24" t="str">
        <f>IFERROR(__xludf.DUMMYFUNCTION("""COMPUTED_VALUE"""),"Claire")</f>
        <v>Claire</v>
      </c>
      <c r="C30" s="24">
        <f>IFERROR(__xludf.DUMMYFUNCTION("""COMPUTED_VALUE"""),229.0)</f>
        <v>229</v>
      </c>
      <c r="D30" s="24" t="str">
        <f>IFERROR(__xludf.DUMMYFUNCTION("""COMPUTED_VALUE"""),"I1")</f>
        <v>I1</v>
      </c>
      <c r="F30" s="23">
        <f>IFERROR(__xludf.DUMMYFUNCTION("""COMPUTED_VALUE"""),44728.64395869213)</f>
        <v>44728.64396</v>
      </c>
      <c r="G30" s="24" t="str">
        <f>IFERROR(__xludf.DUMMYFUNCTION("""COMPUTED_VALUE"""),"Claire")</f>
        <v>Claire</v>
      </c>
      <c r="H30" s="24">
        <f>IFERROR(__xludf.DUMMYFUNCTION("""COMPUTED_VALUE"""),448.0)</f>
        <v>448</v>
      </c>
      <c r="I30" s="24" t="str">
        <f>IFERROR(__xludf.DUMMYFUNCTION("""COMPUTED_VALUE"""),"H4")</f>
        <v>H4</v>
      </c>
    </row>
    <row r="31">
      <c r="A31" s="23">
        <f>IFERROR(__xludf.DUMMYFUNCTION("""COMPUTED_VALUE"""),44728.64569954861)</f>
        <v>44728.6457</v>
      </c>
      <c r="B31" s="24" t="str">
        <f>IFERROR(__xludf.DUMMYFUNCTION("""COMPUTED_VALUE"""),"Claire")</f>
        <v>Claire</v>
      </c>
      <c r="C31" s="24">
        <f>IFERROR(__xludf.DUMMYFUNCTION("""COMPUTED_VALUE"""),1305.0)</f>
        <v>1305</v>
      </c>
      <c r="D31" s="24" t="str">
        <f>IFERROR(__xludf.DUMMYFUNCTION("""COMPUTED_VALUE"""),"I2")</f>
        <v>I2</v>
      </c>
      <c r="F31" s="23">
        <f>IFERROR(__xludf.DUMMYFUNCTION("""COMPUTED_VALUE"""),44728.64427700231)</f>
        <v>44728.64428</v>
      </c>
      <c r="G31" s="24" t="str">
        <f>IFERROR(__xludf.DUMMYFUNCTION("""COMPUTED_VALUE"""),"Claire")</f>
        <v>Claire</v>
      </c>
      <c r="H31" s="24">
        <f>IFERROR(__xludf.DUMMYFUNCTION("""COMPUTED_VALUE"""),339.0)</f>
        <v>339</v>
      </c>
      <c r="I31" s="24" t="str">
        <f>IFERROR(__xludf.DUMMYFUNCTION("""COMPUTED_VALUE"""),"H2")</f>
        <v>H2</v>
      </c>
    </row>
    <row r="32">
      <c r="A32" s="23">
        <f>IFERROR(__xludf.DUMMYFUNCTION("""COMPUTED_VALUE"""),44728.64598886574)</f>
        <v>44728.64599</v>
      </c>
      <c r="B32" s="24" t="str">
        <f>IFERROR(__xludf.DUMMYFUNCTION("""COMPUTED_VALUE"""),"Claire")</f>
        <v>Claire</v>
      </c>
      <c r="C32" s="24">
        <f>IFERROR(__xludf.DUMMYFUNCTION("""COMPUTED_VALUE"""),828.0)</f>
        <v>828</v>
      </c>
      <c r="D32" s="24" t="str">
        <f>IFERROR(__xludf.DUMMYFUNCTION("""COMPUTED_VALUE"""),"I3")</f>
        <v>I3</v>
      </c>
      <c r="F32" s="23">
        <f>IFERROR(__xludf.DUMMYFUNCTION("""COMPUTED_VALUE"""),44728.644618182865)</f>
        <v>44728.64462</v>
      </c>
      <c r="G32" s="24" t="str">
        <f>IFERROR(__xludf.DUMMYFUNCTION("""COMPUTED_VALUE"""),"Claire")</f>
        <v>Claire</v>
      </c>
      <c r="H32" s="24">
        <f>IFERROR(__xludf.DUMMYFUNCTION("""COMPUTED_VALUE"""),820.0)</f>
        <v>820</v>
      </c>
      <c r="I32" s="24" t="str">
        <f>IFERROR(__xludf.DUMMYFUNCTION("""COMPUTED_VALUE"""),"I5")</f>
        <v>I5</v>
      </c>
    </row>
    <row r="33">
      <c r="A33" s="23">
        <f>IFERROR(__xludf.DUMMYFUNCTION("""COMPUTED_VALUE"""),44728.650393125004)</f>
        <v>44728.65039</v>
      </c>
      <c r="B33" s="24" t="str">
        <f>IFERROR(__xludf.DUMMYFUNCTION("""COMPUTED_VALUE"""),"Claire")</f>
        <v>Claire</v>
      </c>
      <c r="C33" s="24">
        <f>IFERROR(__xludf.DUMMYFUNCTION("""COMPUTED_VALUE"""),1869.0)</f>
        <v>1869</v>
      </c>
      <c r="D33" s="24" t="str">
        <f>IFERROR(__xludf.DUMMYFUNCTION("""COMPUTED_VALUE"""),"J6")</f>
        <v>J6</v>
      </c>
      <c r="F33" s="23">
        <f>IFERROR(__xludf.DUMMYFUNCTION("""COMPUTED_VALUE"""),44728.645060428236)</f>
        <v>44728.64506</v>
      </c>
      <c r="G33" s="24" t="str">
        <f>IFERROR(__xludf.DUMMYFUNCTION("""COMPUTED_VALUE"""),"Claire")</f>
        <v>Claire</v>
      </c>
      <c r="H33" s="24">
        <f>IFERROR(__xludf.DUMMYFUNCTION("""COMPUTED_VALUE"""),472.0)</f>
        <v>472</v>
      </c>
      <c r="I33" s="24" t="str">
        <f>IFERROR(__xludf.DUMMYFUNCTION("""COMPUTED_VALUE"""),"I4")</f>
        <v>I4</v>
      </c>
    </row>
    <row r="34">
      <c r="A34" s="23">
        <f>IFERROR(__xludf.DUMMYFUNCTION("""COMPUTED_VALUE"""),44728.6508052662)</f>
        <v>44728.65081</v>
      </c>
      <c r="B34" s="24" t="str">
        <f>IFERROR(__xludf.DUMMYFUNCTION("""COMPUTED_VALUE"""),"Claire")</f>
        <v>Claire</v>
      </c>
      <c r="C34" s="24">
        <f>IFERROR(__xludf.DUMMYFUNCTION("""COMPUTED_VALUE"""),303.0)</f>
        <v>303</v>
      </c>
      <c r="D34" s="24" t="str">
        <f>IFERROR(__xludf.DUMMYFUNCTION("""COMPUTED_VALUE"""),"J5 (curb)")</f>
        <v>J5 (curb)</v>
      </c>
      <c r="F34" s="23">
        <f>IFERROR(__xludf.DUMMYFUNCTION("""COMPUTED_VALUE"""),44728.6453675463)</f>
        <v>44728.64537</v>
      </c>
      <c r="G34" s="24" t="str">
        <f>IFERROR(__xludf.DUMMYFUNCTION("""COMPUTED_VALUE"""),"Claire")</f>
        <v>Claire</v>
      </c>
      <c r="H34" s="24">
        <f>IFERROR(__xludf.DUMMYFUNCTION("""COMPUTED_VALUE"""),229.0)</f>
        <v>229</v>
      </c>
      <c r="I34" s="24" t="str">
        <f>IFERROR(__xludf.DUMMYFUNCTION("""COMPUTED_VALUE"""),"I1")</f>
        <v>I1</v>
      </c>
    </row>
    <row r="35">
      <c r="A35" s="23">
        <f>IFERROR(__xludf.DUMMYFUNCTION("""COMPUTED_VALUE"""),44728.65113497685)</f>
        <v>44728.65113</v>
      </c>
      <c r="B35" s="24" t="str">
        <f>IFERROR(__xludf.DUMMYFUNCTION("""COMPUTED_VALUE"""),"Claire")</f>
        <v>Claire</v>
      </c>
      <c r="C35" s="24">
        <f>IFERROR(__xludf.DUMMYFUNCTION("""COMPUTED_VALUE"""),1120.0)</f>
        <v>1120</v>
      </c>
      <c r="D35" s="24" t="str">
        <f>IFERROR(__xludf.DUMMYFUNCTION("""COMPUTED_VALUE"""),"J4 (curb)")</f>
        <v>J4 (curb)</v>
      </c>
      <c r="F35" s="23">
        <f>IFERROR(__xludf.DUMMYFUNCTION("""COMPUTED_VALUE"""),44728.64569954861)</f>
        <v>44728.6457</v>
      </c>
      <c r="G35" s="24" t="str">
        <f>IFERROR(__xludf.DUMMYFUNCTION("""COMPUTED_VALUE"""),"Claire")</f>
        <v>Claire</v>
      </c>
      <c r="H35" s="24">
        <f>IFERROR(__xludf.DUMMYFUNCTION("""COMPUTED_VALUE"""),1305.0)</f>
        <v>1305</v>
      </c>
      <c r="I35" s="24" t="str">
        <f>IFERROR(__xludf.DUMMYFUNCTION("""COMPUTED_VALUE"""),"I2")</f>
        <v>I2</v>
      </c>
    </row>
    <row r="36">
      <c r="A36" s="23">
        <f>IFERROR(__xludf.DUMMYFUNCTION("""COMPUTED_VALUE"""),44728.65154375)</f>
        <v>44728.65154</v>
      </c>
      <c r="B36" s="24" t="str">
        <f>IFERROR(__xludf.DUMMYFUNCTION("""COMPUTED_VALUE"""),"Claire")</f>
        <v>Claire</v>
      </c>
      <c r="C36" s="24">
        <f>IFERROR(__xludf.DUMMYFUNCTION("""COMPUTED_VALUE"""),475.0)</f>
        <v>475</v>
      </c>
      <c r="D36" s="24" t="str">
        <f>IFERROR(__xludf.DUMMYFUNCTION("""COMPUTED_VALUE"""),"J1 (curb)")</f>
        <v>J1 (curb)</v>
      </c>
      <c r="F36" s="23">
        <f>IFERROR(__xludf.DUMMYFUNCTION("""COMPUTED_VALUE"""),44728.64598886574)</f>
        <v>44728.64599</v>
      </c>
      <c r="G36" s="24" t="str">
        <f>IFERROR(__xludf.DUMMYFUNCTION("""COMPUTED_VALUE"""),"Claire")</f>
        <v>Claire</v>
      </c>
      <c r="H36" s="24">
        <f>IFERROR(__xludf.DUMMYFUNCTION("""COMPUTED_VALUE"""),828.0)</f>
        <v>828</v>
      </c>
      <c r="I36" s="24" t="str">
        <f>IFERROR(__xludf.DUMMYFUNCTION("""COMPUTED_VALUE"""),"I3")</f>
        <v>I3</v>
      </c>
    </row>
    <row r="37">
      <c r="A37" s="23">
        <f>IFERROR(__xludf.DUMMYFUNCTION("""COMPUTED_VALUE"""),44728.65192027778)</f>
        <v>44728.65192</v>
      </c>
      <c r="B37" s="24" t="str">
        <f>IFERROR(__xludf.DUMMYFUNCTION("""COMPUTED_VALUE"""),"Claire")</f>
        <v>Claire</v>
      </c>
      <c r="C37" s="24">
        <f>IFERROR(__xludf.DUMMYFUNCTION("""COMPUTED_VALUE"""),210.0)</f>
        <v>210</v>
      </c>
      <c r="D37" s="24" t="str">
        <f>IFERROR(__xludf.DUMMYFUNCTION("""COMPUTED_VALUE"""),"J2 (curb)")</f>
        <v>J2 (curb)</v>
      </c>
      <c r="F37" s="23">
        <f>IFERROR(__xludf.DUMMYFUNCTION("""COMPUTED_VALUE"""),44728.650393125004)</f>
        <v>44728.65039</v>
      </c>
      <c r="G37" s="24" t="str">
        <f>IFERROR(__xludf.DUMMYFUNCTION("""COMPUTED_VALUE"""),"Claire")</f>
        <v>Claire</v>
      </c>
      <c r="H37" s="24">
        <f>IFERROR(__xludf.DUMMYFUNCTION("""COMPUTED_VALUE"""),1869.0)</f>
        <v>1869</v>
      </c>
      <c r="I37" s="24" t="str">
        <f>IFERROR(__xludf.DUMMYFUNCTION("""COMPUTED_VALUE"""),"J6")</f>
        <v>J6</v>
      </c>
    </row>
    <row r="38">
      <c r="A38" s="23">
        <f>IFERROR(__xludf.DUMMYFUNCTION("""COMPUTED_VALUE"""),44728.67970887731)</f>
        <v>44728.67971</v>
      </c>
      <c r="B38" s="24" t="str">
        <f>IFERROR(__xludf.DUMMYFUNCTION("""COMPUTED_VALUE"""),"Claire")</f>
        <v>Claire</v>
      </c>
      <c r="C38" s="24">
        <f>IFERROR(__xludf.DUMMYFUNCTION("""COMPUTED_VALUE"""),545.0)</f>
        <v>545</v>
      </c>
      <c r="D38" s="24" t="str">
        <f>IFERROR(__xludf.DUMMYFUNCTION("""COMPUTED_VALUE"""),"L8")</f>
        <v>L8</v>
      </c>
      <c r="F38" s="23">
        <f>IFERROR(__xludf.DUMMYFUNCTION("""COMPUTED_VALUE"""),44728.6508052662)</f>
        <v>44728.65081</v>
      </c>
      <c r="G38" s="24" t="str">
        <f>IFERROR(__xludf.DUMMYFUNCTION("""COMPUTED_VALUE"""),"Claire")</f>
        <v>Claire</v>
      </c>
      <c r="H38" s="24">
        <f>IFERROR(__xludf.DUMMYFUNCTION("""COMPUTED_VALUE"""),303.0)</f>
        <v>303</v>
      </c>
      <c r="I38" s="24" t="str">
        <f>IFERROR(__xludf.DUMMYFUNCTION("""COMPUTED_VALUE"""),"J5 (curb)")</f>
        <v>J5 (curb)</v>
      </c>
    </row>
    <row r="39">
      <c r="A39" s="23">
        <f>IFERROR(__xludf.DUMMYFUNCTION("""COMPUTED_VALUE"""),44728.68007229166)</f>
        <v>44728.68007</v>
      </c>
      <c r="B39" s="24" t="str">
        <f>IFERROR(__xludf.DUMMYFUNCTION("""COMPUTED_VALUE"""),"Claire")</f>
        <v>Claire</v>
      </c>
      <c r="C39" s="24">
        <f>IFERROR(__xludf.DUMMYFUNCTION("""COMPUTED_VALUE"""),254.0)</f>
        <v>254</v>
      </c>
      <c r="D39" s="24" t="str">
        <f>IFERROR(__xludf.DUMMYFUNCTION("""COMPUTED_VALUE"""),"P3")</f>
        <v>P3</v>
      </c>
      <c r="F39" s="23">
        <f>IFERROR(__xludf.DUMMYFUNCTION("""COMPUTED_VALUE"""),44728.65113497685)</f>
        <v>44728.65113</v>
      </c>
      <c r="G39" s="24" t="str">
        <f>IFERROR(__xludf.DUMMYFUNCTION("""COMPUTED_VALUE"""),"Claire")</f>
        <v>Claire</v>
      </c>
      <c r="H39" s="24">
        <f>IFERROR(__xludf.DUMMYFUNCTION("""COMPUTED_VALUE"""),1120.0)</f>
        <v>1120</v>
      </c>
      <c r="I39" s="24" t="str">
        <f>IFERROR(__xludf.DUMMYFUNCTION("""COMPUTED_VALUE"""),"J4 (curb)")</f>
        <v>J4 (curb)</v>
      </c>
    </row>
    <row r="40">
      <c r="A40" s="23">
        <f>IFERROR(__xludf.DUMMYFUNCTION("""COMPUTED_VALUE"""),44728.68052230324)</f>
        <v>44728.68052</v>
      </c>
      <c r="B40" s="24" t="str">
        <f>IFERROR(__xludf.DUMMYFUNCTION("""COMPUTED_VALUE"""),"Claire")</f>
        <v>Claire</v>
      </c>
      <c r="C40" s="24">
        <f>IFERROR(__xludf.DUMMYFUNCTION("""COMPUTED_VALUE"""),134.0)</f>
        <v>134</v>
      </c>
      <c r="D40" s="24" t="str">
        <f>IFERROR(__xludf.DUMMYFUNCTION("""COMPUTED_VALUE"""),"P2")</f>
        <v>P2</v>
      </c>
      <c r="F40" s="23">
        <f>IFERROR(__xludf.DUMMYFUNCTION("""COMPUTED_VALUE"""),44728.65154375)</f>
        <v>44728.65154</v>
      </c>
      <c r="G40" s="24" t="str">
        <f>IFERROR(__xludf.DUMMYFUNCTION("""COMPUTED_VALUE"""),"Claire")</f>
        <v>Claire</v>
      </c>
      <c r="H40" s="24">
        <f>IFERROR(__xludf.DUMMYFUNCTION("""COMPUTED_VALUE"""),475.0)</f>
        <v>475</v>
      </c>
      <c r="I40" s="24" t="str">
        <f>IFERROR(__xludf.DUMMYFUNCTION("""COMPUTED_VALUE"""),"J1 (curb)")</f>
        <v>J1 (curb)</v>
      </c>
    </row>
    <row r="41">
      <c r="A41" s="23">
        <f>IFERROR(__xludf.DUMMYFUNCTION("""COMPUTED_VALUE"""),44728.68095650463)</f>
        <v>44728.68096</v>
      </c>
      <c r="B41" s="24" t="str">
        <f>IFERROR(__xludf.DUMMYFUNCTION("""COMPUTED_VALUE"""),"Claire")</f>
        <v>Claire</v>
      </c>
      <c r="C41" s="24">
        <f>IFERROR(__xludf.DUMMYFUNCTION("""COMPUTED_VALUE"""),258.0)</f>
        <v>258</v>
      </c>
      <c r="D41" s="24" t="str">
        <f>IFERROR(__xludf.DUMMYFUNCTION("""COMPUTED_VALUE"""),"P5")</f>
        <v>P5</v>
      </c>
      <c r="F41" s="23">
        <f>IFERROR(__xludf.DUMMYFUNCTION("""COMPUTED_VALUE"""),44728.65192027778)</f>
        <v>44728.65192</v>
      </c>
      <c r="G41" s="24" t="str">
        <f>IFERROR(__xludf.DUMMYFUNCTION("""COMPUTED_VALUE"""),"Claire")</f>
        <v>Claire</v>
      </c>
      <c r="H41" s="24">
        <f>IFERROR(__xludf.DUMMYFUNCTION("""COMPUTED_VALUE"""),210.0)</f>
        <v>210</v>
      </c>
      <c r="I41" s="24" t="str">
        <f>IFERROR(__xludf.DUMMYFUNCTION("""COMPUTED_VALUE"""),"J2 (curb)")</f>
        <v>J2 (curb)</v>
      </c>
    </row>
    <row r="42">
      <c r="A42" s="23">
        <f>IFERROR(__xludf.DUMMYFUNCTION("""COMPUTED_VALUE"""),44728.68125179398)</f>
        <v>44728.68125</v>
      </c>
      <c r="B42" s="24" t="str">
        <f>IFERROR(__xludf.DUMMYFUNCTION("""COMPUTED_VALUE"""),"Claire")</f>
        <v>Claire</v>
      </c>
      <c r="C42" s="24">
        <f>IFERROR(__xludf.DUMMYFUNCTION("""COMPUTED_VALUE"""),52.0)</f>
        <v>52</v>
      </c>
      <c r="D42" s="24" t="str">
        <f>IFERROR(__xludf.DUMMYFUNCTION("""COMPUTED_VALUE"""),"O6")</f>
        <v>O6</v>
      </c>
      <c r="F42" s="23">
        <f>IFERROR(__xludf.DUMMYFUNCTION("""COMPUTED_VALUE"""),44728.67970887731)</f>
        <v>44728.67971</v>
      </c>
      <c r="G42" s="24" t="str">
        <f>IFERROR(__xludf.DUMMYFUNCTION("""COMPUTED_VALUE"""),"Claire")</f>
        <v>Claire</v>
      </c>
      <c r="H42" s="24">
        <f>IFERROR(__xludf.DUMMYFUNCTION("""COMPUTED_VALUE"""),545.0)</f>
        <v>545</v>
      </c>
      <c r="I42" s="24" t="str">
        <f>IFERROR(__xludf.DUMMYFUNCTION("""COMPUTED_VALUE"""),"L8")</f>
        <v>L8</v>
      </c>
    </row>
    <row r="43">
      <c r="A43" s="23">
        <f>IFERROR(__xludf.DUMMYFUNCTION("""COMPUTED_VALUE"""),44728.68151821759)</f>
        <v>44728.68152</v>
      </c>
      <c r="B43" s="24" t="str">
        <f>IFERROR(__xludf.DUMMYFUNCTION("""COMPUTED_VALUE"""),"Claire")</f>
        <v>Claire</v>
      </c>
      <c r="C43" s="24">
        <f>IFERROR(__xludf.DUMMYFUNCTION("""COMPUTED_VALUE"""),346.0)</f>
        <v>346</v>
      </c>
      <c r="D43" s="24" t="str">
        <f>IFERROR(__xludf.DUMMYFUNCTION("""COMPUTED_VALUE"""),"O3")</f>
        <v>O3</v>
      </c>
      <c r="F43" s="23">
        <f>IFERROR(__xludf.DUMMYFUNCTION("""COMPUTED_VALUE"""),44728.68007229166)</f>
        <v>44728.68007</v>
      </c>
      <c r="G43" s="24" t="str">
        <f>IFERROR(__xludf.DUMMYFUNCTION("""COMPUTED_VALUE"""),"Claire")</f>
        <v>Claire</v>
      </c>
      <c r="H43" s="24">
        <f>IFERROR(__xludf.DUMMYFUNCTION("""COMPUTED_VALUE"""),254.0)</f>
        <v>254</v>
      </c>
      <c r="I43" s="24" t="str">
        <f>IFERROR(__xludf.DUMMYFUNCTION("""COMPUTED_VALUE"""),"P3")</f>
        <v>P3</v>
      </c>
    </row>
    <row r="44">
      <c r="A44" s="23">
        <f>IFERROR(__xludf.DUMMYFUNCTION("""COMPUTED_VALUE"""),44728.68174472222)</f>
        <v>44728.68174</v>
      </c>
      <c r="B44" s="24" t="str">
        <f>IFERROR(__xludf.DUMMYFUNCTION("""COMPUTED_VALUE"""),"Claire")</f>
        <v>Claire</v>
      </c>
      <c r="C44" s="24">
        <f>IFERROR(__xludf.DUMMYFUNCTION("""COMPUTED_VALUE"""),430.0)</f>
        <v>430</v>
      </c>
      <c r="D44" s="24" t="str">
        <f>IFERROR(__xludf.DUMMYFUNCTION("""COMPUTED_VALUE"""),"N6")</f>
        <v>N6</v>
      </c>
      <c r="F44" s="23">
        <f>IFERROR(__xludf.DUMMYFUNCTION("""COMPUTED_VALUE"""),44728.68052230324)</f>
        <v>44728.68052</v>
      </c>
      <c r="G44" s="24" t="str">
        <f>IFERROR(__xludf.DUMMYFUNCTION("""COMPUTED_VALUE"""),"Claire")</f>
        <v>Claire</v>
      </c>
      <c r="H44" s="24">
        <f>IFERROR(__xludf.DUMMYFUNCTION("""COMPUTED_VALUE"""),134.0)</f>
        <v>134</v>
      </c>
      <c r="I44" s="24" t="str">
        <f>IFERROR(__xludf.DUMMYFUNCTION("""COMPUTED_VALUE"""),"P2")</f>
        <v>P2</v>
      </c>
    </row>
    <row r="45">
      <c r="A45" s="23">
        <f>IFERROR(__xludf.DUMMYFUNCTION("""COMPUTED_VALUE"""),44728.681971226855)</f>
        <v>44728.68197</v>
      </c>
      <c r="B45" s="24" t="str">
        <f>IFERROR(__xludf.DUMMYFUNCTION("""COMPUTED_VALUE"""),"Claire")</f>
        <v>Claire</v>
      </c>
      <c r="C45" s="24">
        <f>IFERROR(__xludf.DUMMYFUNCTION("""COMPUTED_VALUE"""),234.0)</f>
        <v>234</v>
      </c>
      <c r="D45" s="24" t="str">
        <f>IFERROR(__xludf.DUMMYFUNCTION("""COMPUTED_VALUE"""),"N5")</f>
        <v>N5</v>
      </c>
      <c r="F45" s="23">
        <f>IFERROR(__xludf.DUMMYFUNCTION("""COMPUTED_VALUE"""),44728.68095650463)</f>
        <v>44728.68096</v>
      </c>
      <c r="G45" s="24" t="str">
        <f>IFERROR(__xludf.DUMMYFUNCTION("""COMPUTED_VALUE"""),"Claire")</f>
        <v>Claire</v>
      </c>
      <c r="H45" s="24">
        <f>IFERROR(__xludf.DUMMYFUNCTION("""COMPUTED_VALUE"""),258.0)</f>
        <v>258</v>
      </c>
      <c r="I45" s="24" t="str">
        <f>IFERROR(__xludf.DUMMYFUNCTION("""COMPUTED_VALUE"""),"P5")</f>
        <v>P5</v>
      </c>
    </row>
    <row r="46">
      <c r="A46" s="23">
        <f>IFERROR(__xludf.DUMMYFUNCTION("""COMPUTED_VALUE"""),44728.68231825231)</f>
        <v>44728.68232</v>
      </c>
      <c r="B46" s="24" t="str">
        <f>IFERROR(__xludf.DUMMYFUNCTION("""COMPUTED_VALUE"""),"Claire")</f>
        <v>Claire</v>
      </c>
      <c r="C46" s="24">
        <f>IFERROR(__xludf.DUMMYFUNCTION("""COMPUTED_VALUE"""),368.0)</f>
        <v>368</v>
      </c>
      <c r="D46" s="24" t="str">
        <f>IFERROR(__xludf.DUMMYFUNCTION("""COMPUTED_VALUE"""),"N2")</f>
        <v>N2</v>
      </c>
      <c r="F46" s="23">
        <f>IFERROR(__xludf.DUMMYFUNCTION("""COMPUTED_VALUE"""),44728.68125179398)</f>
        <v>44728.68125</v>
      </c>
      <c r="G46" s="24" t="str">
        <f>IFERROR(__xludf.DUMMYFUNCTION("""COMPUTED_VALUE"""),"Claire")</f>
        <v>Claire</v>
      </c>
      <c r="H46" s="24">
        <f>IFERROR(__xludf.DUMMYFUNCTION("""COMPUTED_VALUE"""),52.0)</f>
        <v>52</v>
      </c>
      <c r="I46" s="24" t="str">
        <f>IFERROR(__xludf.DUMMYFUNCTION("""COMPUTED_VALUE"""),"O6")</f>
        <v>O6</v>
      </c>
    </row>
    <row r="47">
      <c r="A47" s="23">
        <f>IFERROR(__xludf.DUMMYFUNCTION("""COMPUTED_VALUE"""),44728.68262071759)</f>
        <v>44728.68262</v>
      </c>
      <c r="B47" s="24" t="str">
        <f>IFERROR(__xludf.DUMMYFUNCTION("""COMPUTED_VALUE"""),"Claire")</f>
        <v>Claire</v>
      </c>
      <c r="C47" s="24">
        <f>IFERROR(__xludf.DUMMYFUNCTION("""COMPUTED_VALUE"""),678.0)</f>
        <v>678</v>
      </c>
      <c r="D47" s="24" t="str">
        <f>IFERROR(__xludf.DUMMYFUNCTION("""COMPUTED_VALUE"""),"M6")</f>
        <v>M6</v>
      </c>
      <c r="F47" s="23">
        <f>IFERROR(__xludf.DUMMYFUNCTION("""COMPUTED_VALUE"""),44728.68151821759)</f>
        <v>44728.68152</v>
      </c>
      <c r="G47" s="24" t="str">
        <f>IFERROR(__xludf.DUMMYFUNCTION("""COMPUTED_VALUE"""),"Claire")</f>
        <v>Claire</v>
      </c>
      <c r="H47" s="24">
        <f>IFERROR(__xludf.DUMMYFUNCTION("""COMPUTED_VALUE"""),346.0)</f>
        <v>346</v>
      </c>
      <c r="I47" s="24" t="str">
        <f>IFERROR(__xludf.DUMMYFUNCTION("""COMPUTED_VALUE"""),"O3")</f>
        <v>O3</v>
      </c>
    </row>
    <row r="48">
      <c r="A48" s="23">
        <f>IFERROR(__xludf.DUMMYFUNCTION("""COMPUTED_VALUE"""),44728.6828579051)</f>
        <v>44728.68286</v>
      </c>
      <c r="B48" s="24" t="str">
        <f>IFERROR(__xludf.DUMMYFUNCTION("""COMPUTED_VALUE"""),"Claire")</f>
        <v>Claire</v>
      </c>
      <c r="C48" s="24">
        <f>IFERROR(__xludf.DUMMYFUNCTION("""COMPUTED_VALUE"""),414.0)</f>
        <v>414</v>
      </c>
      <c r="D48" s="24" t="str">
        <f>IFERROR(__xludf.DUMMYFUNCTION("""COMPUTED_VALUE"""),"M3")</f>
        <v>M3</v>
      </c>
      <c r="F48" s="23">
        <f>IFERROR(__xludf.DUMMYFUNCTION("""COMPUTED_VALUE"""),44728.68174472222)</f>
        <v>44728.68174</v>
      </c>
      <c r="G48" s="24" t="str">
        <f>IFERROR(__xludf.DUMMYFUNCTION("""COMPUTED_VALUE"""),"Claire")</f>
        <v>Claire</v>
      </c>
      <c r="H48" s="24">
        <f>IFERROR(__xludf.DUMMYFUNCTION("""COMPUTED_VALUE"""),430.0)</f>
        <v>430</v>
      </c>
      <c r="I48" s="24" t="str">
        <f>IFERROR(__xludf.DUMMYFUNCTION("""COMPUTED_VALUE"""),"N6")</f>
        <v>N6</v>
      </c>
    </row>
    <row r="49">
      <c r="A49" s="23">
        <f>IFERROR(__xludf.DUMMYFUNCTION("""COMPUTED_VALUE"""),44728.68315658565)</f>
        <v>44728.68316</v>
      </c>
      <c r="B49" s="24" t="str">
        <f>IFERROR(__xludf.DUMMYFUNCTION("""COMPUTED_VALUE"""),"Claire")</f>
        <v>Claire</v>
      </c>
      <c r="C49" s="24">
        <f>IFERROR(__xludf.DUMMYFUNCTION("""COMPUTED_VALUE"""),206.0)</f>
        <v>206</v>
      </c>
      <c r="D49" s="24" t="str">
        <f>IFERROR(__xludf.DUMMYFUNCTION("""COMPUTED_VALUE"""),"H5")</f>
        <v>H5</v>
      </c>
      <c r="F49" s="23">
        <f>IFERROR(__xludf.DUMMYFUNCTION("""COMPUTED_VALUE"""),44728.681971226855)</f>
        <v>44728.68197</v>
      </c>
      <c r="G49" s="24" t="str">
        <f>IFERROR(__xludf.DUMMYFUNCTION("""COMPUTED_VALUE"""),"Claire")</f>
        <v>Claire</v>
      </c>
      <c r="H49" s="24">
        <f>IFERROR(__xludf.DUMMYFUNCTION("""COMPUTED_VALUE"""),234.0)</f>
        <v>234</v>
      </c>
      <c r="I49" s="24" t="str">
        <f>IFERROR(__xludf.DUMMYFUNCTION("""COMPUTED_VALUE"""),"N5")</f>
        <v>N5</v>
      </c>
    </row>
    <row r="50">
      <c r="A50" s="23">
        <f>IFERROR(__xludf.DUMMYFUNCTION("""COMPUTED_VALUE"""),44728.68339119213)</f>
        <v>44728.68339</v>
      </c>
      <c r="B50" s="24" t="str">
        <f>IFERROR(__xludf.DUMMYFUNCTION("""COMPUTED_VALUE"""),"Claire")</f>
        <v>Claire</v>
      </c>
      <c r="C50" s="24">
        <f>IFERROR(__xludf.DUMMYFUNCTION("""COMPUTED_VALUE"""),237.0)</f>
        <v>237</v>
      </c>
      <c r="D50" s="24" t="str">
        <f>IFERROR(__xludf.DUMMYFUNCTION("""COMPUTED_VALUE"""),"H1")</f>
        <v>H1</v>
      </c>
      <c r="F50" s="23">
        <f>IFERROR(__xludf.DUMMYFUNCTION("""COMPUTED_VALUE"""),44728.68231825231)</f>
        <v>44728.68232</v>
      </c>
      <c r="G50" s="24" t="str">
        <f>IFERROR(__xludf.DUMMYFUNCTION("""COMPUTED_VALUE"""),"Claire")</f>
        <v>Claire</v>
      </c>
      <c r="H50" s="24">
        <f>IFERROR(__xludf.DUMMYFUNCTION("""COMPUTED_VALUE"""),368.0)</f>
        <v>368</v>
      </c>
      <c r="I50" s="24" t="str">
        <f>IFERROR(__xludf.DUMMYFUNCTION("""COMPUTED_VALUE"""),"N2")</f>
        <v>N2</v>
      </c>
    </row>
    <row r="51">
      <c r="A51" s="23">
        <f>IFERROR(__xludf.DUMMYFUNCTION("""COMPUTED_VALUE"""),44728.68367423611)</f>
        <v>44728.68367</v>
      </c>
      <c r="B51" s="24" t="str">
        <f>IFERROR(__xludf.DUMMYFUNCTION("""COMPUTED_VALUE"""),"Claire")</f>
        <v>Claire</v>
      </c>
      <c r="C51" s="24">
        <f>IFERROR(__xludf.DUMMYFUNCTION("""COMPUTED_VALUE"""),175.0)</f>
        <v>175</v>
      </c>
      <c r="D51" s="24" t="str">
        <f>IFERROR(__xludf.DUMMYFUNCTION("""COMPUTED_VALUE"""),"L7")</f>
        <v>L7</v>
      </c>
      <c r="F51" s="23">
        <f>IFERROR(__xludf.DUMMYFUNCTION("""COMPUTED_VALUE"""),44728.68262071759)</f>
        <v>44728.68262</v>
      </c>
      <c r="G51" s="24" t="str">
        <f>IFERROR(__xludf.DUMMYFUNCTION("""COMPUTED_VALUE"""),"Claire")</f>
        <v>Claire</v>
      </c>
      <c r="H51" s="24">
        <f>IFERROR(__xludf.DUMMYFUNCTION("""COMPUTED_VALUE"""),678.0)</f>
        <v>678</v>
      </c>
      <c r="I51" s="24" t="str">
        <f>IFERROR(__xludf.DUMMYFUNCTION("""COMPUTED_VALUE"""),"M6")</f>
        <v>M6</v>
      </c>
    </row>
    <row r="52">
      <c r="A52" s="23">
        <f>IFERROR(__xludf.DUMMYFUNCTION("""COMPUTED_VALUE"""),44728.68393048611)</f>
        <v>44728.68393</v>
      </c>
      <c r="B52" s="24" t="str">
        <f>IFERROR(__xludf.DUMMYFUNCTION("""COMPUTED_VALUE"""),"Claire")</f>
        <v>Claire</v>
      </c>
      <c r="C52" s="24">
        <f>IFERROR(__xludf.DUMMYFUNCTION("""COMPUTED_VALUE"""),164.0)</f>
        <v>164</v>
      </c>
      <c r="D52" s="24" t="str">
        <f>IFERROR(__xludf.DUMMYFUNCTION("""COMPUTED_VALUE"""),"C5")</f>
        <v>C5</v>
      </c>
      <c r="F52" s="23">
        <f>IFERROR(__xludf.DUMMYFUNCTION("""COMPUTED_VALUE"""),44728.6828579051)</f>
        <v>44728.68286</v>
      </c>
      <c r="G52" s="24" t="str">
        <f>IFERROR(__xludf.DUMMYFUNCTION("""COMPUTED_VALUE"""),"Claire")</f>
        <v>Claire</v>
      </c>
      <c r="H52" s="24">
        <f>IFERROR(__xludf.DUMMYFUNCTION("""COMPUTED_VALUE"""),414.0)</f>
        <v>414</v>
      </c>
      <c r="I52" s="24" t="str">
        <f>IFERROR(__xludf.DUMMYFUNCTION("""COMPUTED_VALUE"""),"M3")</f>
        <v>M3</v>
      </c>
    </row>
    <row r="53">
      <c r="A53" s="23">
        <f>IFERROR(__xludf.DUMMYFUNCTION("""COMPUTED_VALUE"""),44728.68414023148)</f>
        <v>44728.68414</v>
      </c>
      <c r="B53" s="24" t="str">
        <f>IFERROR(__xludf.DUMMYFUNCTION("""COMPUTED_VALUE"""),"Claire")</f>
        <v>Claire</v>
      </c>
      <c r="C53" s="24">
        <f>IFERROR(__xludf.DUMMYFUNCTION("""COMPUTED_VALUE"""),219.0)</f>
        <v>219</v>
      </c>
      <c r="D53" s="24" t="str">
        <f>IFERROR(__xludf.DUMMYFUNCTION("""COMPUTED_VALUE"""),"L4")</f>
        <v>L4</v>
      </c>
      <c r="F53" s="23">
        <f>IFERROR(__xludf.DUMMYFUNCTION("""COMPUTED_VALUE"""),44728.68315658565)</f>
        <v>44728.68316</v>
      </c>
      <c r="G53" s="24" t="str">
        <f>IFERROR(__xludf.DUMMYFUNCTION("""COMPUTED_VALUE"""),"Claire")</f>
        <v>Claire</v>
      </c>
      <c r="H53" s="24">
        <f>IFERROR(__xludf.DUMMYFUNCTION("""COMPUTED_VALUE"""),206.0)</f>
        <v>206</v>
      </c>
      <c r="I53" s="24" t="str">
        <f>IFERROR(__xludf.DUMMYFUNCTION("""COMPUTED_VALUE"""),"H5")</f>
        <v>H5</v>
      </c>
    </row>
    <row r="54">
      <c r="A54" s="23">
        <f>IFERROR(__xludf.DUMMYFUNCTION("""COMPUTED_VALUE"""),44728.73593351852)</f>
        <v>44728.73593</v>
      </c>
      <c r="B54" s="24" t="str">
        <f>IFERROR(__xludf.DUMMYFUNCTION("""COMPUTED_VALUE"""),"Claire")</f>
        <v>Claire</v>
      </c>
      <c r="C54" s="24">
        <f>IFERROR(__xludf.DUMMYFUNCTION("""COMPUTED_VALUE"""),302.0)</f>
        <v>302</v>
      </c>
      <c r="D54" s="24" t="str">
        <f>IFERROR(__xludf.DUMMYFUNCTION("""COMPUTED_VALUE"""),"M5")</f>
        <v>M5</v>
      </c>
      <c r="F54" s="23">
        <f>IFERROR(__xludf.DUMMYFUNCTION("""COMPUTED_VALUE"""),44728.68339119213)</f>
        <v>44728.68339</v>
      </c>
      <c r="G54" s="24" t="str">
        <f>IFERROR(__xludf.DUMMYFUNCTION("""COMPUTED_VALUE"""),"Claire")</f>
        <v>Claire</v>
      </c>
      <c r="H54" s="24">
        <f>IFERROR(__xludf.DUMMYFUNCTION("""COMPUTED_VALUE"""),237.0)</f>
        <v>237</v>
      </c>
      <c r="I54" s="24" t="str">
        <f>IFERROR(__xludf.DUMMYFUNCTION("""COMPUTED_VALUE"""),"H1")</f>
        <v>H1</v>
      </c>
    </row>
    <row r="55">
      <c r="A55" s="23">
        <f>IFERROR(__xludf.DUMMYFUNCTION("""COMPUTED_VALUE"""),44728.73646600694)</f>
        <v>44728.73647</v>
      </c>
      <c r="B55" s="24" t="str">
        <f>IFERROR(__xludf.DUMMYFUNCTION("""COMPUTED_VALUE"""),"Claire")</f>
        <v>Claire</v>
      </c>
      <c r="C55" s="24">
        <f>IFERROR(__xludf.DUMMYFUNCTION("""COMPUTED_VALUE"""),813.0)</f>
        <v>813</v>
      </c>
      <c r="D55" s="24" t="str">
        <f>IFERROR(__xludf.DUMMYFUNCTION("""COMPUTED_VALUE"""),"C3")</f>
        <v>C3</v>
      </c>
      <c r="F55" s="23">
        <f>IFERROR(__xludf.DUMMYFUNCTION("""COMPUTED_VALUE"""),44728.68367423611)</f>
        <v>44728.68367</v>
      </c>
      <c r="G55" s="24" t="str">
        <f>IFERROR(__xludf.DUMMYFUNCTION("""COMPUTED_VALUE"""),"Claire")</f>
        <v>Claire</v>
      </c>
      <c r="H55" s="24">
        <f>IFERROR(__xludf.DUMMYFUNCTION("""COMPUTED_VALUE"""),175.0)</f>
        <v>175</v>
      </c>
      <c r="I55" s="24" t="str">
        <f>IFERROR(__xludf.DUMMYFUNCTION("""COMPUTED_VALUE"""),"L7")</f>
        <v>L7</v>
      </c>
    </row>
    <row r="56">
      <c r="A56" s="23">
        <f>IFERROR(__xludf.DUMMYFUNCTION("""COMPUTED_VALUE"""),44728.76704497685)</f>
        <v>44728.76704</v>
      </c>
      <c r="B56" s="24" t="str">
        <f>IFERROR(__xludf.DUMMYFUNCTION("""COMPUTED_VALUE"""),"Claire")</f>
        <v>Claire</v>
      </c>
      <c r="C56" s="24">
        <f>IFERROR(__xludf.DUMMYFUNCTION("""COMPUTED_VALUE"""),799.0)</f>
        <v>799</v>
      </c>
      <c r="D56" s="24" t="str">
        <f>IFERROR(__xludf.DUMMYFUNCTION("""COMPUTED_VALUE"""),"T1")</f>
        <v>T1</v>
      </c>
      <c r="F56" s="23">
        <f>IFERROR(__xludf.DUMMYFUNCTION("""COMPUTED_VALUE"""),44728.68393048611)</f>
        <v>44728.68393</v>
      </c>
      <c r="G56" s="24" t="str">
        <f>IFERROR(__xludf.DUMMYFUNCTION("""COMPUTED_VALUE"""),"Claire")</f>
        <v>Claire</v>
      </c>
      <c r="H56" s="24">
        <f>IFERROR(__xludf.DUMMYFUNCTION("""COMPUTED_VALUE"""),164.0)</f>
        <v>164</v>
      </c>
      <c r="I56" s="24" t="str">
        <f>IFERROR(__xludf.DUMMYFUNCTION("""COMPUTED_VALUE"""),"C5")</f>
        <v>C5</v>
      </c>
    </row>
    <row r="57">
      <c r="A57" s="23">
        <f>IFERROR(__xludf.DUMMYFUNCTION("""COMPUTED_VALUE"""),44728.767471631945)</f>
        <v>44728.76747</v>
      </c>
      <c r="B57" s="24" t="str">
        <f>IFERROR(__xludf.DUMMYFUNCTION("""COMPUTED_VALUE"""),"Claire")</f>
        <v>Claire</v>
      </c>
      <c r="C57" s="24">
        <f>IFERROR(__xludf.DUMMYFUNCTION("""COMPUTED_VALUE"""),735.0)</f>
        <v>735</v>
      </c>
      <c r="D57" s="24" t="str">
        <f>IFERROR(__xludf.DUMMYFUNCTION("""COMPUTED_VALUE"""),"T2")</f>
        <v>T2</v>
      </c>
      <c r="F57" s="23">
        <f>IFERROR(__xludf.DUMMYFUNCTION("""COMPUTED_VALUE"""),44728.68414023148)</f>
        <v>44728.68414</v>
      </c>
      <c r="G57" s="24" t="str">
        <f>IFERROR(__xludf.DUMMYFUNCTION("""COMPUTED_VALUE"""),"Claire")</f>
        <v>Claire</v>
      </c>
      <c r="H57" s="24">
        <f>IFERROR(__xludf.DUMMYFUNCTION("""COMPUTED_VALUE"""),219.0)</f>
        <v>219</v>
      </c>
      <c r="I57" s="24" t="str">
        <f>IFERROR(__xludf.DUMMYFUNCTION("""COMPUTED_VALUE"""),"L4")</f>
        <v>L4</v>
      </c>
    </row>
    <row r="58">
      <c r="A58" s="23">
        <f>IFERROR(__xludf.DUMMYFUNCTION("""COMPUTED_VALUE"""),44728.76779078704)</f>
        <v>44728.76779</v>
      </c>
      <c r="B58" s="24" t="str">
        <f>IFERROR(__xludf.DUMMYFUNCTION("""COMPUTED_VALUE"""),"Claire")</f>
        <v>Claire</v>
      </c>
      <c r="C58" s="24">
        <f>IFERROR(__xludf.DUMMYFUNCTION("""COMPUTED_VALUE"""),869.0)</f>
        <v>869</v>
      </c>
      <c r="D58" s="24" t="str">
        <f>IFERROR(__xludf.DUMMYFUNCTION("""COMPUTED_VALUE"""),"T3")</f>
        <v>T3</v>
      </c>
      <c r="F58" s="23">
        <f>IFERROR(__xludf.DUMMYFUNCTION("""COMPUTED_VALUE"""),44728.71753957176)</f>
        <v>44728.71754</v>
      </c>
      <c r="G58" s="24" t="str">
        <f>IFERROR(__xludf.DUMMYFUNCTION("""COMPUTED_VALUE"""),"Cyrano Yee")</f>
        <v>Cyrano Yee</v>
      </c>
      <c r="H58" s="24">
        <f>IFERROR(__xludf.DUMMYFUNCTION("""COMPUTED_VALUE"""),43.0)</f>
        <v>43</v>
      </c>
      <c r="I58" s="24"/>
    </row>
    <row r="59">
      <c r="A59" s="23">
        <f>IFERROR(__xludf.DUMMYFUNCTION("""COMPUTED_VALUE"""),44728.76811287037)</f>
        <v>44728.76811</v>
      </c>
      <c r="B59" s="24" t="str">
        <f>IFERROR(__xludf.DUMMYFUNCTION("""COMPUTED_VALUE"""),"Claire")</f>
        <v>Claire</v>
      </c>
      <c r="C59" s="24">
        <f>IFERROR(__xludf.DUMMYFUNCTION("""COMPUTED_VALUE"""),1724.0)</f>
        <v>1724</v>
      </c>
      <c r="D59" s="24" t="str">
        <f>IFERROR(__xludf.DUMMYFUNCTION("""COMPUTED_VALUE"""),"T4")</f>
        <v>T4</v>
      </c>
      <c r="F59" s="23">
        <f>IFERROR(__xludf.DUMMYFUNCTION("""COMPUTED_VALUE"""),44728.73593351852)</f>
        <v>44728.73593</v>
      </c>
      <c r="G59" s="24" t="str">
        <f>IFERROR(__xludf.DUMMYFUNCTION("""COMPUTED_VALUE"""),"Claire")</f>
        <v>Claire</v>
      </c>
      <c r="H59" s="24">
        <f>IFERROR(__xludf.DUMMYFUNCTION("""COMPUTED_VALUE"""),302.0)</f>
        <v>302</v>
      </c>
      <c r="I59" s="24" t="str">
        <f>IFERROR(__xludf.DUMMYFUNCTION("""COMPUTED_VALUE"""),"M5")</f>
        <v>M5</v>
      </c>
    </row>
    <row r="60">
      <c r="A60" s="23">
        <f>IFERROR(__xludf.DUMMYFUNCTION("""COMPUTED_VALUE"""),44728.768493460644)</f>
        <v>44728.76849</v>
      </c>
      <c r="B60" s="24" t="str">
        <f>IFERROR(__xludf.DUMMYFUNCTION("""COMPUTED_VALUE"""),"Claire")</f>
        <v>Claire</v>
      </c>
      <c r="C60" s="24">
        <f>IFERROR(__xludf.DUMMYFUNCTION("""COMPUTED_VALUE"""),212.0)</f>
        <v>212</v>
      </c>
      <c r="D60" s="24" t="str">
        <f>IFERROR(__xludf.DUMMYFUNCTION("""COMPUTED_VALUE"""),"T5")</f>
        <v>T5</v>
      </c>
      <c r="F60" s="23">
        <f>IFERROR(__xludf.DUMMYFUNCTION("""COMPUTED_VALUE"""),44728.73646600694)</f>
        <v>44728.73647</v>
      </c>
      <c r="G60" s="24" t="str">
        <f>IFERROR(__xludf.DUMMYFUNCTION("""COMPUTED_VALUE"""),"Claire")</f>
        <v>Claire</v>
      </c>
      <c r="H60" s="24">
        <f>IFERROR(__xludf.DUMMYFUNCTION("""COMPUTED_VALUE"""),813.0)</f>
        <v>813</v>
      </c>
      <c r="I60" s="24" t="str">
        <f>IFERROR(__xludf.DUMMYFUNCTION("""COMPUTED_VALUE"""),"C3")</f>
        <v>C3</v>
      </c>
    </row>
    <row r="61">
      <c r="A61" s="23">
        <f>IFERROR(__xludf.DUMMYFUNCTION("""COMPUTED_VALUE"""),44728.76888982639)</f>
        <v>44728.76889</v>
      </c>
      <c r="B61" s="24" t="str">
        <f>IFERROR(__xludf.DUMMYFUNCTION("""COMPUTED_VALUE"""),"Claire")</f>
        <v>Claire</v>
      </c>
      <c r="C61" s="24">
        <f>IFERROR(__xludf.DUMMYFUNCTION("""COMPUTED_VALUE"""),792.0)</f>
        <v>792</v>
      </c>
      <c r="D61" s="24" t="str">
        <f>IFERROR(__xludf.DUMMYFUNCTION("""COMPUTED_VALUE"""),"T8")</f>
        <v>T8</v>
      </c>
      <c r="F61" s="23">
        <f>IFERROR(__xludf.DUMMYFUNCTION("""COMPUTED_VALUE"""),44728.76704497685)</f>
        <v>44728.76704</v>
      </c>
      <c r="G61" s="24" t="str">
        <f>IFERROR(__xludf.DUMMYFUNCTION("""COMPUTED_VALUE"""),"Claire")</f>
        <v>Claire</v>
      </c>
      <c r="H61" s="24">
        <f>IFERROR(__xludf.DUMMYFUNCTION("""COMPUTED_VALUE"""),799.0)</f>
        <v>799</v>
      </c>
      <c r="I61" s="24" t="str">
        <f>IFERROR(__xludf.DUMMYFUNCTION("""COMPUTED_VALUE"""),"T1")</f>
        <v>T1</v>
      </c>
    </row>
    <row r="62">
      <c r="A62" s="23">
        <f>IFERROR(__xludf.DUMMYFUNCTION("""COMPUTED_VALUE"""),44728.76915115741)</f>
        <v>44728.76915</v>
      </c>
      <c r="B62" s="24" t="str">
        <f>IFERROR(__xludf.DUMMYFUNCTION("""COMPUTED_VALUE"""),"Claire")</f>
        <v>Claire</v>
      </c>
      <c r="C62" s="24">
        <f>IFERROR(__xludf.DUMMYFUNCTION("""COMPUTED_VALUE"""),608.0)</f>
        <v>608</v>
      </c>
      <c r="D62" s="24" t="str">
        <f>IFERROR(__xludf.DUMMYFUNCTION("""COMPUTED_VALUE"""),"T9")</f>
        <v>T9</v>
      </c>
      <c r="F62" s="23">
        <f>IFERROR(__xludf.DUMMYFUNCTION("""COMPUTED_VALUE"""),44728.767471631945)</f>
        <v>44728.76747</v>
      </c>
      <c r="G62" s="24" t="str">
        <f>IFERROR(__xludf.DUMMYFUNCTION("""COMPUTED_VALUE"""),"Claire")</f>
        <v>Claire</v>
      </c>
      <c r="H62" s="24">
        <f>IFERROR(__xludf.DUMMYFUNCTION("""COMPUTED_VALUE"""),735.0)</f>
        <v>735</v>
      </c>
      <c r="I62" s="24" t="str">
        <f>IFERROR(__xludf.DUMMYFUNCTION("""COMPUTED_VALUE"""),"T2")</f>
        <v>T2</v>
      </c>
    </row>
    <row r="63">
      <c r="A63" s="23">
        <f>IFERROR(__xludf.DUMMYFUNCTION("""COMPUTED_VALUE"""),44728.76952674769)</f>
        <v>44728.76953</v>
      </c>
      <c r="B63" s="24" t="str">
        <f>IFERROR(__xludf.DUMMYFUNCTION("""COMPUTED_VALUE"""),"Claire")</f>
        <v>Claire</v>
      </c>
      <c r="C63" s="24">
        <f>IFERROR(__xludf.DUMMYFUNCTION("""COMPUTED_VALUE"""),151.0)</f>
        <v>151</v>
      </c>
      <c r="D63" s="24" t="str">
        <f>IFERROR(__xludf.DUMMYFUNCTION("""COMPUTED_VALUE"""),"T10")</f>
        <v>T10</v>
      </c>
      <c r="F63" s="23">
        <f>IFERROR(__xludf.DUMMYFUNCTION("""COMPUTED_VALUE"""),44728.76779078704)</f>
        <v>44728.76779</v>
      </c>
      <c r="G63" s="24" t="str">
        <f>IFERROR(__xludf.DUMMYFUNCTION("""COMPUTED_VALUE"""),"Claire")</f>
        <v>Claire</v>
      </c>
      <c r="H63" s="24">
        <f>IFERROR(__xludf.DUMMYFUNCTION("""COMPUTED_VALUE"""),869.0)</f>
        <v>869</v>
      </c>
      <c r="I63" s="24" t="str">
        <f>IFERROR(__xludf.DUMMYFUNCTION("""COMPUTED_VALUE"""),"T3")</f>
        <v>T3</v>
      </c>
    </row>
    <row r="64">
      <c r="A64" s="23">
        <f>IFERROR(__xludf.DUMMYFUNCTION("""COMPUTED_VALUE"""),44729.57509164352)</f>
        <v>44729.57509</v>
      </c>
      <c r="B64" s="24" t="str">
        <f>IFERROR(__xludf.DUMMYFUNCTION("""COMPUTED_VALUE"""),"Claire")</f>
        <v>Claire</v>
      </c>
      <c r="C64" s="24">
        <f>IFERROR(__xludf.DUMMYFUNCTION("""COMPUTED_VALUE"""),1085.0)</f>
        <v>1085</v>
      </c>
      <c r="D64" s="24" t="str">
        <f>IFERROR(__xludf.DUMMYFUNCTION("""COMPUTED_VALUE"""),"L5")</f>
        <v>L5</v>
      </c>
      <c r="F64" s="23">
        <f>IFERROR(__xludf.DUMMYFUNCTION("""COMPUTED_VALUE"""),44728.76811287037)</f>
        <v>44728.76811</v>
      </c>
      <c r="G64" s="24" t="str">
        <f>IFERROR(__xludf.DUMMYFUNCTION("""COMPUTED_VALUE"""),"Claire")</f>
        <v>Claire</v>
      </c>
      <c r="H64" s="24">
        <f>IFERROR(__xludf.DUMMYFUNCTION("""COMPUTED_VALUE"""),1724.0)</f>
        <v>1724</v>
      </c>
      <c r="I64" s="24" t="str">
        <f>IFERROR(__xludf.DUMMYFUNCTION("""COMPUTED_VALUE"""),"T4")</f>
        <v>T4</v>
      </c>
    </row>
    <row r="65">
      <c r="A65" s="23">
        <f>IFERROR(__xludf.DUMMYFUNCTION("""COMPUTED_VALUE"""),44729.57543182871)</f>
        <v>44729.57543</v>
      </c>
      <c r="B65" s="24" t="str">
        <f>IFERROR(__xludf.DUMMYFUNCTION("""COMPUTED_VALUE"""),"Claire")</f>
        <v>Claire</v>
      </c>
      <c r="C65" s="24">
        <f>IFERROR(__xludf.DUMMYFUNCTION("""COMPUTED_VALUE"""),230.0)</f>
        <v>230</v>
      </c>
      <c r="D65" s="24" t="str">
        <f>IFERROR(__xludf.DUMMYFUNCTION("""COMPUTED_VALUE"""),"O5")</f>
        <v>O5</v>
      </c>
      <c r="F65" s="23">
        <f>IFERROR(__xludf.DUMMYFUNCTION("""COMPUTED_VALUE"""),44728.768493460644)</f>
        <v>44728.76849</v>
      </c>
      <c r="G65" s="24" t="str">
        <f>IFERROR(__xludf.DUMMYFUNCTION("""COMPUTED_VALUE"""),"Claire")</f>
        <v>Claire</v>
      </c>
      <c r="H65" s="24">
        <f>IFERROR(__xludf.DUMMYFUNCTION("""COMPUTED_VALUE"""),212.0)</f>
        <v>212</v>
      </c>
      <c r="I65" s="24" t="str">
        <f>IFERROR(__xludf.DUMMYFUNCTION("""COMPUTED_VALUE"""),"T5")</f>
        <v>T5</v>
      </c>
    </row>
    <row r="66">
      <c r="A66" s="23">
        <f>IFERROR(__xludf.DUMMYFUNCTION("""COMPUTED_VALUE"""),44729.57565769676)</f>
        <v>44729.57566</v>
      </c>
      <c r="B66" s="24" t="str">
        <f>IFERROR(__xludf.DUMMYFUNCTION("""COMPUTED_VALUE"""),"Claire")</f>
        <v>Claire</v>
      </c>
      <c r="C66" s="24">
        <f>IFERROR(__xludf.DUMMYFUNCTION("""COMPUTED_VALUE"""),280.0)</f>
        <v>280</v>
      </c>
      <c r="D66" s="24" t="str">
        <f>IFERROR(__xludf.DUMMYFUNCTION("""COMPUTED_VALUE"""),"C1")</f>
        <v>C1</v>
      </c>
      <c r="F66" s="23">
        <f>IFERROR(__xludf.DUMMYFUNCTION("""COMPUTED_VALUE"""),44728.76888982639)</f>
        <v>44728.76889</v>
      </c>
      <c r="G66" s="24" t="str">
        <f>IFERROR(__xludf.DUMMYFUNCTION("""COMPUTED_VALUE"""),"Claire")</f>
        <v>Claire</v>
      </c>
      <c r="H66" s="24">
        <f>IFERROR(__xludf.DUMMYFUNCTION("""COMPUTED_VALUE"""),792.0)</f>
        <v>792</v>
      </c>
      <c r="I66" s="24" t="str">
        <f>IFERROR(__xludf.DUMMYFUNCTION("""COMPUTED_VALUE"""),"T8")</f>
        <v>T8</v>
      </c>
    </row>
    <row r="67">
      <c r="A67" s="23">
        <f>IFERROR(__xludf.DUMMYFUNCTION("""COMPUTED_VALUE"""),44729.57693686343)</f>
        <v>44729.57694</v>
      </c>
      <c r="B67" s="24" t="str">
        <f>IFERROR(__xludf.DUMMYFUNCTION("""COMPUTED_VALUE"""),"Claire")</f>
        <v>Claire</v>
      </c>
      <c r="C67" s="24">
        <f>IFERROR(__xludf.DUMMYFUNCTION("""COMPUTED_VALUE"""),22.0)</f>
        <v>22</v>
      </c>
      <c r="D67" s="24" t="str">
        <f>IFERROR(__xludf.DUMMYFUNCTION("""COMPUTED_VALUE"""),"H4")</f>
        <v>H4</v>
      </c>
      <c r="F67" s="23">
        <f>IFERROR(__xludf.DUMMYFUNCTION("""COMPUTED_VALUE"""),44728.76915115741)</f>
        <v>44728.76915</v>
      </c>
      <c r="G67" s="24" t="str">
        <f>IFERROR(__xludf.DUMMYFUNCTION("""COMPUTED_VALUE"""),"Claire")</f>
        <v>Claire</v>
      </c>
      <c r="H67" s="24">
        <f>IFERROR(__xludf.DUMMYFUNCTION("""COMPUTED_VALUE"""),608.0)</f>
        <v>608</v>
      </c>
      <c r="I67" s="24" t="str">
        <f>IFERROR(__xludf.DUMMYFUNCTION("""COMPUTED_VALUE"""),"T9")</f>
        <v>T9</v>
      </c>
    </row>
    <row r="68">
      <c r="A68" s="23">
        <f>IFERROR(__xludf.DUMMYFUNCTION("""COMPUTED_VALUE"""),44729.577272939816)</f>
        <v>44729.57727</v>
      </c>
      <c r="B68" s="24" t="str">
        <f>IFERROR(__xludf.DUMMYFUNCTION("""COMPUTED_VALUE"""),"Claire")</f>
        <v>Claire</v>
      </c>
      <c r="C68" s="24">
        <f>IFERROR(__xludf.DUMMYFUNCTION("""COMPUTED_VALUE"""),-1055.0)</f>
        <v>-1055</v>
      </c>
      <c r="D68" s="24" t="str">
        <f>IFERROR(__xludf.DUMMYFUNCTION("""COMPUTED_VALUE"""),"E3")</f>
        <v>E3</v>
      </c>
      <c r="F68" s="23">
        <f>IFERROR(__xludf.DUMMYFUNCTION("""COMPUTED_VALUE"""),44728.76952674769)</f>
        <v>44728.76953</v>
      </c>
      <c r="G68" s="24" t="str">
        <f>IFERROR(__xludf.DUMMYFUNCTION("""COMPUTED_VALUE"""),"Claire")</f>
        <v>Claire</v>
      </c>
      <c r="H68" s="24">
        <f>IFERROR(__xludf.DUMMYFUNCTION("""COMPUTED_VALUE"""),151.0)</f>
        <v>151</v>
      </c>
      <c r="I68" s="24" t="str">
        <f>IFERROR(__xludf.DUMMYFUNCTION("""COMPUTED_VALUE"""),"T10")</f>
        <v>T10</v>
      </c>
    </row>
    <row r="69">
      <c r="A69" s="23">
        <f>IFERROR(__xludf.DUMMYFUNCTION("""COMPUTED_VALUE"""),44729.57760920139)</f>
        <v>44729.57761</v>
      </c>
      <c r="B69" s="24" t="str">
        <f>IFERROR(__xludf.DUMMYFUNCTION("""COMPUTED_VALUE"""),"Claire")</f>
        <v>Claire</v>
      </c>
      <c r="C69" s="24">
        <f>IFERROR(__xludf.DUMMYFUNCTION("""COMPUTED_VALUE"""),-375.0)</f>
        <v>-375</v>
      </c>
      <c r="D69" s="24" t="str">
        <f>IFERROR(__xludf.DUMMYFUNCTION("""COMPUTED_VALUE"""),"D3")</f>
        <v>D3</v>
      </c>
      <c r="F69" s="23">
        <f>IFERROR(__xludf.DUMMYFUNCTION("""COMPUTED_VALUE"""),44728.863759722226)</f>
        <v>44728.86376</v>
      </c>
      <c r="G69" s="24" t="str">
        <f>IFERROR(__xludf.DUMMYFUNCTION("""COMPUTED_VALUE"""),"Sheneil")</f>
        <v>Sheneil</v>
      </c>
      <c r="H69" s="24">
        <f>IFERROR(__xludf.DUMMYFUNCTION("""COMPUTED_VALUE"""),1295.0)</f>
        <v>1295</v>
      </c>
      <c r="I69" s="24" t="str">
        <f>IFERROR(__xludf.DUMMYFUNCTION("""COMPUTED_VALUE"""),"Amazon")</f>
        <v>Amazon</v>
      </c>
    </row>
    <row r="70">
      <c r="A70" s="23">
        <f>IFERROR(__xludf.DUMMYFUNCTION("""COMPUTED_VALUE"""),44729.57855966435)</f>
        <v>44729.57856</v>
      </c>
      <c r="B70" s="24" t="str">
        <f>IFERROR(__xludf.DUMMYFUNCTION("""COMPUTED_VALUE"""),"Claire")</f>
        <v>Claire</v>
      </c>
      <c r="C70" s="24">
        <f>IFERROR(__xludf.DUMMYFUNCTION("""COMPUTED_VALUE"""),-193.0)</f>
        <v>-193</v>
      </c>
      <c r="D70" s="24" t="str">
        <f>IFERROR(__xludf.DUMMYFUNCTION("""COMPUTED_VALUE"""),"E6")</f>
        <v>E6</v>
      </c>
      <c r="F70" s="23">
        <f>IFERROR(__xludf.DUMMYFUNCTION("""COMPUTED_VALUE"""),44728.864060416665)</f>
        <v>44728.86406</v>
      </c>
      <c r="G70" s="24" t="str">
        <f>IFERROR(__xludf.DUMMYFUNCTION("""COMPUTED_VALUE"""),"Sheneil")</f>
        <v>Sheneil</v>
      </c>
      <c r="H70" s="24">
        <f>IFERROR(__xludf.DUMMYFUNCTION("""COMPUTED_VALUE"""),613.0)</f>
        <v>613</v>
      </c>
      <c r="I70" s="24" t="str">
        <f>IFERROR(__xludf.DUMMYFUNCTION("""COMPUTED_VALUE"""),"Amazon")</f>
        <v>Amazon</v>
      </c>
    </row>
    <row r="71">
      <c r="A71" s="23">
        <f>IFERROR(__xludf.DUMMYFUNCTION("""COMPUTED_VALUE"""),44729.5789431713)</f>
        <v>44729.57894</v>
      </c>
      <c r="B71" s="24" t="str">
        <f>IFERROR(__xludf.DUMMYFUNCTION("""COMPUTED_VALUE"""),"Claire")</f>
        <v>Claire</v>
      </c>
      <c r="C71" s="24">
        <f>IFERROR(__xludf.DUMMYFUNCTION("""COMPUTED_VALUE"""),527.0)</f>
        <v>527</v>
      </c>
      <c r="D71" s="24" t="str">
        <f>IFERROR(__xludf.DUMMYFUNCTION("""COMPUTED_VALUE"""),"E6")</f>
        <v>E6</v>
      </c>
      <c r="F71" s="23">
        <f>IFERROR(__xludf.DUMMYFUNCTION("""COMPUTED_VALUE"""),44728.86472048611)</f>
        <v>44728.86472</v>
      </c>
      <c r="G71" s="24" t="str">
        <f>IFERROR(__xludf.DUMMYFUNCTION("""COMPUTED_VALUE"""),"Sheneil")</f>
        <v>Sheneil</v>
      </c>
      <c r="H71" s="24">
        <f>IFERROR(__xludf.DUMMYFUNCTION("""COMPUTED_VALUE"""),655.0)</f>
        <v>655</v>
      </c>
      <c r="I71" s="24" t="str">
        <f>IFERROR(__xludf.DUMMYFUNCTION("""COMPUTED_VALUE"""),"Drinks")</f>
        <v>Drinks</v>
      </c>
    </row>
    <row r="72">
      <c r="A72" s="23">
        <f>IFERROR(__xludf.DUMMYFUNCTION("""COMPUTED_VALUE"""),44729.579290208334)</f>
        <v>44729.57929</v>
      </c>
      <c r="B72" s="24" t="str">
        <f>IFERROR(__xludf.DUMMYFUNCTION("""COMPUTED_VALUE"""),"Claire")</f>
        <v>Claire</v>
      </c>
      <c r="C72" s="24">
        <f>IFERROR(__xludf.DUMMYFUNCTION("""COMPUTED_VALUE"""),247.0)</f>
        <v>247</v>
      </c>
      <c r="D72" s="24" t="str">
        <f>IFERROR(__xludf.DUMMYFUNCTION("""COMPUTED_VALUE"""),"O2")</f>
        <v>O2</v>
      </c>
      <c r="F72" s="23">
        <f>IFERROR(__xludf.DUMMYFUNCTION("""COMPUTED_VALUE"""),44728.87088004629)</f>
        <v>44728.87088</v>
      </c>
      <c r="G72" s="24" t="str">
        <f>IFERROR(__xludf.DUMMYFUNCTION("""COMPUTED_VALUE"""),"Kay Fenton")</f>
        <v>Kay Fenton</v>
      </c>
      <c r="H72" s="24">
        <f>IFERROR(__xludf.DUMMYFUNCTION("""COMPUTED_VALUE"""),7.0)</f>
        <v>7</v>
      </c>
      <c r="I72" s="24"/>
    </row>
    <row r="73">
      <c r="A73" s="23">
        <f>IFERROR(__xludf.DUMMYFUNCTION("""COMPUTED_VALUE"""),44729.579843402775)</f>
        <v>44729.57984</v>
      </c>
      <c r="B73" s="24" t="str">
        <f>IFERROR(__xludf.DUMMYFUNCTION("""COMPUTED_VALUE"""),"Claire")</f>
        <v>Claire</v>
      </c>
      <c r="C73" s="24">
        <f>IFERROR(__xludf.DUMMYFUNCTION("""COMPUTED_VALUE"""),-476.0)</f>
        <v>-476</v>
      </c>
      <c r="D73" s="24" t="str">
        <f>IFERROR(__xludf.DUMMYFUNCTION("""COMPUTED_VALUE"""),"D6")</f>
        <v>D6</v>
      </c>
      <c r="F73" s="23">
        <f>IFERROR(__xludf.DUMMYFUNCTION("""COMPUTED_VALUE"""),44728.87236353009)</f>
        <v>44728.87236</v>
      </c>
      <c r="G73" s="24" t="str">
        <f>IFERROR(__xludf.DUMMYFUNCTION("""COMPUTED_VALUE"""),"Aziza Frank")</f>
        <v>Aziza Frank</v>
      </c>
      <c r="H73" s="24">
        <f>IFERROR(__xludf.DUMMYFUNCTION("""COMPUTED_VALUE"""),18.0)</f>
        <v>18</v>
      </c>
      <c r="I73" s="24"/>
    </row>
    <row r="74">
      <c r="A74" s="23">
        <f>IFERROR(__xludf.DUMMYFUNCTION("""COMPUTED_VALUE"""),44729.580197407406)</f>
        <v>44729.5802</v>
      </c>
      <c r="B74" s="24" t="str">
        <f>IFERROR(__xludf.DUMMYFUNCTION("""COMPUTED_VALUE"""),"Claire")</f>
        <v>Claire</v>
      </c>
      <c r="C74" s="24">
        <f>IFERROR(__xludf.DUMMYFUNCTION("""COMPUTED_VALUE"""),405.0)</f>
        <v>405</v>
      </c>
      <c r="D74" s="24" t="str">
        <f>IFERROR(__xludf.DUMMYFUNCTION("""COMPUTED_VALUE"""),"F6")</f>
        <v>F6</v>
      </c>
      <c r="F74" s="23">
        <f>IFERROR(__xludf.DUMMYFUNCTION("""COMPUTED_VALUE"""),44728.87663481481)</f>
        <v>44728.87663</v>
      </c>
      <c r="G74" s="24" t="str">
        <f>IFERROR(__xludf.DUMMYFUNCTION("""COMPUTED_VALUE"""),"Sheneil")</f>
        <v>Sheneil</v>
      </c>
      <c r="H74" s="24">
        <f>IFERROR(__xludf.DUMMYFUNCTION("""COMPUTED_VALUE"""),20.0)</f>
        <v>20</v>
      </c>
      <c r="I74" s="24"/>
    </row>
    <row r="75">
      <c r="A75" s="23">
        <f>IFERROR(__xludf.DUMMYFUNCTION("""COMPUTED_VALUE"""),44729.58048920139)</f>
        <v>44729.58049</v>
      </c>
      <c r="B75" s="24" t="str">
        <f>IFERROR(__xludf.DUMMYFUNCTION("""COMPUTED_VALUE"""),"Claire")</f>
        <v>Claire</v>
      </c>
      <c r="C75" s="24">
        <f>IFERROR(__xludf.DUMMYFUNCTION("""COMPUTED_VALUE"""),-813.0)</f>
        <v>-813</v>
      </c>
      <c r="D75" s="24" t="str">
        <f>IFERROR(__xludf.DUMMYFUNCTION("""COMPUTED_VALUE"""),"C3")</f>
        <v>C3</v>
      </c>
      <c r="F75" s="23">
        <f>IFERROR(__xludf.DUMMYFUNCTION("""COMPUTED_VALUE"""),44729.0)</f>
        <v>44729</v>
      </c>
      <c r="G75" s="24" t="str">
        <f>IFERROR(__xludf.DUMMYFUNCTION("""COMPUTED_VALUE"""),"Claire")</f>
        <v>Claire</v>
      </c>
      <c r="H75" s="24">
        <f>IFERROR(__xludf.DUMMYFUNCTION("""COMPUTED_VALUE"""),475.0)</f>
        <v>475</v>
      </c>
      <c r="I75" s="24" t="str">
        <f>IFERROR(__xludf.DUMMYFUNCTION("""COMPUTED_VALUE"""),"A2")</f>
        <v>A2</v>
      </c>
    </row>
    <row r="76">
      <c r="A76" s="23">
        <f>IFERROR(__xludf.DUMMYFUNCTION("""COMPUTED_VALUE"""),44729.580710532406)</f>
        <v>44729.58071</v>
      </c>
      <c r="B76" s="24" t="str">
        <f>IFERROR(__xludf.DUMMYFUNCTION("""COMPUTED_VALUE"""),"Claire")</f>
        <v>Claire</v>
      </c>
      <c r="C76" s="24">
        <f>IFERROR(__xludf.DUMMYFUNCTION("""COMPUTED_VALUE"""),147.0)</f>
        <v>147</v>
      </c>
      <c r="D76" s="24" t="str">
        <f>IFERROR(__xludf.DUMMYFUNCTION("""COMPUTED_VALUE"""),"C3")</f>
        <v>C3</v>
      </c>
      <c r="F76" s="23">
        <f>IFERROR(__xludf.DUMMYFUNCTION("""COMPUTED_VALUE"""),44729.0)</f>
        <v>44729</v>
      </c>
      <c r="G76" s="24" t="str">
        <f>IFERROR(__xludf.DUMMYFUNCTION("""COMPUTED_VALUE"""),"Claire")</f>
        <v>Claire</v>
      </c>
      <c r="H76" s="24">
        <f>IFERROR(__xludf.DUMMYFUNCTION("""COMPUTED_VALUE"""),184.0)</f>
        <v>184</v>
      </c>
      <c r="I76" s="24" t="str">
        <f>IFERROR(__xludf.DUMMYFUNCTION("""COMPUTED_VALUE"""),"L2")</f>
        <v>L2</v>
      </c>
    </row>
    <row r="77">
      <c r="A77" s="23">
        <f>IFERROR(__xludf.DUMMYFUNCTION("""COMPUTED_VALUE"""),44729.58099996528)</f>
        <v>44729.581</v>
      </c>
      <c r="B77" s="24" t="str">
        <f>IFERROR(__xludf.DUMMYFUNCTION("""COMPUTED_VALUE"""),"Claire")</f>
        <v>Claire</v>
      </c>
      <c r="C77" s="24">
        <f>IFERROR(__xludf.DUMMYFUNCTION("""COMPUTED_VALUE"""),266.0)</f>
        <v>266</v>
      </c>
      <c r="D77" s="24" t="str">
        <f>IFERROR(__xludf.DUMMYFUNCTION("""COMPUTED_VALUE"""),"L2")</f>
        <v>L2</v>
      </c>
      <c r="F77" s="23">
        <f>IFERROR(__xludf.DUMMYFUNCTION("""COMPUTED_VALUE"""),44729.0)</f>
        <v>44729</v>
      </c>
      <c r="G77" s="24" t="str">
        <f>IFERROR(__xludf.DUMMYFUNCTION("""COMPUTED_VALUE"""),"Claire")</f>
        <v>Claire</v>
      </c>
      <c r="H77" s="24">
        <f>IFERROR(__xludf.DUMMYFUNCTION("""COMPUTED_VALUE"""),40.0)</f>
        <v>40</v>
      </c>
      <c r="I77" s="24" t="str">
        <f>IFERROR(__xludf.DUMMYFUNCTION("""COMPUTED_VALUE"""),"I4")</f>
        <v>I4</v>
      </c>
    </row>
    <row r="78">
      <c r="A78" s="23">
        <f>IFERROR(__xludf.DUMMYFUNCTION("""COMPUTED_VALUE"""),44729.58136006945)</f>
        <v>44729.58136</v>
      </c>
      <c r="B78" s="24" t="str">
        <f>IFERROR(__xludf.DUMMYFUNCTION("""COMPUTED_VALUE"""),"Claire")</f>
        <v>Claire</v>
      </c>
      <c r="C78" s="24">
        <f>IFERROR(__xludf.DUMMYFUNCTION("""COMPUTED_VALUE"""),50.0)</f>
        <v>50</v>
      </c>
      <c r="D78" s="24" t="str">
        <f>IFERROR(__xludf.DUMMYFUNCTION("""COMPUTED_VALUE"""),"I3")</f>
        <v>I3</v>
      </c>
      <c r="F78" s="23">
        <f>IFERROR(__xludf.DUMMYFUNCTION("""COMPUTED_VALUE"""),44729.0)</f>
        <v>44729</v>
      </c>
      <c r="G78" s="24" t="str">
        <f>IFERROR(__xludf.DUMMYFUNCTION("""COMPUTED_VALUE"""),"Claire")</f>
        <v>Claire</v>
      </c>
      <c r="H78" s="24">
        <f>IFERROR(__xludf.DUMMYFUNCTION("""COMPUTED_VALUE"""),-339.0)</f>
        <v>-339</v>
      </c>
      <c r="I78" s="24" t="str">
        <f>IFERROR(__xludf.DUMMYFUNCTION("""COMPUTED_VALUE"""),"H2")</f>
        <v>H2</v>
      </c>
    </row>
    <row r="79">
      <c r="A79" s="23">
        <f>IFERROR(__xludf.DUMMYFUNCTION("""COMPUTED_VALUE"""),44729.581672175926)</f>
        <v>44729.58167</v>
      </c>
      <c r="B79" s="24" t="str">
        <f>IFERROR(__xludf.DUMMYFUNCTION("""COMPUTED_VALUE"""),"Claire")</f>
        <v>Claire</v>
      </c>
      <c r="C79" s="24">
        <f>IFERROR(__xludf.DUMMYFUNCTION("""COMPUTED_VALUE"""),901.0)</f>
        <v>901</v>
      </c>
      <c r="D79" s="24" t="str">
        <f>IFERROR(__xludf.DUMMYFUNCTION("""COMPUTED_VALUE"""),"E3")</f>
        <v>E3</v>
      </c>
      <c r="F79" s="23">
        <f>IFERROR(__xludf.DUMMYFUNCTION("""COMPUTED_VALUE"""),44729.0)</f>
        <v>44729</v>
      </c>
      <c r="G79" s="24" t="str">
        <f>IFERROR(__xludf.DUMMYFUNCTION("""COMPUTED_VALUE"""),"Claire")</f>
        <v>Claire</v>
      </c>
      <c r="H79" s="24">
        <f>IFERROR(__xludf.DUMMYFUNCTION("""COMPUTED_VALUE"""),320.0)</f>
        <v>320</v>
      </c>
      <c r="I79" s="24" t="str">
        <f>IFERROR(__xludf.DUMMYFUNCTION("""COMPUTED_VALUE"""),"N3")</f>
        <v>N3</v>
      </c>
    </row>
    <row r="80">
      <c r="A80" s="23">
        <f>IFERROR(__xludf.DUMMYFUNCTION("""COMPUTED_VALUE"""),44729.58196229167)</f>
        <v>44729.58196</v>
      </c>
      <c r="B80" s="24" t="str">
        <f>IFERROR(__xludf.DUMMYFUNCTION("""COMPUTED_VALUE"""),"Claire")</f>
        <v>Claire</v>
      </c>
      <c r="C80" s="24">
        <f>IFERROR(__xludf.DUMMYFUNCTION("""COMPUTED_VALUE"""),273.0)</f>
        <v>273</v>
      </c>
      <c r="D80" s="24" t="str">
        <f>IFERROR(__xludf.DUMMYFUNCTION("""COMPUTED_VALUE"""),"D6")</f>
        <v>D6</v>
      </c>
      <c r="F80" s="23">
        <f>IFERROR(__xludf.DUMMYFUNCTION("""COMPUTED_VALUE"""),44729.0)</f>
        <v>44729</v>
      </c>
      <c r="G80" s="24" t="str">
        <f>IFERROR(__xludf.DUMMYFUNCTION("""COMPUTED_VALUE"""),"Claire")</f>
        <v>Claire</v>
      </c>
      <c r="H80" s="24">
        <f>IFERROR(__xludf.DUMMYFUNCTION("""COMPUTED_VALUE"""),-52.0)</f>
        <v>-52</v>
      </c>
      <c r="I80" s="24" t="str">
        <f>IFERROR(__xludf.DUMMYFUNCTION("""COMPUTED_VALUE"""),"O6")</f>
        <v>O6</v>
      </c>
    </row>
    <row r="81">
      <c r="A81" s="23">
        <f>IFERROR(__xludf.DUMMYFUNCTION("""COMPUTED_VALUE"""),44729.58240817129)</f>
        <v>44729.58241</v>
      </c>
      <c r="B81" s="24" t="str">
        <f>IFERROR(__xludf.DUMMYFUNCTION("""COMPUTED_VALUE"""),"Claire")</f>
        <v>Claire</v>
      </c>
      <c r="C81" s="24">
        <f>IFERROR(__xludf.DUMMYFUNCTION("""COMPUTED_VALUE"""),1043.0)</f>
        <v>1043</v>
      </c>
      <c r="D81" s="24" t="str">
        <f>IFERROR(__xludf.DUMMYFUNCTION("""COMPUTED_VALUE"""),"D3")</f>
        <v>D3</v>
      </c>
      <c r="F81" s="23">
        <f>IFERROR(__xludf.DUMMYFUNCTION("""COMPUTED_VALUE"""),44729.0)</f>
        <v>44729</v>
      </c>
      <c r="G81" s="24" t="str">
        <f>IFERROR(__xludf.DUMMYFUNCTION("""COMPUTED_VALUE"""),"Claire")</f>
        <v>Claire</v>
      </c>
      <c r="H81" s="24">
        <f>IFERROR(__xludf.DUMMYFUNCTION("""COMPUTED_VALUE"""),87.0)</f>
        <v>87</v>
      </c>
      <c r="I81" s="24" t="str">
        <f>IFERROR(__xludf.DUMMYFUNCTION("""COMPUTED_VALUE"""),"O4")</f>
        <v>O4</v>
      </c>
    </row>
    <row r="82">
      <c r="A82" s="23">
        <f>IFERROR(__xludf.DUMMYFUNCTION("""COMPUTED_VALUE"""),44729.58264688657)</f>
        <v>44729.58265</v>
      </c>
      <c r="B82" s="24" t="str">
        <f>IFERROR(__xludf.DUMMYFUNCTION("""COMPUTED_VALUE"""),"Claire")</f>
        <v>Claire</v>
      </c>
      <c r="C82" s="24">
        <f>IFERROR(__xludf.DUMMYFUNCTION("""COMPUTED_VALUE"""),5.0)</f>
        <v>5</v>
      </c>
      <c r="D82" s="24" t="str">
        <f>IFERROR(__xludf.DUMMYFUNCTION("""COMPUTED_VALUE"""),"G5")</f>
        <v>G5</v>
      </c>
      <c r="F82" s="23">
        <f>IFERROR(__xludf.DUMMYFUNCTION("""COMPUTED_VALUE"""),44729.0)</f>
        <v>44729</v>
      </c>
      <c r="G82" s="24" t="str">
        <f>IFERROR(__xludf.DUMMYFUNCTION("""COMPUTED_VALUE"""),"Claire")</f>
        <v>Claire</v>
      </c>
      <c r="H82" s="24">
        <f>IFERROR(__xludf.DUMMYFUNCTION("""COMPUTED_VALUE"""),438.0)</f>
        <v>438</v>
      </c>
      <c r="I82" s="24" t="str">
        <f>IFERROR(__xludf.DUMMYFUNCTION("""COMPUTED_VALUE"""),"H2")</f>
        <v>H2</v>
      </c>
    </row>
    <row r="83">
      <c r="A83" s="23">
        <f>IFERROR(__xludf.DUMMYFUNCTION("""COMPUTED_VALUE"""),44729.0)</f>
        <v>44729</v>
      </c>
      <c r="B83" s="24" t="str">
        <f>IFERROR(__xludf.DUMMYFUNCTION("""COMPUTED_VALUE"""),"Claire")</f>
        <v>Claire</v>
      </c>
      <c r="C83" s="24">
        <f>IFERROR(__xludf.DUMMYFUNCTION("""COMPUTED_VALUE"""),475.0)</f>
        <v>475</v>
      </c>
      <c r="D83" s="24" t="str">
        <f>IFERROR(__xludf.DUMMYFUNCTION("""COMPUTED_VALUE"""),"A2")</f>
        <v>A2</v>
      </c>
      <c r="F83" s="23">
        <f>IFERROR(__xludf.DUMMYFUNCTION("""COMPUTED_VALUE"""),44729.0)</f>
        <v>44729</v>
      </c>
      <c r="G83" s="24" t="str">
        <f>IFERROR(__xludf.DUMMYFUNCTION("""COMPUTED_VALUE"""),"Claire")</f>
        <v>Claire</v>
      </c>
      <c r="H83" s="24">
        <f>IFERROR(__xludf.DUMMYFUNCTION("""COMPUTED_VALUE"""),507.0)</f>
        <v>507</v>
      </c>
      <c r="I83" s="24" t="str">
        <f>IFERROR(__xludf.DUMMYFUNCTION("""COMPUTED_VALUE"""),"I5")</f>
        <v>I5</v>
      </c>
    </row>
    <row r="84">
      <c r="A84" s="23">
        <f>IFERROR(__xludf.DUMMYFUNCTION("""COMPUTED_VALUE"""),44729.0)</f>
        <v>44729</v>
      </c>
      <c r="B84" s="24" t="str">
        <f>IFERROR(__xludf.DUMMYFUNCTION("""COMPUTED_VALUE"""),"Claire")</f>
        <v>Claire</v>
      </c>
      <c r="C84" s="24">
        <f>IFERROR(__xludf.DUMMYFUNCTION("""COMPUTED_VALUE"""),184.0)</f>
        <v>184</v>
      </c>
      <c r="D84" s="24" t="str">
        <f>IFERROR(__xludf.DUMMYFUNCTION("""COMPUTED_VALUE"""),"L2")</f>
        <v>L2</v>
      </c>
      <c r="F84" s="23">
        <f>IFERROR(__xludf.DUMMYFUNCTION("""COMPUTED_VALUE"""),44729.0)</f>
        <v>44729</v>
      </c>
      <c r="G84" s="24" t="str">
        <f>IFERROR(__xludf.DUMMYFUNCTION("""COMPUTED_VALUE"""),"Claire")</f>
        <v>Claire</v>
      </c>
      <c r="H84" s="24">
        <f>IFERROR(__xludf.DUMMYFUNCTION("""COMPUTED_VALUE"""),178.0)</f>
        <v>178</v>
      </c>
      <c r="I84" s="24" t="str">
        <f>IFERROR(__xludf.DUMMYFUNCTION("""COMPUTED_VALUE"""),"F5")</f>
        <v>F5</v>
      </c>
    </row>
    <row r="85">
      <c r="A85" s="23">
        <f>IFERROR(__xludf.DUMMYFUNCTION("""COMPUTED_VALUE"""),44729.0)</f>
        <v>44729</v>
      </c>
      <c r="B85" s="24" t="str">
        <f>IFERROR(__xludf.DUMMYFUNCTION("""COMPUTED_VALUE"""),"Claire")</f>
        <v>Claire</v>
      </c>
      <c r="C85" s="24">
        <f>IFERROR(__xludf.DUMMYFUNCTION("""COMPUTED_VALUE"""),40.0)</f>
        <v>40</v>
      </c>
      <c r="D85" s="24" t="str">
        <f>IFERROR(__xludf.DUMMYFUNCTION("""COMPUTED_VALUE"""),"I4")</f>
        <v>I4</v>
      </c>
      <c r="F85" s="23">
        <f>IFERROR(__xludf.DUMMYFUNCTION("""COMPUTED_VALUE"""),44729.0)</f>
        <v>44729</v>
      </c>
      <c r="G85" s="24" t="str">
        <f>IFERROR(__xludf.DUMMYFUNCTION("""COMPUTED_VALUE"""),"Claire")</f>
        <v>Claire</v>
      </c>
      <c r="H85" s="24">
        <f>IFERROR(__xludf.DUMMYFUNCTION("""COMPUTED_VALUE"""),492.0)</f>
        <v>492</v>
      </c>
      <c r="I85" s="24" t="str">
        <f>IFERROR(__xludf.DUMMYFUNCTION("""COMPUTED_VALUE"""),"I6")</f>
        <v>I6</v>
      </c>
    </row>
    <row r="86">
      <c r="A86" s="23">
        <f>IFERROR(__xludf.DUMMYFUNCTION("""COMPUTED_VALUE"""),44729.0)</f>
        <v>44729</v>
      </c>
      <c r="B86" s="24" t="str">
        <f>IFERROR(__xludf.DUMMYFUNCTION("""COMPUTED_VALUE"""),"Claire")</f>
        <v>Claire</v>
      </c>
      <c r="C86" s="24">
        <f>IFERROR(__xludf.DUMMYFUNCTION("""COMPUTED_VALUE"""),-339.0)</f>
        <v>-339</v>
      </c>
      <c r="D86" s="24" t="str">
        <f>IFERROR(__xludf.DUMMYFUNCTION("""COMPUTED_VALUE"""),"H2")</f>
        <v>H2</v>
      </c>
      <c r="F86" s="23">
        <f>IFERROR(__xludf.DUMMYFUNCTION("""COMPUTED_VALUE"""),44729.0)</f>
        <v>44729</v>
      </c>
      <c r="G86" s="24" t="str">
        <f>IFERROR(__xludf.DUMMYFUNCTION("""COMPUTED_VALUE"""),"Claire")</f>
        <v>Claire</v>
      </c>
      <c r="H86" s="24">
        <f>IFERROR(__xludf.DUMMYFUNCTION("""COMPUTED_VALUE"""),-430.0)</f>
        <v>-430</v>
      </c>
      <c r="I86" s="24" t="str">
        <f>IFERROR(__xludf.DUMMYFUNCTION("""COMPUTED_VALUE"""),"N6")</f>
        <v>N6</v>
      </c>
    </row>
    <row r="87">
      <c r="A87" s="23">
        <f>IFERROR(__xludf.DUMMYFUNCTION("""COMPUTED_VALUE"""),44729.0)</f>
        <v>44729</v>
      </c>
      <c r="B87" s="24" t="str">
        <f>IFERROR(__xludf.DUMMYFUNCTION("""COMPUTED_VALUE"""),"Claire")</f>
        <v>Claire</v>
      </c>
      <c r="C87" s="24">
        <f>IFERROR(__xludf.DUMMYFUNCTION("""COMPUTED_VALUE"""),320.0)</f>
        <v>320</v>
      </c>
      <c r="D87" s="24" t="str">
        <f>IFERROR(__xludf.DUMMYFUNCTION("""COMPUTED_VALUE"""),"N3")</f>
        <v>N3</v>
      </c>
      <c r="F87" s="23">
        <f>IFERROR(__xludf.DUMMYFUNCTION("""COMPUTED_VALUE"""),44729.0)</f>
        <v>44729</v>
      </c>
      <c r="G87" s="24" t="str">
        <f>IFERROR(__xludf.DUMMYFUNCTION("""COMPUTED_VALUE"""),"Claire")</f>
        <v>Claire</v>
      </c>
      <c r="H87" s="24">
        <f>IFERROR(__xludf.DUMMYFUNCTION("""COMPUTED_VALUE"""),24.0)</f>
        <v>24</v>
      </c>
      <c r="I87" s="24" t="str">
        <f>IFERROR(__xludf.DUMMYFUNCTION("""COMPUTED_VALUE"""),"H2")</f>
        <v>H2</v>
      </c>
    </row>
    <row r="88">
      <c r="A88" s="23">
        <f>IFERROR(__xludf.DUMMYFUNCTION("""COMPUTED_VALUE"""),44729.0)</f>
        <v>44729</v>
      </c>
      <c r="B88" s="24" t="str">
        <f>IFERROR(__xludf.DUMMYFUNCTION("""COMPUTED_VALUE"""),"Claire")</f>
        <v>Claire</v>
      </c>
      <c r="C88" s="24">
        <f>IFERROR(__xludf.DUMMYFUNCTION("""COMPUTED_VALUE"""),-52.0)</f>
        <v>-52</v>
      </c>
      <c r="D88" s="24" t="str">
        <f>IFERROR(__xludf.DUMMYFUNCTION("""COMPUTED_VALUE"""),"O6")</f>
        <v>O6</v>
      </c>
      <c r="F88" s="23">
        <f>IFERROR(__xludf.DUMMYFUNCTION("""COMPUTED_VALUE"""),44729.0)</f>
        <v>44729</v>
      </c>
      <c r="G88" s="24" t="str">
        <f>IFERROR(__xludf.DUMMYFUNCTION("""COMPUTED_VALUE"""),"Claire")</f>
        <v>Claire</v>
      </c>
      <c r="H88" s="24">
        <f>IFERROR(__xludf.DUMMYFUNCTION("""COMPUTED_VALUE"""),936.0)</f>
        <v>936</v>
      </c>
      <c r="I88" s="24" t="str">
        <f>IFERROR(__xludf.DUMMYFUNCTION("""COMPUTED_VALUE"""),"H3")</f>
        <v>H3</v>
      </c>
    </row>
    <row r="89">
      <c r="A89" s="23">
        <f>IFERROR(__xludf.DUMMYFUNCTION("""COMPUTED_VALUE"""),44729.0)</f>
        <v>44729</v>
      </c>
      <c r="B89" s="24" t="str">
        <f>IFERROR(__xludf.DUMMYFUNCTION("""COMPUTED_VALUE"""),"Claire")</f>
        <v>Claire</v>
      </c>
      <c r="C89" s="24">
        <f>IFERROR(__xludf.DUMMYFUNCTION("""COMPUTED_VALUE"""),87.0)</f>
        <v>87</v>
      </c>
      <c r="D89" s="24" t="str">
        <f>IFERROR(__xludf.DUMMYFUNCTION("""COMPUTED_VALUE"""),"O4")</f>
        <v>O4</v>
      </c>
      <c r="F89" s="23">
        <f>IFERROR(__xludf.DUMMYFUNCTION("""COMPUTED_VALUE"""),44729.0)</f>
        <v>44729</v>
      </c>
      <c r="G89" s="24" t="str">
        <f>IFERROR(__xludf.DUMMYFUNCTION("""COMPUTED_VALUE"""),"Claire")</f>
        <v>Claire</v>
      </c>
      <c r="H89" s="24">
        <f>IFERROR(__xludf.DUMMYFUNCTION("""COMPUTED_VALUE"""),738.0)</f>
        <v>738</v>
      </c>
      <c r="I89" s="24" t="str">
        <f>IFERROR(__xludf.DUMMYFUNCTION("""COMPUTED_VALUE"""),"H6")</f>
        <v>H6</v>
      </c>
    </row>
    <row r="90">
      <c r="A90" s="23">
        <f>IFERROR(__xludf.DUMMYFUNCTION("""COMPUTED_VALUE"""),44729.0)</f>
        <v>44729</v>
      </c>
      <c r="B90" s="24" t="str">
        <f>IFERROR(__xludf.DUMMYFUNCTION("""COMPUTED_VALUE"""),"Claire")</f>
        <v>Claire</v>
      </c>
      <c r="C90" s="24">
        <f>IFERROR(__xludf.DUMMYFUNCTION("""COMPUTED_VALUE"""),438.0)</f>
        <v>438</v>
      </c>
      <c r="D90" s="24" t="str">
        <f>IFERROR(__xludf.DUMMYFUNCTION("""COMPUTED_VALUE"""),"H2")</f>
        <v>H2</v>
      </c>
      <c r="F90" s="23">
        <f>IFERROR(__xludf.DUMMYFUNCTION("""COMPUTED_VALUE"""),44729.0)</f>
        <v>44729</v>
      </c>
      <c r="G90" s="24" t="str">
        <f>IFERROR(__xludf.DUMMYFUNCTION("""COMPUTED_VALUE"""),"Claire")</f>
        <v>Claire</v>
      </c>
      <c r="H90" s="24">
        <f>IFERROR(__xludf.DUMMYFUNCTION("""COMPUTED_VALUE"""),-405.0)</f>
        <v>-405</v>
      </c>
      <c r="I90" s="24" t="str">
        <f>IFERROR(__xludf.DUMMYFUNCTION("""COMPUTED_VALUE"""),"F6")</f>
        <v>F6</v>
      </c>
    </row>
    <row r="91">
      <c r="A91" s="23">
        <f>IFERROR(__xludf.DUMMYFUNCTION("""COMPUTED_VALUE"""),44729.0)</f>
        <v>44729</v>
      </c>
      <c r="B91" s="24" t="str">
        <f>IFERROR(__xludf.DUMMYFUNCTION("""COMPUTED_VALUE"""),"Claire")</f>
        <v>Claire</v>
      </c>
      <c r="C91" s="24">
        <f>IFERROR(__xludf.DUMMYFUNCTION("""COMPUTED_VALUE"""),507.0)</f>
        <v>507</v>
      </c>
      <c r="D91" s="24" t="str">
        <f>IFERROR(__xludf.DUMMYFUNCTION("""COMPUTED_VALUE"""),"I5")</f>
        <v>I5</v>
      </c>
      <c r="F91" s="23">
        <f>IFERROR(__xludf.DUMMYFUNCTION("""COMPUTED_VALUE"""),44729.0)</f>
        <v>44729</v>
      </c>
      <c r="G91" s="24" t="str">
        <f>IFERROR(__xludf.DUMMYFUNCTION("""COMPUTED_VALUE"""),"Claire")</f>
        <v>Claire</v>
      </c>
      <c r="H91" s="24">
        <f>IFERROR(__xludf.DUMMYFUNCTION("""COMPUTED_VALUE"""),176.0)</f>
        <v>176</v>
      </c>
      <c r="I91" s="24" t="str">
        <f>IFERROR(__xludf.DUMMYFUNCTION("""COMPUTED_VALUE"""),"F6")</f>
        <v>F6</v>
      </c>
    </row>
    <row r="92">
      <c r="A92" s="23">
        <f>IFERROR(__xludf.DUMMYFUNCTION("""COMPUTED_VALUE"""),44729.0)</f>
        <v>44729</v>
      </c>
      <c r="B92" s="24" t="str">
        <f>IFERROR(__xludf.DUMMYFUNCTION("""COMPUTED_VALUE"""),"Claire")</f>
        <v>Claire</v>
      </c>
      <c r="C92" s="24">
        <f>IFERROR(__xludf.DUMMYFUNCTION("""COMPUTED_VALUE"""),178.0)</f>
        <v>178</v>
      </c>
      <c r="D92" s="24" t="str">
        <f>IFERROR(__xludf.DUMMYFUNCTION("""COMPUTED_VALUE"""),"F5")</f>
        <v>F5</v>
      </c>
      <c r="F92" s="23">
        <f>IFERROR(__xludf.DUMMYFUNCTION("""COMPUTED_VALUE"""),44729.0)</f>
        <v>44729</v>
      </c>
      <c r="G92" s="24" t="str">
        <f>IFERROR(__xludf.DUMMYFUNCTION("""COMPUTED_VALUE"""),"Claire")</f>
        <v>Claire</v>
      </c>
      <c r="H92" s="24">
        <f>IFERROR(__xludf.DUMMYFUNCTION("""COMPUTED_VALUE"""),-285.0)</f>
        <v>-285</v>
      </c>
      <c r="I92" s="24" t="str">
        <f>IFERROR(__xludf.DUMMYFUNCTION("""COMPUTED_VALUE"""),"T8")</f>
        <v>T8</v>
      </c>
    </row>
    <row r="93">
      <c r="A93" s="23">
        <f>IFERROR(__xludf.DUMMYFUNCTION("""COMPUTED_VALUE"""),44729.0)</f>
        <v>44729</v>
      </c>
      <c r="B93" s="24" t="str">
        <f>IFERROR(__xludf.DUMMYFUNCTION("""COMPUTED_VALUE"""),"Claire")</f>
        <v>Claire</v>
      </c>
      <c r="C93" s="24">
        <f>IFERROR(__xludf.DUMMYFUNCTION("""COMPUTED_VALUE"""),492.0)</f>
        <v>492</v>
      </c>
      <c r="D93" s="24" t="str">
        <f>IFERROR(__xludf.DUMMYFUNCTION("""COMPUTED_VALUE"""),"I6")</f>
        <v>I6</v>
      </c>
      <c r="F93" s="23">
        <f>IFERROR(__xludf.DUMMYFUNCTION("""COMPUTED_VALUE"""),44729.0)</f>
        <v>44729</v>
      </c>
      <c r="G93" s="24" t="str">
        <f>IFERROR(__xludf.DUMMYFUNCTION("""COMPUTED_VALUE"""),"Claire")</f>
        <v>Claire</v>
      </c>
      <c r="H93" s="24">
        <f>IFERROR(__xludf.DUMMYFUNCTION("""COMPUTED_VALUE"""),-586.0)</f>
        <v>-586</v>
      </c>
      <c r="I93" s="24" t="str">
        <f>IFERROR(__xludf.DUMMYFUNCTION("""COMPUTED_VALUE"""),"T4")</f>
        <v>T4</v>
      </c>
    </row>
    <row r="94">
      <c r="A94" s="23">
        <f>IFERROR(__xludf.DUMMYFUNCTION("""COMPUTED_VALUE"""),44729.0)</f>
        <v>44729</v>
      </c>
      <c r="B94" s="24" t="str">
        <f>IFERROR(__xludf.DUMMYFUNCTION("""COMPUTED_VALUE"""),"Claire")</f>
        <v>Claire</v>
      </c>
      <c r="C94" s="24">
        <f>IFERROR(__xludf.DUMMYFUNCTION("""COMPUTED_VALUE"""),-430.0)</f>
        <v>-430</v>
      </c>
      <c r="D94" s="24" t="str">
        <f>IFERROR(__xludf.DUMMYFUNCTION("""COMPUTED_VALUE"""),"N6")</f>
        <v>N6</v>
      </c>
      <c r="F94" s="23">
        <f>IFERROR(__xludf.DUMMYFUNCTION("""COMPUTED_VALUE"""),44729.0)</f>
        <v>44729</v>
      </c>
      <c r="G94" s="24" t="str">
        <f>IFERROR(__xludf.DUMMYFUNCTION("""COMPUTED_VALUE"""),"Claire")</f>
        <v>Claire</v>
      </c>
      <c r="H94" s="24">
        <f>IFERROR(__xludf.DUMMYFUNCTION("""COMPUTED_VALUE"""),-240.0)</f>
        <v>-240</v>
      </c>
      <c r="I94" s="24" t="str">
        <f>IFERROR(__xludf.DUMMYFUNCTION("""COMPUTED_VALUE"""),"T1")</f>
        <v>T1</v>
      </c>
    </row>
    <row r="95">
      <c r="A95" s="23">
        <f>IFERROR(__xludf.DUMMYFUNCTION("""COMPUTED_VALUE"""),44729.0)</f>
        <v>44729</v>
      </c>
      <c r="B95" s="24" t="str">
        <f>IFERROR(__xludf.DUMMYFUNCTION("""COMPUTED_VALUE"""),"Claire")</f>
        <v>Claire</v>
      </c>
      <c r="C95" s="24">
        <f>IFERROR(__xludf.DUMMYFUNCTION("""COMPUTED_VALUE"""),24.0)</f>
        <v>24</v>
      </c>
      <c r="D95" s="24" t="str">
        <f>IFERROR(__xludf.DUMMYFUNCTION("""COMPUTED_VALUE"""),"H2")</f>
        <v>H2</v>
      </c>
      <c r="F95" s="23">
        <f>IFERROR(__xludf.DUMMYFUNCTION("""COMPUTED_VALUE"""),44729.0)</f>
        <v>44729</v>
      </c>
      <c r="G95" s="24" t="str">
        <f>IFERROR(__xludf.DUMMYFUNCTION("""COMPUTED_VALUE"""),"Claire")</f>
        <v>Claire</v>
      </c>
      <c r="H95" s="24">
        <f>IFERROR(__xludf.DUMMYFUNCTION("""COMPUTED_VALUE"""),-476.0)</f>
        <v>-476</v>
      </c>
      <c r="I95" s="24" t="str">
        <f>IFERROR(__xludf.DUMMYFUNCTION("""COMPUTED_VALUE"""),"D6")</f>
        <v>D6</v>
      </c>
    </row>
    <row r="96">
      <c r="A96" s="23">
        <f>IFERROR(__xludf.DUMMYFUNCTION("""COMPUTED_VALUE"""),44729.0)</f>
        <v>44729</v>
      </c>
      <c r="B96" s="24" t="str">
        <f>IFERROR(__xludf.DUMMYFUNCTION("""COMPUTED_VALUE"""),"Claire")</f>
        <v>Claire</v>
      </c>
      <c r="C96" s="24">
        <f>IFERROR(__xludf.DUMMYFUNCTION("""COMPUTED_VALUE"""),936.0)</f>
        <v>936</v>
      </c>
      <c r="D96" s="24" t="str">
        <f>IFERROR(__xludf.DUMMYFUNCTION("""COMPUTED_VALUE"""),"H3")</f>
        <v>H3</v>
      </c>
      <c r="F96" s="23">
        <f>IFERROR(__xludf.DUMMYFUNCTION("""COMPUTED_VALUE"""),44729.0)</f>
        <v>44729</v>
      </c>
      <c r="G96" s="24" t="str">
        <f>IFERROR(__xludf.DUMMYFUNCTION("""COMPUTED_VALUE"""),"Claire")</f>
        <v>Claire</v>
      </c>
      <c r="H96" s="24">
        <f>IFERROR(__xludf.DUMMYFUNCTION("""COMPUTED_VALUE"""),-66.0)</f>
        <v>-66</v>
      </c>
      <c r="I96" s="24" t="str">
        <f>IFERROR(__xludf.DUMMYFUNCTION("""COMPUTED_VALUE"""),"D3")</f>
        <v>D3</v>
      </c>
    </row>
    <row r="97">
      <c r="A97" s="23">
        <f>IFERROR(__xludf.DUMMYFUNCTION("""COMPUTED_VALUE"""),44729.0)</f>
        <v>44729</v>
      </c>
      <c r="B97" s="24" t="str">
        <f>IFERROR(__xludf.DUMMYFUNCTION("""COMPUTED_VALUE"""),"Claire")</f>
        <v>Claire</v>
      </c>
      <c r="C97" s="24">
        <f>IFERROR(__xludf.DUMMYFUNCTION("""COMPUTED_VALUE"""),738.0)</f>
        <v>738</v>
      </c>
      <c r="D97" s="24" t="str">
        <f>IFERROR(__xludf.DUMMYFUNCTION("""COMPUTED_VALUE"""),"H6")</f>
        <v>H6</v>
      </c>
      <c r="F97" s="23">
        <f>IFERROR(__xludf.DUMMYFUNCTION("""COMPUTED_VALUE"""),44729.0)</f>
        <v>44729</v>
      </c>
      <c r="G97" s="24" t="str">
        <f>IFERROR(__xludf.DUMMYFUNCTION("""COMPUTED_VALUE"""),"Claire")</f>
        <v>Claire</v>
      </c>
      <c r="H97" s="24">
        <f>IFERROR(__xludf.DUMMYFUNCTION("""COMPUTED_VALUE"""),317.0)</f>
        <v>317</v>
      </c>
      <c r="I97" s="24" t="str">
        <f>IFERROR(__xludf.DUMMYFUNCTION("""COMPUTED_VALUE"""),"I3")</f>
        <v>I3</v>
      </c>
    </row>
    <row r="98">
      <c r="A98" s="23">
        <f>IFERROR(__xludf.DUMMYFUNCTION("""COMPUTED_VALUE"""),44729.0)</f>
        <v>44729</v>
      </c>
      <c r="B98" s="24" t="str">
        <f>IFERROR(__xludf.DUMMYFUNCTION("""COMPUTED_VALUE"""),"Claire")</f>
        <v>Claire</v>
      </c>
      <c r="C98" s="24">
        <f>IFERROR(__xludf.DUMMYFUNCTION("""COMPUTED_VALUE"""),-405.0)</f>
        <v>-405</v>
      </c>
      <c r="D98" s="24" t="str">
        <f>IFERROR(__xludf.DUMMYFUNCTION("""COMPUTED_VALUE"""),"F6")</f>
        <v>F6</v>
      </c>
      <c r="F98" s="23">
        <f>IFERROR(__xludf.DUMMYFUNCTION("""COMPUTED_VALUE"""),44729.0)</f>
        <v>44729</v>
      </c>
      <c r="G98" s="24" t="str">
        <f>IFERROR(__xludf.DUMMYFUNCTION("""COMPUTED_VALUE"""),"Claire")</f>
        <v>Claire</v>
      </c>
      <c r="H98" s="24">
        <f>IFERROR(__xludf.DUMMYFUNCTION("""COMPUTED_VALUE"""),-492.0)</f>
        <v>-492</v>
      </c>
      <c r="I98" s="24" t="str">
        <f>IFERROR(__xludf.DUMMYFUNCTION("""COMPUTED_VALUE"""),"I6")</f>
        <v>I6</v>
      </c>
    </row>
    <row r="99">
      <c r="A99" s="23">
        <f>IFERROR(__xludf.DUMMYFUNCTION("""COMPUTED_VALUE"""),44729.0)</f>
        <v>44729</v>
      </c>
      <c r="B99" s="24" t="str">
        <f>IFERROR(__xludf.DUMMYFUNCTION("""COMPUTED_VALUE"""),"Claire")</f>
        <v>Claire</v>
      </c>
      <c r="C99" s="24">
        <f>IFERROR(__xludf.DUMMYFUNCTION("""COMPUTED_VALUE"""),176.0)</f>
        <v>176</v>
      </c>
      <c r="D99" s="24" t="str">
        <f>IFERROR(__xludf.DUMMYFUNCTION("""COMPUTED_VALUE"""),"F6")</f>
        <v>F6</v>
      </c>
      <c r="F99" s="23">
        <f>IFERROR(__xludf.DUMMYFUNCTION("""COMPUTED_VALUE"""),44729.0)</f>
        <v>44729</v>
      </c>
      <c r="G99" s="24" t="str">
        <f>IFERROR(__xludf.DUMMYFUNCTION("""COMPUTED_VALUE"""),"Claire")</f>
        <v>Claire</v>
      </c>
      <c r="H99" s="24">
        <f>IFERROR(__xludf.DUMMYFUNCTION("""COMPUTED_VALUE"""),-97.0)</f>
        <v>-97</v>
      </c>
      <c r="I99" s="24" t="str">
        <f>IFERROR(__xludf.DUMMYFUNCTION("""COMPUTED_VALUE"""),"G2")</f>
        <v>G2</v>
      </c>
    </row>
    <row r="100">
      <c r="A100" s="23">
        <f>IFERROR(__xludf.DUMMYFUNCTION("""COMPUTED_VALUE"""),44729.0)</f>
        <v>44729</v>
      </c>
      <c r="B100" s="24" t="str">
        <f>IFERROR(__xludf.DUMMYFUNCTION("""COMPUTED_VALUE"""),"Claire")</f>
        <v>Claire</v>
      </c>
      <c r="C100" s="24">
        <f>IFERROR(__xludf.DUMMYFUNCTION("""COMPUTED_VALUE"""),-285.0)</f>
        <v>-285</v>
      </c>
      <c r="D100" s="24" t="str">
        <f>IFERROR(__xludf.DUMMYFUNCTION("""COMPUTED_VALUE"""),"T8")</f>
        <v>T8</v>
      </c>
      <c r="F100" s="23">
        <f>IFERROR(__xludf.DUMMYFUNCTION("""COMPUTED_VALUE"""),44729.0)</f>
        <v>44729</v>
      </c>
      <c r="G100" s="24" t="str">
        <f>IFERROR(__xludf.DUMMYFUNCTION("""COMPUTED_VALUE"""),"Claire")</f>
        <v>Claire</v>
      </c>
      <c r="H100" s="24">
        <f>IFERROR(__xludf.DUMMYFUNCTION("""COMPUTED_VALUE"""),-162.0)</f>
        <v>-162</v>
      </c>
      <c r="I100" s="24" t="str">
        <f>IFERROR(__xludf.DUMMYFUNCTION("""COMPUTED_VALUE"""),"H5")</f>
        <v>H5</v>
      </c>
    </row>
    <row r="101">
      <c r="A101" s="23">
        <f>IFERROR(__xludf.DUMMYFUNCTION("""COMPUTED_VALUE"""),44729.0)</f>
        <v>44729</v>
      </c>
      <c r="B101" s="24" t="str">
        <f>IFERROR(__xludf.DUMMYFUNCTION("""COMPUTED_VALUE"""),"Claire")</f>
        <v>Claire</v>
      </c>
      <c r="C101" s="24">
        <f>IFERROR(__xludf.DUMMYFUNCTION("""COMPUTED_VALUE"""),-586.0)</f>
        <v>-586</v>
      </c>
      <c r="D101" s="24" t="str">
        <f>IFERROR(__xludf.DUMMYFUNCTION("""COMPUTED_VALUE"""),"T4")</f>
        <v>T4</v>
      </c>
      <c r="F101" s="23">
        <f>IFERROR(__xludf.DUMMYFUNCTION("""COMPUTED_VALUE"""),44729.57509164352)</f>
        <v>44729.57509</v>
      </c>
      <c r="G101" s="24" t="str">
        <f>IFERROR(__xludf.DUMMYFUNCTION("""COMPUTED_VALUE"""),"Claire")</f>
        <v>Claire</v>
      </c>
      <c r="H101" s="24">
        <f>IFERROR(__xludf.DUMMYFUNCTION("""COMPUTED_VALUE"""),1085.0)</f>
        <v>1085</v>
      </c>
      <c r="I101" s="24" t="str">
        <f>IFERROR(__xludf.DUMMYFUNCTION("""COMPUTED_VALUE"""),"L5")</f>
        <v>L5</v>
      </c>
    </row>
    <row r="102">
      <c r="A102" s="23">
        <f>IFERROR(__xludf.DUMMYFUNCTION("""COMPUTED_VALUE"""),44729.0)</f>
        <v>44729</v>
      </c>
      <c r="B102" s="24" t="str">
        <f>IFERROR(__xludf.DUMMYFUNCTION("""COMPUTED_VALUE"""),"Claire")</f>
        <v>Claire</v>
      </c>
      <c r="C102" s="24">
        <f>IFERROR(__xludf.DUMMYFUNCTION("""COMPUTED_VALUE"""),-240.0)</f>
        <v>-240</v>
      </c>
      <c r="D102" s="24" t="str">
        <f>IFERROR(__xludf.DUMMYFUNCTION("""COMPUTED_VALUE"""),"T1")</f>
        <v>T1</v>
      </c>
      <c r="F102" s="23">
        <f>IFERROR(__xludf.DUMMYFUNCTION("""COMPUTED_VALUE"""),44729.57543182871)</f>
        <v>44729.57543</v>
      </c>
      <c r="G102" s="24" t="str">
        <f>IFERROR(__xludf.DUMMYFUNCTION("""COMPUTED_VALUE"""),"Claire")</f>
        <v>Claire</v>
      </c>
      <c r="H102" s="24">
        <f>IFERROR(__xludf.DUMMYFUNCTION("""COMPUTED_VALUE"""),230.0)</f>
        <v>230</v>
      </c>
      <c r="I102" s="24" t="str">
        <f>IFERROR(__xludf.DUMMYFUNCTION("""COMPUTED_VALUE"""),"O5")</f>
        <v>O5</v>
      </c>
    </row>
    <row r="103">
      <c r="A103" s="23">
        <f>IFERROR(__xludf.DUMMYFUNCTION("""COMPUTED_VALUE"""),44729.0)</f>
        <v>44729</v>
      </c>
      <c r="B103" s="24" t="str">
        <f>IFERROR(__xludf.DUMMYFUNCTION("""COMPUTED_VALUE"""),"Claire")</f>
        <v>Claire</v>
      </c>
      <c r="C103" s="24">
        <f>IFERROR(__xludf.DUMMYFUNCTION("""COMPUTED_VALUE"""),-476.0)</f>
        <v>-476</v>
      </c>
      <c r="D103" s="24" t="str">
        <f>IFERROR(__xludf.DUMMYFUNCTION("""COMPUTED_VALUE"""),"D6")</f>
        <v>D6</v>
      </c>
      <c r="F103" s="23">
        <f>IFERROR(__xludf.DUMMYFUNCTION("""COMPUTED_VALUE"""),44729.57565769676)</f>
        <v>44729.57566</v>
      </c>
      <c r="G103" s="24" t="str">
        <f>IFERROR(__xludf.DUMMYFUNCTION("""COMPUTED_VALUE"""),"Claire")</f>
        <v>Claire</v>
      </c>
      <c r="H103" s="24">
        <f>IFERROR(__xludf.DUMMYFUNCTION("""COMPUTED_VALUE"""),280.0)</f>
        <v>280</v>
      </c>
      <c r="I103" s="24" t="str">
        <f>IFERROR(__xludf.DUMMYFUNCTION("""COMPUTED_VALUE"""),"C1")</f>
        <v>C1</v>
      </c>
    </row>
    <row r="104">
      <c r="A104" s="23">
        <f>IFERROR(__xludf.DUMMYFUNCTION("""COMPUTED_VALUE"""),44729.0)</f>
        <v>44729</v>
      </c>
      <c r="B104" s="24" t="str">
        <f>IFERROR(__xludf.DUMMYFUNCTION("""COMPUTED_VALUE"""),"Claire")</f>
        <v>Claire</v>
      </c>
      <c r="C104" s="24">
        <f>IFERROR(__xludf.DUMMYFUNCTION("""COMPUTED_VALUE"""),-66.0)</f>
        <v>-66</v>
      </c>
      <c r="D104" s="24" t="str">
        <f>IFERROR(__xludf.DUMMYFUNCTION("""COMPUTED_VALUE"""),"D3")</f>
        <v>D3</v>
      </c>
      <c r="F104" s="23">
        <f>IFERROR(__xludf.DUMMYFUNCTION("""COMPUTED_VALUE"""),44729.57693686343)</f>
        <v>44729.57694</v>
      </c>
      <c r="G104" s="24" t="str">
        <f>IFERROR(__xludf.DUMMYFUNCTION("""COMPUTED_VALUE"""),"Claire")</f>
        <v>Claire</v>
      </c>
      <c r="H104" s="24">
        <f>IFERROR(__xludf.DUMMYFUNCTION("""COMPUTED_VALUE"""),22.0)</f>
        <v>22</v>
      </c>
      <c r="I104" s="24" t="str">
        <f>IFERROR(__xludf.DUMMYFUNCTION("""COMPUTED_VALUE"""),"H4")</f>
        <v>H4</v>
      </c>
    </row>
    <row r="105">
      <c r="A105" s="23">
        <f>IFERROR(__xludf.DUMMYFUNCTION("""COMPUTED_VALUE"""),44729.0)</f>
        <v>44729</v>
      </c>
      <c r="B105" s="24" t="str">
        <f>IFERROR(__xludf.DUMMYFUNCTION("""COMPUTED_VALUE"""),"Claire")</f>
        <v>Claire</v>
      </c>
      <c r="C105" s="24">
        <f>IFERROR(__xludf.DUMMYFUNCTION("""COMPUTED_VALUE"""),317.0)</f>
        <v>317</v>
      </c>
      <c r="D105" s="24" t="str">
        <f>IFERROR(__xludf.DUMMYFUNCTION("""COMPUTED_VALUE"""),"I3")</f>
        <v>I3</v>
      </c>
      <c r="F105" s="23">
        <f>IFERROR(__xludf.DUMMYFUNCTION("""COMPUTED_VALUE"""),44729.577272939816)</f>
        <v>44729.57727</v>
      </c>
      <c r="G105" s="24" t="str">
        <f>IFERROR(__xludf.DUMMYFUNCTION("""COMPUTED_VALUE"""),"Claire")</f>
        <v>Claire</v>
      </c>
      <c r="H105" s="24">
        <f>IFERROR(__xludf.DUMMYFUNCTION("""COMPUTED_VALUE"""),-1055.0)</f>
        <v>-1055</v>
      </c>
      <c r="I105" s="24" t="str">
        <f>IFERROR(__xludf.DUMMYFUNCTION("""COMPUTED_VALUE"""),"E3")</f>
        <v>E3</v>
      </c>
    </row>
    <row r="106">
      <c r="A106" s="23">
        <f>IFERROR(__xludf.DUMMYFUNCTION("""COMPUTED_VALUE"""),44729.0)</f>
        <v>44729</v>
      </c>
      <c r="B106" s="24" t="str">
        <f>IFERROR(__xludf.DUMMYFUNCTION("""COMPUTED_VALUE"""),"Claire")</f>
        <v>Claire</v>
      </c>
      <c r="C106" s="24">
        <f>IFERROR(__xludf.DUMMYFUNCTION("""COMPUTED_VALUE"""),-492.0)</f>
        <v>-492</v>
      </c>
      <c r="D106" s="24" t="str">
        <f>IFERROR(__xludf.DUMMYFUNCTION("""COMPUTED_VALUE"""),"I6")</f>
        <v>I6</v>
      </c>
      <c r="F106" s="23">
        <f>IFERROR(__xludf.DUMMYFUNCTION("""COMPUTED_VALUE"""),44729.57760920139)</f>
        <v>44729.57761</v>
      </c>
      <c r="G106" s="24" t="str">
        <f>IFERROR(__xludf.DUMMYFUNCTION("""COMPUTED_VALUE"""),"Claire")</f>
        <v>Claire</v>
      </c>
      <c r="H106" s="24">
        <f>IFERROR(__xludf.DUMMYFUNCTION("""COMPUTED_VALUE"""),-375.0)</f>
        <v>-375</v>
      </c>
      <c r="I106" s="24" t="str">
        <f>IFERROR(__xludf.DUMMYFUNCTION("""COMPUTED_VALUE"""),"D3")</f>
        <v>D3</v>
      </c>
    </row>
    <row r="107">
      <c r="A107" s="23">
        <f>IFERROR(__xludf.DUMMYFUNCTION("""COMPUTED_VALUE"""),44729.0)</f>
        <v>44729</v>
      </c>
      <c r="B107" s="24" t="str">
        <f>IFERROR(__xludf.DUMMYFUNCTION("""COMPUTED_VALUE"""),"Claire")</f>
        <v>Claire</v>
      </c>
      <c r="C107" s="24">
        <f>IFERROR(__xludf.DUMMYFUNCTION("""COMPUTED_VALUE"""),-97.0)</f>
        <v>-97</v>
      </c>
      <c r="D107" s="24" t="str">
        <f>IFERROR(__xludf.DUMMYFUNCTION("""COMPUTED_VALUE"""),"G2")</f>
        <v>G2</v>
      </c>
      <c r="F107" s="23">
        <f>IFERROR(__xludf.DUMMYFUNCTION("""COMPUTED_VALUE"""),44729.57855966435)</f>
        <v>44729.57856</v>
      </c>
      <c r="G107" s="24" t="str">
        <f>IFERROR(__xludf.DUMMYFUNCTION("""COMPUTED_VALUE"""),"Claire")</f>
        <v>Claire</v>
      </c>
      <c r="H107" s="24">
        <f>IFERROR(__xludf.DUMMYFUNCTION("""COMPUTED_VALUE"""),-193.0)</f>
        <v>-193</v>
      </c>
      <c r="I107" s="24" t="str">
        <f>IFERROR(__xludf.DUMMYFUNCTION("""COMPUTED_VALUE"""),"E6")</f>
        <v>E6</v>
      </c>
    </row>
    <row r="108">
      <c r="A108" s="23">
        <f>IFERROR(__xludf.DUMMYFUNCTION("""COMPUTED_VALUE"""),44729.0)</f>
        <v>44729</v>
      </c>
      <c r="B108" s="24" t="str">
        <f>IFERROR(__xludf.DUMMYFUNCTION("""COMPUTED_VALUE"""),"Claire")</f>
        <v>Claire</v>
      </c>
      <c r="C108" s="24">
        <f>IFERROR(__xludf.DUMMYFUNCTION("""COMPUTED_VALUE"""),-162.0)</f>
        <v>-162</v>
      </c>
      <c r="D108" s="24" t="str">
        <f>IFERROR(__xludf.DUMMYFUNCTION("""COMPUTED_VALUE"""),"H5")</f>
        <v>H5</v>
      </c>
      <c r="F108" s="23">
        <f>IFERROR(__xludf.DUMMYFUNCTION("""COMPUTED_VALUE"""),44729.5789431713)</f>
        <v>44729.57894</v>
      </c>
      <c r="G108" s="24" t="str">
        <f>IFERROR(__xludf.DUMMYFUNCTION("""COMPUTED_VALUE"""),"Claire")</f>
        <v>Claire</v>
      </c>
      <c r="H108" s="24">
        <f>IFERROR(__xludf.DUMMYFUNCTION("""COMPUTED_VALUE"""),527.0)</f>
        <v>527</v>
      </c>
      <c r="I108" s="24" t="str">
        <f>IFERROR(__xludf.DUMMYFUNCTION("""COMPUTED_VALUE"""),"E6")</f>
        <v>E6</v>
      </c>
    </row>
    <row r="109">
      <c r="A109" s="23">
        <f>IFERROR(__xludf.DUMMYFUNCTION("""COMPUTED_VALUE"""),44731.0)</f>
        <v>44731</v>
      </c>
      <c r="B109" s="24" t="str">
        <f>IFERROR(__xludf.DUMMYFUNCTION("""COMPUTED_VALUE"""),"Claire")</f>
        <v>Claire</v>
      </c>
      <c r="C109" s="24">
        <f>IFERROR(__xludf.DUMMYFUNCTION("""COMPUTED_VALUE"""),-738.0)</f>
        <v>-738</v>
      </c>
      <c r="D109" s="24" t="str">
        <f>IFERROR(__xludf.DUMMYFUNCTION("""COMPUTED_VALUE"""),"H6")</f>
        <v>H6</v>
      </c>
      <c r="F109" s="23">
        <f>IFERROR(__xludf.DUMMYFUNCTION("""COMPUTED_VALUE"""),44729.579290208334)</f>
        <v>44729.57929</v>
      </c>
      <c r="G109" s="24" t="str">
        <f>IFERROR(__xludf.DUMMYFUNCTION("""COMPUTED_VALUE"""),"Claire")</f>
        <v>Claire</v>
      </c>
      <c r="H109" s="24">
        <f>IFERROR(__xludf.DUMMYFUNCTION("""COMPUTED_VALUE"""),247.0)</f>
        <v>247</v>
      </c>
      <c r="I109" s="24" t="str">
        <f>IFERROR(__xludf.DUMMYFUNCTION("""COMPUTED_VALUE"""),"O2")</f>
        <v>O2</v>
      </c>
    </row>
    <row r="110">
      <c r="A110" s="23">
        <f>IFERROR(__xludf.DUMMYFUNCTION("""COMPUTED_VALUE"""),44731.0)</f>
        <v>44731</v>
      </c>
      <c r="B110" s="24" t="str">
        <f>IFERROR(__xludf.DUMMYFUNCTION("""COMPUTED_VALUE"""),"Claire")</f>
        <v>Claire</v>
      </c>
      <c r="C110" s="24">
        <f>IFERROR(__xludf.DUMMYFUNCTION("""COMPUTED_VALUE"""),119.0)</f>
        <v>119</v>
      </c>
      <c r="D110" s="24" t="str">
        <f>IFERROR(__xludf.DUMMYFUNCTION("""COMPUTED_VALUE"""),"I3")</f>
        <v>I3</v>
      </c>
      <c r="F110" s="23">
        <f>IFERROR(__xludf.DUMMYFUNCTION("""COMPUTED_VALUE"""),44729.579843402775)</f>
        <v>44729.57984</v>
      </c>
      <c r="G110" s="24" t="str">
        <f>IFERROR(__xludf.DUMMYFUNCTION("""COMPUTED_VALUE"""),"Claire")</f>
        <v>Claire</v>
      </c>
      <c r="H110" s="24">
        <f>IFERROR(__xludf.DUMMYFUNCTION("""COMPUTED_VALUE"""),-476.0)</f>
        <v>-476</v>
      </c>
      <c r="I110" s="24" t="str">
        <f>IFERROR(__xludf.DUMMYFUNCTION("""COMPUTED_VALUE"""),"D6")</f>
        <v>D6</v>
      </c>
    </row>
    <row r="111">
      <c r="A111" s="23">
        <f>IFERROR(__xludf.DUMMYFUNCTION("""COMPUTED_VALUE"""),44731.0)</f>
        <v>44731</v>
      </c>
      <c r="B111" s="24" t="str">
        <f>IFERROR(__xludf.DUMMYFUNCTION("""COMPUTED_VALUE"""),"Claire")</f>
        <v>Claire</v>
      </c>
      <c r="C111" s="24">
        <f>IFERROR(__xludf.DUMMYFUNCTION("""COMPUTED_VALUE"""),186.0)</f>
        <v>186</v>
      </c>
      <c r="D111" s="24" t="str">
        <f>IFERROR(__xludf.DUMMYFUNCTION("""COMPUTED_VALUE"""),"D3")</f>
        <v>D3</v>
      </c>
      <c r="F111" s="23">
        <f>IFERROR(__xludf.DUMMYFUNCTION("""COMPUTED_VALUE"""),44729.580197407406)</f>
        <v>44729.5802</v>
      </c>
      <c r="G111" s="24" t="str">
        <f>IFERROR(__xludf.DUMMYFUNCTION("""COMPUTED_VALUE"""),"Claire")</f>
        <v>Claire</v>
      </c>
      <c r="H111" s="24">
        <f>IFERROR(__xludf.DUMMYFUNCTION("""COMPUTED_VALUE"""),405.0)</f>
        <v>405</v>
      </c>
      <c r="I111" s="24" t="str">
        <f>IFERROR(__xludf.DUMMYFUNCTION("""COMPUTED_VALUE"""),"F6")</f>
        <v>F6</v>
      </c>
    </row>
    <row r="112">
      <c r="A112" s="23">
        <f>IFERROR(__xludf.DUMMYFUNCTION("""COMPUTED_VALUE"""),44731.0)</f>
        <v>44731</v>
      </c>
      <c r="B112" s="24" t="str">
        <f>IFERROR(__xludf.DUMMYFUNCTION("""COMPUTED_VALUE"""),"Claire")</f>
        <v>Claire</v>
      </c>
      <c r="C112" s="24">
        <f>IFERROR(__xludf.DUMMYFUNCTION("""COMPUTED_VALUE"""),35.0)</f>
        <v>35</v>
      </c>
      <c r="D112" s="24" t="str">
        <f>IFERROR(__xludf.DUMMYFUNCTION("""COMPUTED_VALUE"""),"O3")</f>
        <v>O3</v>
      </c>
      <c r="F112" s="23">
        <f>IFERROR(__xludf.DUMMYFUNCTION("""COMPUTED_VALUE"""),44729.58048920139)</f>
        <v>44729.58049</v>
      </c>
      <c r="G112" s="24" t="str">
        <f>IFERROR(__xludf.DUMMYFUNCTION("""COMPUTED_VALUE"""),"Claire")</f>
        <v>Claire</v>
      </c>
      <c r="H112" s="24">
        <f>IFERROR(__xludf.DUMMYFUNCTION("""COMPUTED_VALUE"""),-813.0)</f>
        <v>-813</v>
      </c>
      <c r="I112" s="24" t="str">
        <f>IFERROR(__xludf.DUMMYFUNCTION("""COMPUTED_VALUE"""),"C3")</f>
        <v>C3</v>
      </c>
    </row>
    <row r="113">
      <c r="A113" s="23">
        <f>IFERROR(__xludf.DUMMYFUNCTION("""COMPUTED_VALUE"""),44731.0)</f>
        <v>44731</v>
      </c>
      <c r="B113" s="24" t="str">
        <f>IFERROR(__xludf.DUMMYFUNCTION("""COMPUTED_VALUE"""),"Claire")</f>
        <v>Claire</v>
      </c>
      <c r="C113" s="24">
        <f>IFERROR(__xludf.DUMMYFUNCTION("""COMPUTED_VALUE"""),7.0)</f>
        <v>7</v>
      </c>
      <c r="D113" s="24" t="str">
        <f>IFERROR(__xludf.DUMMYFUNCTION("""COMPUTED_VALUE"""),"P3")</f>
        <v>P3</v>
      </c>
      <c r="F113" s="23">
        <f>IFERROR(__xludf.DUMMYFUNCTION("""COMPUTED_VALUE"""),44729.580710532406)</f>
        <v>44729.58071</v>
      </c>
      <c r="G113" s="24" t="str">
        <f>IFERROR(__xludf.DUMMYFUNCTION("""COMPUTED_VALUE"""),"Claire")</f>
        <v>Claire</v>
      </c>
      <c r="H113" s="24">
        <f>IFERROR(__xludf.DUMMYFUNCTION("""COMPUTED_VALUE"""),147.0)</f>
        <v>147</v>
      </c>
      <c r="I113" s="24" t="str">
        <f>IFERROR(__xludf.DUMMYFUNCTION("""COMPUTED_VALUE"""),"C3")</f>
        <v>C3</v>
      </c>
    </row>
    <row r="114">
      <c r="A114" s="23">
        <f>IFERROR(__xludf.DUMMYFUNCTION("""COMPUTED_VALUE"""),44731.0)</f>
        <v>44731</v>
      </c>
      <c r="B114" s="24" t="str">
        <f>IFERROR(__xludf.DUMMYFUNCTION("""COMPUTED_VALUE"""),"Claire")</f>
        <v>Claire</v>
      </c>
      <c r="C114" s="24">
        <f>IFERROR(__xludf.DUMMYFUNCTION("""COMPUTED_VALUE"""),135.0)</f>
        <v>135</v>
      </c>
      <c r="D114" s="24" t="str">
        <f>IFERROR(__xludf.DUMMYFUNCTION("""COMPUTED_VALUE"""),"E3")</f>
        <v>E3</v>
      </c>
      <c r="F114" s="23">
        <f>IFERROR(__xludf.DUMMYFUNCTION("""COMPUTED_VALUE"""),44729.58099996528)</f>
        <v>44729.581</v>
      </c>
      <c r="G114" s="24" t="str">
        <f>IFERROR(__xludf.DUMMYFUNCTION("""COMPUTED_VALUE"""),"Claire")</f>
        <v>Claire</v>
      </c>
      <c r="H114" s="24">
        <f>IFERROR(__xludf.DUMMYFUNCTION("""COMPUTED_VALUE"""),266.0)</f>
        <v>266</v>
      </c>
      <c r="I114" s="24" t="str">
        <f>IFERROR(__xludf.DUMMYFUNCTION("""COMPUTED_VALUE"""),"L2")</f>
        <v>L2</v>
      </c>
    </row>
    <row r="115">
      <c r="A115" s="23">
        <f>IFERROR(__xludf.DUMMYFUNCTION("""COMPUTED_VALUE"""),44731.0)</f>
        <v>44731</v>
      </c>
      <c r="B115" s="24" t="str">
        <f>IFERROR(__xludf.DUMMYFUNCTION("""COMPUTED_VALUE"""),"Claire")</f>
        <v>Claire</v>
      </c>
      <c r="C115" s="24">
        <f>IFERROR(__xludf.DUMMYFUNCTION("""COMPUTED_VALUE"""),23.0)</f>
        <v>23</v>
      </c>
      <c r="D115" s="24" t="str">
        <f>IFERROR(__xludf.DUMMYFUNCTION("""COMPUTED_VALUE"""),"O4")</f>
        <v>O4</v>
      </c>
      <c r="F115" s="23">
        <f>IFERROR(__xludf.DUMMYFUNCTION("""COMPUTED_VALUE"""),44729.58136006945)</f>
        <v>44729.58136</v>
      </c>
      <c r="G115" s="24" t="str">
        <f>IFERROR(__xludf.DUMMYFUNCTION("""COMPUTED_VALUE"""),"Claire")</f>
        <v>Claire</v>
      </c>
      <c r="H115" s="24">
        <f>IFERROR(__xludf.DUMMYFUNCTION("""COMPUTED_VALUE"""),50.0)</f>
        <v>50</v>
      </c>
      <c r="I115" s="24" t="str">
        <f>IFERROR(__xludf.DUMMYFUNCTION("""COMPUTED_VALUE"""),"I3")</f>
        <v>I3</v>
      </c>
    </row>
    <row r="116">
      <c r="A116" s="23">
        <f>IFERROR(__xludf.DUMMYFUNCTION("""COMPUTED_VALUE"""),44731.0)</f>
        <v>44731</v>
      </c>
      <c r="B116" s="24" t="str">
        <f>IFERROR(__xludf.DUMMYFUNCTION("""COMPUTED_VALUE"""),"Claire")</f>
        <v>Claire</v>
      </c>
      <c r="C116" s="24">
        <f>IFERROR(__xludf.DUMMYFUNCTION("""COMPUTED_VALUE"""),108.0)</f>
        <v>108</v>
      </c>
      <c r="D116" s="24" t="str">
        <f>IFERROR(__xludf.DUMMYFUNCTION("""COMPUTED_VALUE"""),"I4")</f>
        <v>I4</v>
      </c>
      <c r="F116" s="23">
        <f>IFERROR(__xludf.DUMMYFUNCTION("""COMPUTED_VALUE"""),44729.581672175926)</f>
        <v>44729.58167</v>
      </c>
      <c r="G116" s="24" t="str">
        <f>IFERROR(__xludf.DUMMYFUNCTION("""COMPUTED_VALUE"""),"Claire")</f>
        <v>Claire</v>
      </c>
      <c r="H116" s="24">
        <f>IFERROR(__xludf.DUMMYFUNCTION("""COMPUTED_VALUE"""),901.0)</f>
        <v>901</v>
      </c>
      <c r="I116" s="24" t="str">
        <f>IFERROR(__xludf.DUMMYFUNCTION("""COMPUTED_VALUE"""),"E3")</f>
        <v>E3</v>
      </c>
    </row>
    <row r="117">
      <c r="A117" s="23">
        <f>IFERROR(__xludf.DUMMYFUNCTION("""COMPUTED_VALUE"""),44731.0)</f>
        <v>44731</v>
      </c>
      <c r="B117" s="24" t="str">
        <f>IFERROR(__xludf.DUMMYFUNCTION("""COMPUTED_VALUE"""),"Claire")</f>
        <v>Claire</v>
      </c>
      <c r="C117" s="24">
        <f>IFERROR(__xludf.DUMMYFUNCTION("""COMPUTED_VALUE"""),630.0)</f>
        <v>630</v>
      </c>
      <c r="D117" s="24" t="str">
        <f>IFERROR(__xludf.DUMMYFUNCTION("""COMPUTED_VALUE"""),"E1")</f>
        <v>E1</v>
      </c>
      <c r="F117" s="23">
        <f>IFERROR(__xludf.DUMMYFUNCTION("""COMPUTED_VALUE"""),44729.58196229167)</f>
        <v>44729.58196</v>
      </c>
      <c r="G117" s="24" t="str">
        <f>IFERROR(__xludf.DUMMYFUNCTION("""COMPUTED_VALUE"""),"Claire")</f>
        <v>Claire</v>
      </c>
      <c r="H117" s="24">
        <f>IFERROR(__xludf.DUMMYFUNCTION("""COMPUTED_VALUE"""),273.0)</f>
        <v>273</v>
      </c>
      <c r="I117" s="24" t="str">
        <f>IFERROR(__xludf.DUMMYFUNCTION("""COMPUTED_VALUE"""),"D6")</f>
        <v>D6</v>
      </c>
    </row>
    <row r="118">
      <c r="A118" s="23">
        <f>IFERROR(__xludf.DUMMYFUNCTION("""COMPUTED_VALUE"""),44731.0)</f>
        <v>44731</v>
      </c>
      <c r="B118" s="24" t="str">
        <f>IFERROR(__xludf.DUMMYFUNCTION("""COMPUTED_VALUE"""),"Claire")</f>
        <v>Claire</v>
      </c>
      <c r="C118" s="24">
        <f>IFERROR(__xludf.DUMMYFUNCTION("""COMPUTED_VALUE"""),-151.0)</f>
        <v>-151</v>
      </c>
      <c r="D118" s="24" t="str">
        <f>IFERROR(__xludf.DUMMYFUNCTION("""COMPUTED_VALUE"""),"L6")</f>
        <v>L6</v>
      </c>
      <c r="F118" s="23">
        <f>IFERROR(__xludf.DUMMYFUNCTION("""COMPUTED_VALUE"""),44729.58240817129)</f>
        <v>44729.58241</v>
      </c>
      <c r="G118" s="24" t="str">
        <f>IFERROR(__xludf.DUMMYFUNCTION("""COMPUTED_VALUE"""),"Claire")</f>
        <v>Claire</v>
      </c>
      <c r="H118" s="24">
        <f>IFERROR(__xludf.DUMMYFUNCTION("""COMPUTED_VALUE"""),1043.0)</f>
        <v>1043</v>
      </c>
      <c r="I118" s="24" t="str">
        <f>IFERROR(__xludf.DUMMYFUNCTION("""COMPUTED_VALUE"""),"D3")</f>
        <v>D3</v>
      </c>
    </row>
    <row r="119">
      <c r="A119" s="23">
        <f>IFERROR(__xludf.DUMMYFUNCTION("""COMPUTED_VALUE"""),44731.0)</f>
        <v>44731</v>
      </c>
      <c r="B119" s="24" t="str">
        <f>IFERROR(__xludf.DUMMYFUNCTION("""COMPUTED_VALUE"""),"Claire")</f>
        <v>Claire</v>
      </c>
      <c r="C119" s="24">
        <f>IFERROR(__xludf.DUMMYFUNCTION("""COMPUTED_VALUE"""),-21.0)</f>
        <v>-21</v>
      </c>
      <c r="D119" s="24" t="str">
        <f>IFERROR(__xludf.DUMMYFUNCTION("""COMPUTED_VALUE"""),"I5")</f>
        <v>I5</v>
      </c>
      <c r="F119" s="23">
        <f>IFERROR(__xludf.DUMMYFUNCTION("""COMPUTED_VALUE"""),44729.58264688657)</f>
        <v>44729.58265</v>
      </c>
      <c r="G119" s="24" t="str">
        <f>IFERROR(__xludf.DUMMYFUNCTION("""COMPUTED_VALUE"""),"Claire")</f>
        <v>Claire</v>
      </c>
      <c r="H119" s="24">
        <f>IFERROR(__xludf.DUMMYFUNCTION("""COMPUTED_VALUE"""),5.0)</f>
        <v>5</v>
      </c>
      <c r="I119" s="24" t="str">
        <f>IFERROR(__xludf.DUMMYFUNCTION("""COMPUTED_VALUE"""),"G5")</f>
        <v>G5</v>
      </c>
    </row>
    <row r="120">
      <c r="A120" s="23">
        <f>IFERROR(__xludf.DUMMYFUNCTION("""COMPUTED_VALUE"""),44731.0)</f>
        <v>44731</v>
      </c>
      <c r="B120" s="24" t="str">
        <f>IFERROR(__xludf.DUMMYFUNCTION("""COMPUTED_VALUE"""),"Claire")</f>
        <v>Claire</v>
      </c>
      <c r="C120" s="24">
        <f>IFERROR(__xludf.DUMMYFUNCTION("""COMPUTED_VALUE"""),759.0)</f>
        <v>759</v>
      </c>
      <c r="D120" s="24" t="str">
        <f>IFERROR(__xludf.DUMMYFUNCTION("""COMPUTED_VALUE"""),"G6")</f>
        <v>G6</v>
      </c>
      <c r="F120" s="23">
        <f>IFERROR(__xludf.DUMMYFUNCTION("""COMPUTED_VALUE"""),44729.69933920139)</f>
        <v>44729.69934</v>
      </c>
      <c r="G120" s="24" t="str">
        <f>IFERROR(__xludf.DUMMYFUNCTION("""COMPUTED_VALUE"""),"Sunita Pathik")</f>
        <v>Sunita Pathik</v>
      </c>
      <c r="H120" s="24">
        <f>IFERROR(__xludf.DUMMYFUNCTION("""COMPUTED_VALUE"""),4.0)</f>
        <v>4</v>
      </c>
      <c r="I120" s="24"/>
    </row>
    <row r="121">
      <c r="A121" s="23">
        <f>IFERROR(__xludf.DUMMYFUNCTION("""COMPUTED_VALUE"""),44731.0)</f>
        <v>44731</v>
      </c>
      <c r="B121" s="24" t="str">
        <f>IFERROR(__xludf.DUMMYFUNCTION("""COMPUTED_VALUE"""),"Claire")</f>
        <v>Claire</v>
      </c>
      <c r="C121" s="24">
        <f>IFERROR(__xludf.DUMMYFUNCTION("""COMPUTED_VALUE"""),-44.0)</f>
        <v>-44</v>
      </c>
      <c r="D121" s="24" t="str">
        <f>IFERROR(__xludf.DUMMYFUNCTION("""COMPUTED_VALUE"""),"H5")</f>
        <v>H5</v>
      </c>
      <c r="F121" s="23">
        <f>IFERROR(__xludf.DUMMYFUNCTION("""COMPUTED_VALUE"""),44729.70023540509)</f>
        <v>44729.70024</v>
      </c>
      <c r="G121" s="24" t="str">
        <f>IFERROR(__xludf.DUMMYFUNCTION("""COMPUTED_VALUE"""),"Sunita Pathik")</f>
        <v>Sunita Pathik</v>
      </c>
      <c r="H121" s="24">
        <f>IFERROR(__xludf.DUMMYFUNCTION("""COMPUTED_VALUE"""),61.0)</f>
        <v>61</v>
      </c>
      <c r="I121" s="24" t="str">
        <f>IFERROR(__xludf.DUMMYFUNCTION("""COMPUTED_VALUE"""),"Assorted option")</f>
        <v>Assorted option</v>
      </c>
    </row>
    <row r="122">
      <c r="A122" s="23">
        <f>IFERROR(__xludf.DUMMYFUNCTION("""COMPUTED_VALUE"""),44731.0)</f>
        <v>44731</v>
      </c>
      <c r="B122" s="24" t="str">
        <f>IFERROR(__xludf.DUMMYFUNCTION("""COMPUTED_VALUE"""),"Claire")</f>
        <v>Claire</v>
      </c>
      <c r="C122" s="24">
        <f>IFERROR(__xludf.DUMMYFUNCTION("""COMPUTED_VALUE"""),1226.0)</f>
        <v>1226</v>
      </c>
      <c r="D122" s="24" t="str">
        <f>IFERROR(__xludf.DUMMYFUNCTION("""COMPUTED_VALUE"""),"H6")</f>
        <v>H6</v>
      </c>
      <c r="F122" s="23">
        <f>IFERROR(__xludf.DUMMYFUNCTION("""COMPUTED_VALUE"""),44729.7028428125)</f>
        <v>44729.70284</v>
      </c>
      <c r="G122" s="24" t="str">
        <f>IFERROR(__xludf.DUMMYFUNCTION("""COMPUTED_VALUE"""),"Expired food")</f>
        <v>Expired food</v>
      </c>
      <c r="H122" s="24">
        <f>IFERROR(__xludf.DUMMYFUNCTION("""COMPUTED_VALUE"""),2.0)</f>
        <v>2</v>
      </c>
      <c r="I122" s="24"/>
    </row>
    <row r="123">
      <c r="A123" s="23">
        <f>IFERROR(__xludf.DUMMYFUNCTION("""COMPUTED_VALUE"""),44731.0)</f>
        <v>44731</v>
      </c>
      <c r="B123" s="24" t="str">
        <f>IFERROR(__xludf.DUMMYFUNCTION("""COMPUTED_VALUE"""),"Claire")</f>
        <v>Claire</v>
      </c>
      <c r="C123" s="24">
        <f>IFERROR(__xludf.DUMMYFUNCTION("""COMPUTED_VALUE"""),-936.0)</f>
        <v>-936</v>
      </c>
      <c r="D123" s="24" t="str">
        <f>IFERROR(__xludf.DUMMYFUNCTION("""COMPUTED_VALUE"""),"H3")</f>
        <v>H3</v>
      </c>
      <c r="F123" s="23">
        <f>IFERROR(__xludf.DUMMYFUNCTION("""COMPUTED_VALUE"""),44729.709826909726)</f>
        <v>44729.70983</v>
      </c>
      <c r="G123" s="24" t="str">
        <f>IFERROR(__xludf.DUMMYFUNCTION("""COMPUTED_VALUE"""),"Ausar ")</f>
        <v>Ausar </v>
      </c>
      <c r="H123" s="24">
        <f>IFERROR(__xludf.DUMMYFUNCTION("""COMPUTED_VALUE"""),23.0)</f>
        <v>23</v>
      </c>
      <c r="I123" s="24" t="str">
        <f>IFERROR(__xludf.DUMMYFUNCTION("""COMPUTED_VALUE"""),"Walk up")</f>
        <v>Walk up</v>
      </c>
    </row>
    <row r="124">
      <c r="A124" s="23">
        <f>IFERROR(__xludf.DUMMYFUNCTION("""COMPUTED_VALUE"""),44731.0)</f>
        <v>44731</v>
      </c>
      <c r="B124" s="24" t="str">
        <f>IFERROR(__xludf.DUMMYFUNCTION("""COMPUTED_VALUE"""),"Claire")</f>
        <v>Claire</v>
      </c>
      <c r="C124" s="24">
        <f>IFERROR(__xludf.DUMMYFUNCTION("""COMPUTED_VALUE"""),40.0)</f>
        <v>40</v>
      </c>
      <c r="D124" s="24" t="str">
        <f>IFERROR(__xludf.DUMMYFUNCTION("""COMPUTED_VALUE"""),"I4")</f>
        <v>I4</v>
      </c>
      <c r="F124" s="23">
        <f>IFERROR(__xludf.DUMMYFUNCTION("""COMPUTED_VALUE"""),44729.71011633102)</f>
        <v>44729.71012</v>
      </c>
      <c r="G124" s="24" t="str">
        <f>IFERROR(__xludf.DUMMYFUNCTION("""COMPUTED_VALUE"""),"Ausar ")</f>
        <v>Ausar </v>
      </c>
      <c r="H124" s="24">
        <f>IFERROR(__xludf.DUMMYFUNCTION("""COMPUTED_VALUE"""),150.0)</f>
        <v>150</v>
      </c>
      <c r="I124" s="24" t="str">
        <f>IFERROR(__xludf.DUMMYFUNCTION("""COMPUTED_VALUE"""),"Frozen")</f>
        <v>Frozen</v>
      </c>
    </row>
    <row r="125">
      <c r="A125" s="23">
        <f>IFERROR(__xludf.DUMMYFUNCTION("""COMPUTED_VALUE"""),44731.0)</f>
        <v>44731</v>
      </c>
      <c r="B125" s="24" t="str">
        <f>IFERROR(__xludf.DUMMYFUNCTION("""COMPUTED_VALUE"""),"Claire")</f>
        <v>Claire</v>
      </c>
      <c r="C125" s="24">
        <f>IFERROR(__xludf.DUMMYFUNCTION("""COMPUTED_VALUE"""),-339.0)</f>
        <v>-339</v>
      </c>
      <c r="D125" s="24" t="str">
        <f>IFERROR(__xludf.DUMMYFUNCTION("""COMPUTED_VALUE"""),"H2")</f>
        <v>H2</v>
      </c>
      <c r="F125" s="23">
        <f>IFERROR(__xludf.DUMMYFUNCTION("""COMPUTED_VALUE"""),44729.71040295139)</f>
        <v>44729.7104</v>
      </c>
      <c r="G125" s="24" t="str">
        <f>IFERROR(__xludf.DUMMYFUNCTION("""COMPUTED_VALUE"""),"Ausar ")</f>
        <v>Ausar </v>
      </c>
      <c r="H125" s="24">
        <f>IFERROR(__xludf.DUMMYFUNCTION("""COMPUTED_VALUE"""),449.0)</f>
        <v>449</v>
      </c>
      <c r="I125" s="24" t="str">
        <f>IFERROR(__xludf.DUMMYFUNCTION("""COMPUTED_VALUE"""),"Assorted option")</f>
        <v>Assorted option</v>
      </c>
    </row>
    <row r="126">
      <c r="A126" s="23">
        <f>IFERROR(__xludf.DUMMYFUNCTION("""COMPUTED_VALUE"""),44733.0)</f>
        <v>44733</v>
      </c>
      <c r="B126" s="24" t="str">
        <f>IFERROR(__xludf.DUMMYFUNCTION("""COMPUTED_VALUE"""),"Claire")</f>
        <v>Claire</v>
      </c>
      <c r="C126" s="24">
        <f>IFERROR(__xludf.DUMMYFUNCTION("""COMPUTED_VALUE"""),21.0)</f>
        <v>21</v>
      </c>
      <c r="D126" s="24" t="str">
        <f>IFERROR(__xludf.DUMMYFUNCTION("""COMPUTED_VALUE"""),"C3")</f>
        <v>C3</v>
      </c>
      <c r="F126" s="23">
        <f>IFERROR(__xludf.DUMMYFUNCTION("""COMPUTED_VALUE"""),44729.71237240741)</f>
        <v>44729.71237</v>
      </c>
      <c r="G126" s="24" t="str">
        <f>IFERROR(__xludf.DUMMYFUNCTION("""COMPUTED_VALUE"""),"Cyrano Yee")</f>
        <v>Cyrano Yee</v>
      </c>
      <c r="H126" s="24">
        <f>IFERROR(__xludf.DUMMYFUNCTION("""COMPUTED_VALUE"""),13.0)</f>
        <v>13</v>
      </c>
      <c r="I126" s="24"/>
    </row>
    <row r="127">
      <c r="A127" s="23">
        <f>IFERROR(__xludf.DUMMYFUNCTION("""COMPUTED_VALUE"""),44734.0)</f>
        <v>44734</v>
      </c>
      <c r="B127" s="24" t="str">
        <f>IFERROR(__xludf.DUMMYFUNCTION("""COMPUTED_VALUE"""),"Claire")</f>
        <v>Claire</v>
      </c>
      <c r="C127" s="24">
        <f>IFERROR(__xludf.DUMMYFUNCTION("""COMPUTED_VALUE"""),90.0)</f>
        <v>90</v>
      </c>
      <c r="D127" s="24" t="str">
        <f>IFERROR(__xludf.DUMMYFUNCTION("""COMPUTED_VALUE"""),"J3")</f>
        <v>J3</v>
      </c>
      <c r="F127" s="23">
        <f>IFERROR(__xludf.DUMMYFUNCTION("""COMPUTED_VALUE"""),44729.71486695602)</f>
        <v>44729.71487</v>
      </c>
      <c r="G127" s="24" t="str">
        <f>IFERROR(__xludf.DUMMYFUNCTION("""COMPUTED_VALUE"""),"Juanita Chandler ")</f>
        <v>Juanita Chandler </v>
      </c>
      <c r="H127" s="24">
        <f>IFERROR(__xludf.DUMMYFUNCTION("""COMPUTED_VALUE"""),11.0)</f>
        <v>11</v>
      </c>
      <c r="I127" s="24"/>
    </row>
    <row r="128">
      <c r="A128" s="23">
        <f>IFERROR(__xludf.DUMMYFUNCTION("""COMPUTED_VALUE"""),44734.86290853009)</f>
        <v>44734.86291</v>
      </c>
      <c r="B128" s="24" t="str">
        <f>IFERROR(__xludf.DUMMYFUNCTION("""COMPUTED_VALUE"""),"Claire")</f>
        <v>Claire</v>
      </c>
      <c r="C128" s="24">
        <f>IFERROR(__xludf.DUMMYFUNCTION("""COMPUTED_VALUE"""),2198.0)</f>
        <v>2198</v>
      </c>
      <c r="D128" s="24" t="str">
        <f>IFERROR(__xludf.DUMMYFUNCTION("""COMPUTED_VALUE"""),"H3")</f>
        <v>H3</v>
      </c>
      <c r="F128" s="23">
        <f>IFERROR(__xludf.DUMMYFUNCTION("""COMPUTED_VALUE"""),44729.71532728009)</f>
        <v>44729.71533</v>
      </c>
      <c r="G128" s="24" t="str">
        <f>IFERROR(__xludf.DUMMYFUNCTION("""COMPUTED_VALUE"""),"Juanita Chandler ")</f>
        <v>Juanita Chandler </v>
      </c>
      <c r="H128" s="24">
        <f>IFERROR(__xludf.DUMMYFUNCTION("""COMPUTED_VALUE"""),29.0)</f>
        <v>29</v>
      </c>
      <c r="I128" s="24"/>
    </row>
    <row r="129">
      <c r="A129" s="23">
        <f>IFERROR(__xludf.DUMMYFUNCTION("""COMPUTED_VALUE"""),44734.86376921296)</f>
        <v>44734.86377</v>
      </c>
      <c r="B129" s="24" t="str">
        <f>IFERROR(__xludf.DUMMYFUNCTION("""COMPUTED_VALUE"""),"Claire")</f>
        <v>Claire</v>
      </c>
      <c r="C129" s="24">
        <f>IFERROR(__xludf.DUMMYFUNCTION("""COMPUTED_VALUE"""),580.0)</f>
        <v>580</v>
      </c>
      <c r="D129" s="24" t="str">
        <f>IFERROR(__xludf.DUMMYFUNCTION("""COMPUTED_VALUE"""),"J2")</f>
        <v>J2</v>
      </c>
      <c r="F129" s="23">
        <f>IFERROR(__xludf.DUMMYFUNCTION("""COMPUTED_VALUE"""),44729.71602587963)</f>
        <v>44729.71603</v>
      </c>
      <c r="G129" s="24" t="str">
        <f>IFERROR(__xludf.DUMMYFUNCTION("""COMPUTED_VALUE"""),"Yulia")</f>
        <v>Yulia</v>
      </c>
      <c r="H129" s="24">
        <f>IFERROR(__xludf.DUMMYFUNCTION("""COMPUTED_VALUE"""),30.0)</f>
        <v>30</v>
      </c>
      <c r="I129" s="24"/>
    </row>
    <row r="130">
      <c r="A130" s="23">
        <f>IFERROR(__xludf.DUMMYFUNCTION("""COMPUTED_VALUE"""),44734.86407599537)</f>
        <v>44734.86408</v>
      </c>
      <c r="B130" s="24" t="str">
        <f>IFERROR(__xludf.DUMMYFUNCTION("""COMPUTED_VALUE"""),"Claire")</f>
        <v>Claire</v>
      </c>
      <c r="C130" s="24">
        <f>IFERROR(__xludf.DUMMYFUNCTION("""COMPUTED_VALUE"""),347.0)</f>
        <v>347</v>
      </c>
      <c r="D130" s="24" t="str">
        <f>IFERROR(__xludf.DUMMYFUNCTION("""COMPUTED_VALUE"""),"H5")</f>
        <v>H5</v>
      </c>
      <c r="F130" s="23">
        <f>IFERROR(__xludf.DUMMYFUNCTION("""COMPUTED_VALUE"""),44729.71637483796)</f>
        <v>44729.71637</v>
      </c>
      <c r="G130" s="24" t="str">
        <f>IFERROR(__xludf.DUMMYFUNCTION("""COMPUTED_VALUE"""),"Beth Torres")</f>
        <v>Beth Torres</v>
      </c>
      <c r="H130" s="24">
        <f>IFERROR(__xludf.DUMMYFUNCTION("""COMPUTED_VALUE"""),18.0)</f>
        <v>18</v>
      </c>
      <c r="I130" s="24"/>
    </row>
    <row r="131">
      <c r="A131" s="23">
        <f>IFERROR(__xludf.DUMMYFUNCTION("""COMPUTED_VALUE"""),44734.864444479164)</f>
        <v>44734.86444</v>
      </c>
      <c r="B131" s="24" t="str">
        <f>IFERROR(__xludf.DUMMYFUNCTION("""COMPUTED_VALUE"""),"Claire")</f>
        <v>Claire</v>
      </c>
      <c r="C131" s="24">
        <f>IFERROR(__xludf.DUMMYFUNCTION("""COMPUTED_VALUE"""),2073.0)</f>
        <v>2073</v>
      </c>
      <c r="D131" s="24" t="str">
        <f>IFERROR(__xludf.DUMMYFUNCTION("""COMPUTED_VALUE"""),"G2")</f>
        <v>G2</v>
      </c>
      <c r="F131" s="23">
        <f>IFERROR(__xludf.DUMMYFUNCTION("""COMPUTED_VALUE"""),44729.71652746528)</f>
        <v>44729.71653</v>
      </c>
      <c r="G131" s="24" t="str">
        <f>IFERROR(__xludf.DUMMYFUNCTION("""COMPUTED_VALUE"""),"Beth Torres")</f>
        <v>Beth Torres</v>
      </c>
      <c r="H131" s="24">
        <f>IFERROR(__xludf.DUMMYFUNCTION("""COMPUTED_VALUE"""),29.0)</f>
        <v>29</v>
      </c>
      <c r="I131" s="24"/>
    </row>
    <row r="132">
      <c r="A132" s="23">
        <f>IFERROR(__xludf.DUMMYFUNCTION("""COMPUTED_VALUE"""),44734.86526686343)</f>
        <v>44734.86527</v>
      </c>
      <c r="B132" s="24" t="str">
        <f>IFERROR(__xludf.DUMMYFUNCTION("""COMPUTED_VALUE"""),"Claire")</f>
        <v>Claire</v>
      </c>
      <c r="C132" s="24">
        <f>IFERROR(__xludf.DUMMYFUNCTION("""COMPUTED_VALUE"""),1617.0)</f>
        <v>1617</v>
      </c>
      <c r="D132" s="24" t="str">
        <f>IFERROR(__xludf.DUMMYFUNCTION("""COMPUTED_VALUE"""),"E6")</f>
        <v>E6</v>
      </c>
      <c r="F132" s="23">
        <f>IFERROR(__xludf.DUMMYFUNCTION("""COMPUTED_VALUE"""),44730.0)</f>
        <v>44730</v>
      </c>
      <c r="G132" s="24" t="str">
        <f>IFERROR(__xludf.DUMMYFUNCTION("""COMPUTED_VALUE"""),"Claire")</f>
        <v>Claire</v>
      </c>
      <c r="H132" s="24">
        <f>IFERROR(__xludf.DUMMYFUNCTION("""COMPUTED_VALUE"""),303.0)</f>
        <v>303</v>
      </c>
      <c r="I132" s="24" t="str">
        <f>IFERROR(__xludf.DUMMYFUNCTION("""COMPUTED_VALUE"""),"Paper Products")</f>
        <v>Paper Products</v>
      </c>
    </row>
    <row r="133">
      <c r="A133" s="23">
        <f>IFERROR(__xludf.DUMMYFUNCTION("""COMPUTED_VALUE"""),44734.865811875)</f>
        <v>44734.86581</v>
      </c>
      <c r="B133" s="24" t="str">
        <f>IFERROR(__xludf.DUMMYFUNCTION("""COMPUTED_VALUE"""),"Claire")</f>
        <v>Claire</v>
      </c>
      <c r="C133" s="24">
        <f>IFERROR(__xludf.DUMMYFUNCTION("""COMPUTED_VALUE"""),284.0)</f>
        <v>284</v>
      </c>
      <c r="D133" s="24" t="str">
        <f>IFERROR(__xludf.DUMMYFUNCTION("""COMPUTED_VALUE"""),"I4")</f>
        <v>I4</v>
      </c>
      <c r="F133" s="23">
        <f>IFERROR(__xludf.DUMMYFUNCTION("""COMPUTED_VALUE"""),44730.0)</f>
        <v>44730</v>
      </c>
      <c r="G133" s="24" t="str">
        <f>IFERROR(__xludf.DUMMYFUNCTION("""COMPUTED_VALUE"""),"Claire")</f>
        <v>Claire</v>
      </c>
      <c r="H133" s="24">
        <f>IFERROR(__xludf.DUMMYFUNCTION("""COMPUTED_VALUE"""),1869.0)</f>
        <v>1869</v>
      </c>
      <c r="I133" s="24" t="str">
        <f>IFERROR(__xludf.DUMMYFUNCTION("""COMPUTED_VALUE"""),"Drinks")</f>
        <v>Drinks</v>
      </c>
    </row>
    <row r="134">
      <c r="A134" s="23">
        <f>IFERROR(__xludf.DUMMYFUNCTION("""COMPUTED_VALUE"""),44734.86606556713)</f>
        <v>44734.86607</v>
      </c>
      <c r="B134" s="24" t="str">
        <f>IFERROR(__xludf.DUMMYFUNCTION("""COMPUTED_VALUE"""),"Claire")</f>
        <v>Claire</v>
      </c>
      <c r="C134" s="24">
        <f>IFERROR(__xludf.DUMMYFUNCTION("""COMPUTED_VALUE"""),142.0)</f>
        <v>142</v>
      </c>
      <c r="D134" s="24" t="str">
        <f>IFERROR(__xludf.DUMMYFUNCTION("""COMPUTED_VALUE"""),"I1")</f>
        <v>I1</v>
      </c>
      <c r="F134" s="23">
        <f>IFERROR(__xludf.DUMMYFUNCTION("""COMPUTED_VALUE"""),44730.0)</f>
        <v>44730</v>
      </c>
      <c r="G134" s="24" t="str">
        <f>IFERROR(__xludf.DUMMYFUNCTION("""COMPUTED_VALUE"""),"Claire")</f>
        <v>Claire</v>
      </c>
      <c r="H134" s="24">
        <f>IFERROR(__xludf.DUMMYFUNCTION("""COMPUTED_VALUE"""),210.0)</f>
        <v>210</v>
      </c>
      <c r="I134" s="24" t="str">
        <f>IFERROR(__xludf.DUMMYFUNCTION("""COMPUTED_VALUE"""),"Paper Products")</f>
        <v>Paper Products</v>
      </c>
    </row>
    <row r="135">
      <c r="A135" s="23">
        <f>IFERROR(__xludf.DUMMYFUNCTION("""COMPUTED_VALUE"""),44734.866311446756)</f>
        <v>44734.86631</v>
      </c>
      <c r="B135" s="24" t="str">
        <f>IFERROR(__xludf.DUMMYFUNCTION("""COMPUTED_VALUE"""),"Claire")</f>
        <v>Claire</v>
      </c>
      <c r="C135" s="24">
        <f>IFERROR(__xludf.DUMMYFUNCTION("""COMPUTED_VALUE"""),52.0)</f>
        <v>52</v>
      </c>
      <c r="D135" s="24" t="str">
        <f>IFERROR(__xludf.DUMMYFUNCTION("""COMPUTED_VALUE"""),"P2")</f>
        <v>P2</v>
      </c>
      <c r="F135" s="23">
        <f>IFERROR(__xludf.DUMMYFUNCTION("""COMPUTED_VALUE"""),44730.0)</f>
        <v>44730</v>
      </c>
      <c r="G135" s="24" t="str">
        <f>IFERROR(__xludf.DUMMYFUNCTION("""COMPUTED_VALUE"""),"Claire")</f>
        <v>Claire</v>
      </c>
      <c r="H135" s="24">
        <f>IFERROR(__xludf.DUMMYFUNCTION("""COMPUTED_VALUE"""),1120.0)</f>
        <v>1120</v>
      </c>
      <c r="I135" s="24" t="str">
        <f>IFERROR(__xludf.DUMMYFUNCTION("""COMPUTED_VALUE"""),"Drinks")</f>
        <v>Drinks</v>
      </c>
    </row>
    <row r="136">
      <c r="A136" s="23">
        <f>IFERROR(__xludf.DUMMYFUNCTION("""COMPUTED_VALUE"""),44734.867780532404)</f>
        <v>44734.86778</v>
      </c>
      <c r="B136" s="24" t="str">
        <f>IFERROR(__xludf.DUMMYFUNCTION("""COMPUTED_VALUE"""),"Claire")</f>
        <v>Claire</v>
      </c>
      <c r="C136" s="24">
        <f>IFERROR(__xludf.DUMMYFUNCTION("""COMPUTED_VALUE"""),155.0)</f>
        <v>155</v>
      </c>
      <c r="D136" s="24" t="str">
        <f>IFERROR(__xludf.DUMMYFUNCTION("""COMPUTED_VALUE"""),"G2")</f>
        <v>G2</v>
      </c>
      <c r="F136" s="23">
        <f>IFERROR(__xludf.DUMMYFUNCTION("""COMPUTED_VALUE"""),44730.0)</f>
        <v>44730</v>
      </c>
      <c r="G136" s="24" t="str">
        <f>IFERROR(__xludf.DUMMYFUNCTION("""COMPUTED_VALUE"""),"Claire")</f>
        <v>Claire</v>
      </c>
      <c r="H136" s="24">
        <f>IFERROR(__xludf.DUMMYFUNCTION("""COMPUTED_VALUE"""),475.0)</f>
        <v>475</v>
      </c>
      <c r="I136" s="24" t="str">
        <f>IFERROR(__xludf.DUMMYFUNCTION("""COMPUTED_VALUE"""),"Snacks")</f>
        <v>Snacks</v>
      </c>
    </row>
    <row r="137">
      <c r="A137" s="23">
        <f>IFERROR(__xludf.DUMMYFUNCTION("""COMPUTED_VALUE"""),44734.86800134259)</f>
        <v>44734.868</v>
      </c>
      <c r="B137" s="24" t="str">
        <f>IFERROR(__xludf.DUMMYFUNCTION("""COMPUTED_VALUE"""),"Claire")</f>
        <v>Claire</v>
      </c>
      <c r="C137" s="24">
        <f>IFERROR(__xludf.DUMMYFUNCTION("""COMPUTED_VALUE"""),-4.0)</f>
        <v>-4</v>
      </c>
      <c r="D137" s="24" t="str">
        <f>IFERROR(__xludf.DUMMYFUNCTION("""COMPUTED_VALUE"""),"F6")</f>
        <v>F6</v>
      </c>
      <c r="F137" s="23">
        <f>IFERROR(__xludf.DUMMYFUNCTION("""COMPUTED_VALUE"""),44730.0)</f>
        <v>44730</v>
      </c>
      <c r="G137" s="24" t="str">
        <f>IFERROR(__xludf.DUMMYFUNCTION("""COMPUTED_VALUE"""),"Claire")</f>
        <v>Claire</v>
      </c>
      <c r="H137" s="24">
        <f>IFERROR(__xludf.DUMMYFUNCTION("""COMPUTED_VALUE"""),492.0)</f>
        <v>492</v>
      </c>
      <c r="I137" s="24" t="str">
        <f>IFERROR(__xludf.DUMMYFUNCTION("""COMPUTED_VALUE"""),"Pasta")</f>
        <v>Pasta</v>
      </c>
    </row>
    <row r="138">
      <c r="A138" s="23">
        <f>IFERROR(__xludf.DUMMYFUNCTION("""COMPUTED_VALUE"""),44734.871004745364)</f>
        <v>44734.871</v>
      </c>
      <c r="B138" s="24" t="str">
        <f>IFERROR(__xludf.DUMMYFUNCTION("""COMPUTED_VALUE"""),"Claire")</f>
        <v>Claire</v>
      </c>
      <c r="C138" s="24">
        <f>IFERROR(__xludf.DUMMYFUNCTION("""COMPUTED_VALUE"""),124.0)</f>
        <v>124</v>
      </c>
      <c r="D138" s="24" t="str">
        <f>IFERROR(__xludf.DUMMYFUNCTION("""COMPUTED_VALUE"""),"F6")</f>
        <v>F6</v>
      </c>
      <c r="F138" s="23">
        <f>IFERROR(__xludf.DUMMYFUNCTION("""COMPUTED_VALUE"""),44730.0)</f>
        <v>44730</v>
      </c>
      <c r="G138" s="24" t="str">
        <f>IFERROR(__xludf.DUMMYFUNCTION("""COMPUTED_VALUE"""),"Claire")</f>
        <v>Claire</v>
      </c>
      <c r="H138" s="24">
        <f>IFERROR(__xludf.DUMMYFUNCTION("""COMPUTED_VALUE"""),210.0)</f>
        <v>210</v>
      </c>
      <c r="I138" s="24" t="str">
        <f>IFERROR(__xludf.DUMMYFUNCTION("""COMPUTED_VALUE"""),"Paper Products")</f>
        <v>Paper Products</v>
      </c>
    </row>
    <row r="139">
      <c r="A139" s="23">
        <f>IFERROR(__xludf.DUMMYFUNCTION("""COMPUTED_VALUE"""),44734.871539629625)</f>
        <v>44734.87154</v>
      </c>
      <c r="B139" s="24" t="str">
        <f>IFERROR(__xludf.DUMMYFUNCTION("""COMPUTED_VALUE"""),"Claire")</f>
        <v>Claire</v>
      </c>
      <c r="C139" s="24">
        <f>IFERROR(__xludf.DUMMYFUNCTION("""COMPUTED_VALUE"""),376.0)</f>
        <v>376</v>
      </c>
      <c r="D139" s="24" t="str">
        <f>IFERROR(__xludf.DUMMYFUNCTION("""COMPUTED_VALUE"""),"XX (Freezer truck)")</f>
        <v>XX (Freezer truck)</v>
      </c>
      <c r="F139" s="23">
        <f>IFERROR(__xludf.DUMMYFUNCTION("""COMPUTED_VALUE"""),44730.0)</f>
        <v>44730</v>
      </c>
      <c r="G139" s="24" t="str">
        <f>IFERROR(__xludf.DUMMYFUNCTION("""COMPUTED_VALUE"""),"Claire")</f>
        <v>Claire</v>
      </c>
      <c r="H139" s="24">
        <f>IFERROR(__xludf.DUMMYFUNCTION("""COMPUTED_VALUE"""),122.0)</f>
        <v>122</v>
      </c>
      <c r="I139" s="24" t="str">
        <f>IFERROR(__xludf.DUMMYFUNCTION("""COMPUTED_VALUE"""),"OXO")</f>
        <v>OXO</v>
      </c>
    </row>
    <row r="140">
      <c r="A140" s="23">
        <f>IFERROR(__xludf.DUMMYFUNCTION("""COMPUTED_VALUE"""),44735.857985173614)</f>
        <v>44735.85799</v>
      </c>
      <c r="B140" s="24" t="str">
        <f>IFERROR(__xludf.DUMMYFUNCTION("""COMPUTED_VALUE"""),"Claire")</f>
        <v>Claire</v>
      </c>
      <c r="C140" s="24">
        <f>IFERROR(__xludf.DUMMYFUNCTION("""COMPUTED_VALUE"""),62.0)</f>
        <v>62</v>
      </c>
      <c r="D140" s="24" t="str">
        <f>IFERROR(__xludf.DUMMYFUNCTION("""COMPUTED_VALUE"""),"M5")</f>
        <v>M5</v>
      </c>
      <c r="F140" s="23">
        <f>IFERROR(__xludf.DUMMYFUNCTION("""COMPUTED_VALUE"""),44730.0)</f>
        <v>44730</v>
      </c>
      <c r="G140" s="24" t="str">
        <f>IFERROR(__xludf.DUMMYFUNCTION("""COMPUTED_VALUE"""),"Claire")</f>
        <v>Claire</v>
      </c>
      <c r="H140" s="24">
        <f>IFERROR(__xludf.DUMMYFUNCTION("""COMPUTED_VALUE"""),171.0)</f>
        <v>171</v>
      </c>
      <c r="I140" s="24" t="str">
        <f>IFERROR(__xludf.DUMMYFUNCTION("""COMPUTED_VALUE"""),"Paper Products")</f>
        <v>Paper Products</v>
      </c>
    </row>
    <row r="141">
      <c r="A141" s="23">
        <f>IFERROR(__xludf.DUMMYFUNCTION("""COMPUTED_VALUE"""),44735.85841168981)</f>
        <v>44735.85841</v>
      </c>
      <c r="B141" s="24" t="str">
        <f>IFERROR(__xludf.DUMMYFUNCTION("""COMPUTED_VALUE"""),"Claire")</f>
        <v>Claire</v>
      </c>
      <c r="C141" s="24">
        <f>IFERROR(__xludf.DUMMYFUNCTION("""COMPUTED_VALUE"""),282.0)</f>
        <v>282</v>
      </c>
      <c r="D141" s="24" t="str">
        <f>IFERROR(__xludf.DUMMYFUNCTION("""COMPUTED_VALUE"""),"F3")</f>
        <v>F3</v>
      </c>
      <c r="F141" s="23">
        <f>IFERROR(__xludf.DUMMYFUNCTION("""COMPUTED_VALUE"""),44730.0)</f>
        <v>44730</v>
      </c>
      <c r="G141" s="24" t="str">
        <f>IFERROR(__xludf.DUMMYFUNCTION("""COMPUTED_VALUE"""),"Claire")</f>
        <v>Claire</v>
      </c>
      <c r="H141" s="24">
        <f>IFERROR(__xludf.DUMMYFUNCTION("""COMPUTED_VALUE"""),634.0)</f>
        <v>634</v>
      </c>
      <c r="I141" s="24" t="str">
        <f>IFERROR(__xludf.DUMMYFUNCTION("""COMPUTED_VALUE"""),"Broth")</f>
        <v>Broth</v>
      </c>
    </row>
    <row r="142">
      <c r="A142" s="23">
        <f>IFERROR(__xludf.DUMMYFUNCTION("""COMPUTED_VALUE"""),44735.85861045139)</f>
        <v>44735.85861</v>
      </c>
      <c r="B142" s="24" t="str">
        <f>IFERROR(__xludf.DUMMYFUNCTION("""COMPUTED_VALUE"""),"Claire")</f>
        <v>Claire</v>
      </c>
      <c r="C142" s="24">
        <f>IFERROR(__xludf.DUMMYFUNCTION("""COMPUTED_VALUE"""),179.0)</f>
        <v>179</v>
      </c>
      <c r="D142" s="24" t="str">
        <f>IFERROR(__xludf.DUMMYFUNCTION("""COMPUTED_VALUE"""),"D2")</f>
        <v>D2</v>
      </c>
      <c r="F142" s="23">
        <f>IFERROR(__xludf.DUMMYFUNCTION("""COMPUTED_VALUE"""),44730.0)</f>
        <v>44730</v>
      </c>
      <c r="G142" s="24" t="str">
        <f>IFERROR(__xludf.DUMMYFUNCTION("""COMPUTED_VALUE"""),"Claire")</f>
        <v>Claire</v>
      </c>
      <c r="H142" s="24">
        <f>IFERROR(__xludf.DUMMYFUNCTION("""COMPUTED_VALUE"""),916.0)</f>
        <v>916</v>
      </c>
      <c r="I142" s="24" t="str">
        <f>IFERROR(__xludf.DUMMYFUNCTION("""COMPUTED_VALUE"""),"Vinegar")</f>
        <v>Vinegar</v>
      </c>
    </row>
    <row r="143">
      <c r="A143" s="23">
        <f>IFERROR(__xludf.DUMMYFUNCTION("""COMPUTED_VALUE"""),44735.85919534722)</f>
        <v>44735.8592</v>
      </c>
      <c r="B143" s="24" t="str">
        <f>IFERROR(__xludf.DUMMYFUNCTION("""COMPUTED_VALUE"""),"Claire")</f>
        <v>Claire</v>
      </c>
      <c r="C143" s="24">
        <f>IFERROR(__xludf.DUMMYFUNCTION("""COMPUTED_VALUE"""),174.0)</f>
        <v>174</v>
      </c>
      <c r="D143" s="24" t="str">
        <f>IFERROR(__xludf.DUMMYFUNCTION("""COMPUTED_VALUE"""),"C4")</f>
        <v>C4</v>
      </c>
      <c r="F143" s="23">
        <f>IFERROR(__xludf.DUMMYFUNCTION("""COMPUTED_VALUE"""),44730.0)</f>
        <v>44730</v>
      </c>
      <c r="G143" s="24" t="str">
        <f>IFERROR(__xludf.DUMMYFUNCTION("""COMPUTED_VALUE"""),"Claire")</f>
        <v>Claire</v>
      </c>
      <c r="H143" s="24">
        <f>IFERROR(__xludf.DUMMYFUNCTION("""COMPUTED_VALUE"""),716.0)</f>
        <v>716</v>
      </c>
      <c r="I143" s="24" t="str">
        <f>IFERROR(__xludf.DUMMYFUNCTION("""COMPUTED_VALUE"""),"Cleaning")</f>
        <v>Cleaning</v>
      </c>
    </row>
    <row r="144">
      <c r="A144" s="23">
        <f>IFERROR(__xludf.DUMMYFUNCTION("""COMPUTED_VALUE"""),44735.85968665509)</f>
        <v>44735.85969</v>
      </c>
      <c r="B144" s="24" t="str">
        <f>IFERROR(__xludf.DUMMYFUNCTION("""COMPUTED_VALUE"""),"Claire")</f>
        <v>Claire</v>
      </c>
      <c r="C144" s="24">
        <f>IFERROR(__xludf.DUMMYFUNCTION("""COMPUTED_VALUE"""),11.0)</f>
        <v>11</v>
      </c>
      <c r="D144" s="24" t="str">
        <f>IFERROR(__xludf.DUMMYFUNCTION("""COMPUTED_VALUE"""),"O4")</f>
        <v>O4</v>
      </c>
      <c r="F144" s="23">
        <f>IFERROR(__xludf.DUMMYFUNCTION("""COMPUTED_VALUE"""),44730.0)</f>
        <v>44730</v>
      </c>
      <c r="G144" s="24" t="str">
        <f>IFERROR(__xludf.DUMMYFUNCTION("""COMPUTED_VALUE"""),"Claire")</f>
        <v>Claire</v>
      </c>
      <c r="H144" s="24">
        <f>IFERROR(__xludf.DUMMYFUNCTION("""COMPUTED_VALUE"""),736.0)</f>
        <v>736</v>
      </c>
      <c r="I144" s="24" t="str">
        <f>IFERROR(__xludf.DUMMYFUNCTION("""COMPUTED_VALUE"""),"Cleaning")</f>
        <v>Cleaning</v>
      </c>
    </row>
    <row r="145">
      <c r="A145" s="23">
        <f>IFERROR(__xludf.DUMMYFUNCTION("""COMPUTED_VALUE"""),44735.859962870374)</f>
        <v>44735.85996</v>
      </c>
      <c r="B145" s="24" t="str">
        <f>IFERROR(__xludf.DUMMYFUNCTION("""COMPUTED_VALUE"""),"Claire")</f>
        <v>Claire</v>
      </c>
      <c r="C145" s="24">
        <f>IFERROR(__xludf.DUMMYFUNCTION("""COMPUTED_VALUE"""),18.0)</f>
        <v>18</v>
      </c>
      <c r="D145" s="24" t="str">
        <f>IFERROR(__xludf.DUMMYFUNCTION("""COMPUTED_VALUE"""),"P3")</f>
        <v>P3</v>
      </c>
      <c r="F145" s="23">
        <f>IFERROR(__xludf.DUMMYFUNCTION("""COMPUTED_VALUE"""),44730.0)</f>
        <v>44730</v>
      </c>
      <c r="G145" s="24" t="str">
        <f>IFERROR(__xludf.DUMMYFUNCTION("""COMPUTED_VALUE"""),"Claire")</f>
        <v>Claire</v>
      </c>
      <c r="H145" s="24">
        <f>IFERROR(__xludf.DUMMYFUNCTION("""COMPUTED_VALUE"""),206.0)</f>
        <v>206</v>
      </c>
      <c r="I145" s="24" t="str">
        <f>IFERROR(__xludf.DUMMYFUNCTION("""COMPUTED_VALUE"""),"paper Products")</f>
        <v>paper Products</v>
      </c>
    </row>
    <row r="146">
      <c r="A146" s="23">
        <f>IFERROR(__xludf.DUMMYFUNCTION("""COMPUTED_VALUE"""),44735.86027243055)</f>
        <v>44735.86027</v>
      </c>
      <c r="B146" s="24" t="str">
        <f>IFERROR(__xludf.DUMMYFUNCTION("""COMPUTED_VALUE"""),"Claire")</f>
        <v>Claire</v>
      </c>
      <c r="C146" s="24">
        <f>IFERROR(__xludf.DUMMYFUNCTION("""COMPUTED_VALUE"""),9.0)</f>
        <v>9</v>
      </c>
      <c r="D146" s="24" t="str">
        <f>IFERROR(__xludf.DUMMYFUNCTION("""COMPUTED_VALUE"""),"O3")</f>
        <v>O3</v>
      </c>
      <c r="F146" s="23">
        <f>IFERROR(__xludf.DUMMYFUNCTION("""COMPUTED_VALUE"""),44730.0)</f>
        <v>44730</v>
      </c>
      <c r="G146" s="24" t="str">
        <f>IFERROR(__xludf.DUMMYFUNCTION("""COMPUTED_VALUE"""),"Claire")</f>
        <v>Claire</v>
      </c>
      <c r="H146" s="24">
        <f>IFERROR(__xludf.DUMMYFUNCTION("""COMPUTED_VALUE"""),478.0)</f>
        <v>478</v>
      </c>
      <c r="I146" s="24" t="str">
        <f>IFERROR(__xludf.DUMMYFUNCTION("""COMPUTED_VALUE"""),"Frozen")</f>
        <v>Frozen</v>
      </c>
    </row>
    <row r="147">
      <c r="A147" s="23">
        <f>IFERROR(__xludf.DUMMYFUNCTION("""COMPUTED_VALUE"""),44735.86088212963)</f>
        <v>44735.86088</v>
      </c>
      <c r="B147" s="24" t="str">
        <f>IFERROR(__xludf.DUMMYFUNCTION("""COMPUTED_VALUE"""),"Claire")</f>
        <v>Claire</v>
      </c>
      <c r="C147" s="24">
        <f>IFERROR(__xludf.DUMMYFUNCTION("""COMPUTED_VALUE"""),16.0)</f>
        <v>16</v>
      </c>
      <c r="D147" s="24" t="str">
        <f>IFERROR(__xludf.DUMMYFUNCTION("""COMPUTED_VALUE"""),"P5")</f>
        <v>P5</v>
      </c>
      <c r="F147" s="23">
        <f>IFERROR(__xludf.DUMMYFUNCTION("""COMPUTED_VALUE"""),44730.0)</f>
        <v>44730</v>
      </c>
      <c r="G147" s="24" t="str">
        <f>IFERROR(__xludf.DUMMYFUNCTION("""COMPUTED_VALUE"""),"Claire")</f>
        <v>Claire</v>
      </c>
      <c r="H147" s="24">
        <f>IFERROR(__xludf.DUMMYFUNCTION("""COMPUTED_VALUE"""),586.0)</f>
        <v>586</v>
      </c>
      <c r="I147" s="24" t="str">
        <f>IFERROR(__xludf.DUMMYFUNCTION("""COMPUTED_VALUE"""),"Chicken")</f>
        <v>Chicken</v>
      </c>
    </row>
    <row r="148">
      <c r="A148" s="23">
        <f>IFERROR(__xludf.DUMMYFUNCTION("""COMPUTED_VALUE"""),44735.86237101852)</f>
        <v>44735.86237</v>
      </c>
      <c r="B148" s="24" t="str">
        <f>IFERROR(__xludf.DUMMYFUNCTION("""COMPUTED_VALUE"""),"Claire")</f>
        <v>Claire</v>
      </c>
      <c r="C148" s="24">
        <f>IFERROR(__xludf.DUMMYFUNCTION("""COMPUTED_VALUE"""),81.0)</f>
        <v>81</v>
      </c>
      <c r="D148" s="24" t="str">
        <f>IFERROR(__xludf.DUMMYFUNCTION("""COMPUTED_VALUE"""),"H4")</f>
        <v>H4</v>
      </c>
      <c r="F148" s="23">
        <f>IFERROR(__xludf.DUMMYFUNCTION("""COMPUTED_VALUE"""),44730.0)</f>
        <v>44730</v>
      </c>
      <c r="G148" s="24" t="str">
        <f>IFERROR(__xludf.DUMMYFUNCTION("""COMPUTED_VALUE"""),"Claire")</f>
        <v>Claire</v>
      </c>
      <c r="H148" s="24">
        <f>IFERROR(__xludf.DUMMYFUNCTION("""COMPUTED_VALUE"""),240.0)</f>
        <v>240</v>
      </c>
      <c r="I148" s="24" t="str">
        <f>IFERROR(__xludf.DUMMYFUNCTION("""COMPUTED_VALUE"""),"Shrimp")</f>
        <v>Shrimp</v>
      </c>
    </row>
    <row r="149">
      <c r="A149" s="23">
        <f>IFERROR(__xludf.DUMMYFUNCTION("""COMPUTED_VALUE"""),44735.863220196756)</f>
        <v>44735.86322</v>
      </c>
      <c r="B149" s="24" t="str">
        <f>IFERROR(__xludf.DUMMYFUNCTION("""COMPUTED_VALUE"""),"Claire")</f>
        <v>Claire</v>
      </c>
      <c r="C149" s="24">
        <f>IFERROR(__xludf.DUMMYFUNCTION("""COMPUTED_VALUE"""),204.0)</f>
        <v>204</v>
      </c>
      <c r="D149" s="24" t="str">
        <f>IFERROR(__xludf.DUMMYFUNCTION("""COMPUTED_VALUE"""),"L8")</f>
        <v>L8</v>
      </c>
      <c r="F149" s="23">
        <f>IFERROR(__xludf.DUMMYFUNCTION("""COMPUTED_VALUE"""),44730.0)</f>
        <v>44730</v>
      </c>
      <c r="G149" s="24" t="str">
        <f>IFERROR(__xludf.DUMMYFUNCTION("""COMPUTED_VALUE"""),"Claire")</f>
        <v>Claire</v>
      </c>
      <c r="H149" s="24">
        <f>IFERROR(__xludf.DUMMYFUNCTION("""COMPUTED_VALUE"""),285.0)</f>
        <v>285</v>
      </c>
      <c r="I149" s="24" t="str">
        <f>IFERROR(__xludf.DUMMYFUNCTION("""COMPUTED_VALUE"""),"Frozen")</f>
        <v>Frozen</v>
      </c>
    </row>
    <row r="150">
      <c r="A150" s="23">
        <f>IFERROR(__xludf.DUMMYFUNCTION("""COMPUTED_VALUE"""),44735.863699849535)</f>
        <v>44735.8637</v>
      </c>
      <c r="B150" s="24" t="str">
        <f>IFERROR(__xludf.DUMMYFUNCTION("""COMPUTED_VALUE"""),"Claire")</f>
        <v>Claire</v>
      </c>
      <c r="C150" s="24">
        <f>IFERROR(__xludf.DUMMYFUNCTION("""COMPUTED_VALUE"""),48.0)</f>
        <v>48</v>
      </c>
      <c r="D150" s="24" t="str">
        <f>IFERROR(__xludf.DUMMYFUNCTION("""COMPUTED_VALUE"""),"C3")</f>
        <v>C3</v>
      </c>
      <c r="F150" s="23">
        <f>IFERROR(__xludf.DUMMYFUNCTION("""COMPUTED_VALUE"""),44730.0)</f>
        <v>44730</v>
      </c>
      <c r="G150" s="24" t="str">
        <f>IFERROR(__xludf.DUMMYFUNCTION("""COMPUTED_VALUE"""),"Claire")</f>
        <v>Claire</v>
      </c>
      <c r="H150" s="24">
        <f>IFERROR(__xludf.DUMMYFUNCTION("""COMPUTED_VALUE"""),400.0)</f>
        <v>400</v>
      </c>
      <c r="I150" s="24" t="str">
        <f>IFERROR(__xludf.DUMMYFUNCTION("""COMPUTED_VALUE"""),"Assorted")</f>
        <v>Assorted</v>
      </c>
    </row>
    <row r="151">
      <c r="A151" s="23">
        <f>IFERROR(__xludf.DUMMYFUNCTION("""COMPUTED_VALUE"""),44735.864744976854)</f>
        <v>44735.86474</v>
      </c>
      <c r="B151" s="24" t="str">
        <f>IFERROR(__xludf.DUMMYFUNCTION("""COMPUTED_VALUE"""),"Claire")</f>
        <v>Claire</v>
      </c>
      <c r="C151" s="24">
        <f>IFERROR(__xludf.DUMMYFUNCTION("""COMPUTED_VALUE"""),-545.0)</f>
        <v>-545</v>
      </c>
      <c r="D151" s="24" t="str">
        <f>IFERROR(__xludf.DUMMYFUNCTION("""COMPUTED_VALUE"""),"L8")</f>
        <v>L8</v>
      </c>
      <c r="F151" s="23">
        <f>IFERROR(__xludf.DUMMYFUNCTION("""COMPUTED_VALUE"""),44730.0)</f>
        <v>44730</v>
      </c>
      <c r="G151" s="24" t="str">
        <f>IFERROR(__xludf.DUMMYFUNCTION("""COMPUTED_VALUE"""),"Claire")</f>
        <v>Claire</v>
      </c>
      <c r="H151" s="24">
        <f>IFERROR(__xludf.DUMMYFUNCTION("""COMPUTED_VALUE"""),-397.0)</f>
        <v>-397</v>
      </c>
      <c r="I151" s="24" t="str">
        <f>IFERROR(__xludf.DUMMYFUNCTION("""COMPUTED_VALUE"""),"Frozen")</f>
        <v>Frozen</v>
      </c>
    </row>
    <row r="152">
      <c r="A152" s="23">
        <f>IFERROR(__xludf.DUMMYFUNCTION("""COMPUTED_VALUE"""),44735.865879537036)</f>
        <v>44735.86588</v>
      </c>
      <c r="B152" s="24" t="str">
        <f>IFERROR(__xludf.DUMMYFUNCTION("""COMPUTED_VALUE"""),"Claire")</f>
        <v>Claire</v>
      </c>
      <c r="C152" s="24">
        <f>IFERROR(__xludf.DUMMYFUNCTION("""COMPUTED_VALUE"""),543.0)</f>
        <v>543</v>
      </c>
      <c r="D152" s="24" t="str">
        <f>IFERROR(__xludf.DUMMYFUNCTION("""COMPUTED_VALUE"""),"L8")</f>
        <v>L8</v>
      </c>
      <c r="F152" s="23">
        <f>IFERROR(__xludf.DUMMYFUNCTION("""COMPUTED_VALUE"""),44730.0)</f>
        <v>44730</v>
      </c>
      <c r="G152" s="24" t="str">
        <f>IFERROR(__xludf.DUMMYFUNCTION("""COMPUTED_VALUE"""),"Claire")</f>
        <v>Claire</v>
      </c>
      <c r="H152" s="24">
        <f>IFERROR(__xludf.DUMMYFUNCTION("""COMPUTED_VALUE"""),-385.0)</f>
        <v>-385</v>
      </c>
      <c r="I152" s="24" t="str">
        <f>IFERROR(__xludf.DUMMYFUNCTION("""COMPUTED_VALUE"""),"Drinks")</f>
        <v>Drinks</v>
      </c>
    </row>
    <row r="153">
      <c r="A153" s="23">
        <f>IFERROR(__xludf.DUMMYFUNCTION("""COMPUTED_VALUE"""),44735.86614731482)</f>
        <v>44735.86615</v>
      </c>
      <c r="B153" s="24" t="str">
        <f>IFERROR(__xludf.DUMMYFUNCTION("""COMPUTED_VALUE"""),"Claire")</f>
        <v>Claire</v>
      </c>
      <c r="C153" s="24">
        <f>IFERROR(__xludf.DUMMYFUNCTION("""COMPUTED_VALUE"""),106.0)</f>
        <v>106</v>
      </c>
      <c r="D153" s="24" t="str">
        <f>IFERROR(__xludf.DUMMYFUNCTION("""COMPUTED_VALUE"""),"N2")</f>
        <v>N2</v>
      </c>
      <c r="F153" s="23">
        <f>IFERROR(__xludf.DUMMYFUNCTION("""COMPUTED_VALUE"""),44730.0)</f>
        <v>44730</v>
      </c>
      <c r="G153" s="24" t="str">
        <f>IFERROR(__xludf.DUMMYFUNCTION("""COMPUTED_VALUE"""),"Claire")</f>
        <v>Claire</v>
      </c>
      <c r="H153" s="24">
        <f>IFERROR(__xludf.DUMMYFUNCTION("""COMPUTED_VALUE"""),-694.0)</f>
        <v>-694</v>
      </c>
      <c r="I153" s="24" t="str">
        <f>IFERROR(__xludf.DUMMYFUNCTION("""COMPUTED_VALUE"""),"Drinks &amp; oil")</f>
        <v>Drinks &amp; oil</v>
      </c>
    </row>
    <row r="154">
      <c r="A154" s="23">
        <f>IFERROR(__xludf.DUMMYFUNCTION("""COMPUTED_VALUE"""),44735.867122777774)</f>
        <v>44735.86712</v>
      </c>
      <c r="B154" s="24" t="str">
        <f>IFERROR(__xludf.DUMMYFUNCTION("""COMPUTED_VALUE"""),"Claire")</f>
        <v>Claire</v>
      </c>
      <c r="C154" s="24">
        <f>IFERROR(__xludf.DUMMYFUNCTION("""COMPUTED_VALUE"""),199.0)</f>
        <v>199</v>
      </c>
      <c r="D154" s="24" t="str">
        <f>IFERROR(__xludf.DUMMYFUNCTION("""COMPUTED_VALUE"""),"N5")</f>
        <v>N5</v>
      </c>
      <c r="F154" s="23">
        <f>IFERROR(__xludf.DUMMYFUNCTION("""COMPUTED_VALUE"""),44730.0)</f>
        <v>44730</v>
      </c>
      <c r="G154" s="24" t="str">
        <f>IFERROR(__xludf.DUMMYFUNCTION("""COMPUTED_VALUE"""),"Claire")</f>
        <v>Claire</v>
      </c>
      <c r="H154" s="24">
        <f>IFERROR(__xludf.DUMMYFUNCTION("""COMPUTED_VALUE"""),-232.0)</f>
        <v>-232</v>
      </c>
      <c r="I154" s="24" t="str">
        <f>IFERROR(__xludf.DUMMYFUNCTION("""COMPUTED_VALUE"""),"Snacks")</f>
        <v>Snacks</v>
      </c>
    </row>
    <row r="155">
      <c r="A155" s="23">
        <f>IFERROR(__xludf.DUMMYFUNCTION("""COMPUTED_VALUE"""),44735.86916564815)</f>
        <v>44735.86917</v>
      </c>
      <c r="B155" s="24" t="str">
        <f>IFERROR(__xludf.DUMMYFUNCTION("""COMPUTED_VALUE"""),"Claire")</f>
        <v>Claire</v>
      </c>
      <c r="C155" s="24">
        <f>IFERROR(__xludf.DUMMYFUNCTION("""COMPUTED_VALUE"""),92.0)</f>
        <v>92</v>
      </c>
      <c r="D155" s="24" t="str">
        <f>IFERROR(__xludf.DUMMYFUNCTION("""COMPUTED_VALUE"""),"P2")</f>
        <v>P2</v>
      </c>
      <c r="F155" s="23">
        <f>IFERROR(__xludf.DUMMYFUNCTION("""COMPUTED_VALUE"""),44730.0)</f>
        <v>44730</v>
      </c>
      <c r="G155" s="24" t="str">
        <f>IFERROR(__xludf.DUMMYFUNCTION("""COMPUTED_VALUE"""),"Claire")</f>
        <v>Claire</v>
      </c>
      <c r="H155" s="24">
        <f>IFERROR(__xludf.DUMMYFUNCTION("""COMPUTED_VALUE"""),-344.0)</f>
        <v>-344</v>
      </c>
      <c r="I155" s="24" t="str">
        <f>IFERROR(__xludf.DUMMYFUNCTION("""COMPUTED_VALUE"""),"Pasta")</f>
        <v>Pasta</v>
      </c>
    </row>
    <row r="156">
      <c r="A156" s="23">
        <f>IFERROR(__xludf.DUMMYFUNCTION("""COMPUTED_VALUE"""),44735.86944672454)</f>
        <v>44735.86945</v>
      </c>
      <c r="B156" s="24" t="str">
        <f>IFERROR(__xludf.DUMMYFUNCTION("""COMPUTED_VALUE"""),"Claire")</f>
        <v>Claire</v>
      </c>
      <c r="C156" s="24">
        <f>IFERROR(__xludf.DUMMYFUNCTION("""COMPUTED_VALUE"""),79.0)</f>
        <v>79</v>
      </c>
      <c r="D156" s="24" t="str">
        <f>IFERROR(__xludf.DUMMYFUNCTION("""COMPUTED_VALUE"""),"I3")</f>
        <v>I3</v>
      </c>
      <c r="F156" s="23">
        <f>IFERROR(__xludf.DUMMYFUNCTION("""COMPUTED_VALUE"""),44730.0)</f>
        <v>44730</v>
      </c>
      <c r="G156" s="24" t="str">
        <f>IFERROR(__xludf.DUMMYFUNCTION("""COMPUTED_VALUE"""),"Claire")</f>
        <v>Claire</v>
      </c>
      <c r="H156" s="24">
        <f>IFERROR(__xludf.DUMMYFUNCTION("""COMPUTED_VALUE"""),-317.0)</f>
        <v>-317</v>
      </c>
      <c r="I156" s="24" t="str">
        <f>IFERROR(__xludf.DUMMYFUNCTION("""COMPUTED_VALUE"""),"Vinegar")</f>
        <v>Vinegar</v>
      </c>
    </row>
    <row r="157">
      <c r="A157" s="23">
        <f>IFERROR(__xludf.DUMMYFUNCTION("""COMPUTED_VALUE"""),44735.8697460301)</f>
        <v>44735.86975</v>
      </c>
      <c r="B157" s="24" t="str">
        <f>IFERROR(__xludf.DUMMYFUNCTION("""COMPUTED_VALUE"""),"Claire")</f>
        <v>Claire</v>
      </c>
      <c r="C157" s="24">
        <f>IFERROR(__xludf.DUMMYFUNCTION("""COMPUTED_VALUE"""),40.0)</f>
        <v>40</v>
      </c>
      <c r="D157" s="24" t="str">
        <f>IFERROR(__xludf.DUMMYFUNCTION("""COMPUTED_VALUE"""),"M3")</f>
        <v>M3</v>
      </c>
      <c r="F157" s="23">
        <f>IFERROR(__xludf.DUMMYFUNCTION("""COMPUTED_VALUE"""),44730.0)</f>
        <v>44730</v>
      </c>
      <c r="G157" s="24" t="str">
        <f>IFERROR(__xludf.DUMMYFUNCTION("""COMPUTED_VALUE"""),"Claire")</f>
        <v>Claire</v>
      </c>
      <c r="H157" s="24">
        <f>IFERROR(__xludf.DUMMYFUNCTION("""COMPUTED_VALUE"""),-368.0)</f>
        <v>-368</v>
      </c>
      <c r="I157" s="24" t="str">
        <f>IFERROR(__xludf.DUMMYFUNCTION("""COMPUTED_VALUE"""),"Broth")</f>
        <v>Broth</v>
      </c>
    </row>
    <row r="158">
      <c r="A158" s="23">
        <f>IFERROR(__xludf.DUMMYFUNCTION("""COMPUTED_VALUE"""),44735.8701296875)</f>
        <v>44735.87013</v>
      </c>
      <c r="B158" s="24" t="str">
        <f>IFERROR(__xludf.DUMMYFUNCTION("""COMPUTED_VALUE"""),"Claire")</f>
        <v>Claire</v>
      </c>
      <c r="C158" s="24">
        <f>IFERROR(__xludf.DUMMYFUNCTION("""COMPUTED_VALUE"""),71.0)</f>
        <v>71</v>
      </c>
      <c r="D158" s="24" t="str">
        <f>IFERROR(__xludf.DUMMYFUNCTION("""COMPUTED_VALUE"""),"N3")</f>
        <v>N3</v>
      </c>
      <c r="F158" s="23">
        <f>IFERROR(__xludf.DUMMYFUNCTION("""COMPUTED_VALUE"""),44730.0)</f>
        <v>44730</v>
      </c>
      <c r="G158" s="24" t="str">
        <f>IFERROR(__xludf.DUMMYFUNCTION("""COMPUTED_VALUE"""),"Claire")</f>
        <v>Claire</v>
      </c>
      <c r="H158" s="24">
        <f>IFERROR(__xludf.DUMMYFUNCTION("""COMPUTED_VALUE"""),-32.0)</f>
        <v>-32</v>
      </c>
      <c r="I158" s="24" t="str">
        <f>IFERROR(__xludf.DUMMYFUNCTION("""COMPUTED_VALUE"""),"OXO")</f>
        <v>OXO</v>
      </c>
    </row>
    <row r="159">
      <c r="A159" s="23">
        <f>IFERROR(__xludf.DUMMYFUNCTION("""COMPUTED_VALUE"""),44736.675863969904)</f>
        <v>44736.67586</v>
      </c>
      <c r="B159" s="24" t="str">
        <f>IFERROR(__xludf.DUMMYFUNCTION("""COMPUTED_VALUE"""),"Claire")</f>
        <v>Claire</v>
      </c>
      <c r="C159" s="24">
        <f>IFERROR(__xludf.DUMMYFUNCTION("""COMPUTED_VALUE"""),1139.0)</f>
        <v>1139</v>
      </c>
      <c r="D159" s="24" t="str">
        <f>IFERROR(__xludf.DUMMYFUNCTION("""COMPUTED_VALUE"""),"XX")</f>
        <v>XX</v>
      </c>
      <c r="F159" s="23">
        <f>IFERROR(__xludf.DUMMYFUNCTION("""COMPUTED_VALUE"""),44730.0)</f>
        <v>44730</v>
      </c>
      <c r="G159" s="24" t="str">
        <f>IFERROR(__xludf.DUMMYFUNCTION("""COMPUTED_VALUE"""),"Claire")</f>
        <v>Claire</v>
      </c>
      <c r="H159" s="24">
        <f>IFERROR(__xludf.DUMMYFUNCTION("""COMPUTED_VALUE"""),-44.0)</f>
        <v>-44</v>
      </c>
      <c r="I159" s="24" t="str">
        <f>IFERROR(__xludf.DUMMYFUNCTION("""COMPUTED_VALUE"""),"Paper Towels")</f>
        <v>Paper Towels</v>
      </c>
    </row>
    <row r="160">
      <c r="A160" s="23">
        <f>IFERROR(__xludf.DUMMYFUNCTION("""COMPUTED_VALUE"""),44736.676042754625)</f>
        <v>44736.67604</v>
      </c>
      <c r="B160" s="24" t="str">
        <f>IFERROR(__xludf.DUMMYFUNCTION("""COMPUTED_VALUE"""),"Claire")</f>
        <v>Claire</v>
      </c>
      <c r="C160" s="24">
        <f>IFERROR(__xludf.DUMMYFUNCTION("""COMPUTED_VALUE"""),-31.0)</f>
        <v>-31</v>
      </c>
      <c r="D160" s="24" t="str">
        <f>IFERROR(__xludf.DUMMYFUNCTION("""COMPUTED_VALUE"""),"F3")</f>
        <v>F3</v>
      </c>
      <c r="F160" s="23">
        <f>IFERROR(__xludf.DUMMYFUNCTION("""COMPUTED_VALUE"""),44730.71332025463)</f>
        <v>44730.71332</v>
      </c>
      <c r="G160" s="24" t="str">
        <f>IFERROR(__xludf.DUMMYFUNCTION("""COMPUTED_VALUE"""),"Deborah claridy ")</f>
        <v>Deborah claridy </v>
      </c>
      <c r="H160" s="24">
        <f>IFERROR(__xludf.DUMMYFUNCTION("""COMPUTED_VALUE"""),10.0)</f>
        <v>10</v>
      </c>
      <c r="I160" s="24"/>
    </row>
    <row r="161">
      <c r="A161" s="23">
        <f>IFERROR(__xludf.DUMMYFUNCTION("""COMPUTED_VALUE"""),44737.0)</f>
        <v>44737</v>
      </c>
      <c r="B161" s="24" t="str">
        <f>IFERROR(__xludf.DUMMYFUNCTION("""COMPUTED_VALUE"""),"Claire")</f>
        <v>Claire</v>
      </c>
      <c r="C161" s="24">
        <f>IFERROR(__xludf.DUMMYFUNCTION("""COMPUTED_VALUE"""),-254.0)</f>
        <v>-254</v>
      </c>
      <c r="D161" s="24" t="str">
        <f>IFERROR(__xludf.DUMMYFUNCTION("""COMPUTED_VALUE"""),"XX")</f>
        <v>XX</v>
      </c>
      <c r="F161" s="23">
        <f>IFERROR(__xludf.DUMMYFUNCTION("""COMPUTED_VALUE"""),44730.714457118054)</f>
        <v>44730.71446</v>
      </c>
      <c r="G161" s="24" t="str">
        <f>IFERROR(__xludf.DUMMYFUNCTION("""COMPUTED_VALUE"""),"Thomas aloisi")</f>
        <v>Thomas aloisi</v>
      </c>
      <c r="H161" s="24">
        <f>IFERROR(__xludf.DUMMYFUNCTION("""COMPUTED_VALUE"""),18.0)</f>
        <v>18</v>
      </c>
      <c r="I161" s="24"/>
    </row>
    <row r="162">
      <c r="A162" s="23">
        <f>IFERROR(__xludf.DUMMYFUNCTION("""COMPUTED_VALUE"""),44737.0)</f>
        <v>44737</v>
      </c>
      <c r="B162" s="24" t="str">
        <f>IFERROR(__xludf.DUMMYFUNCTION("""COMPUTED_VALUE"""),"Claire")</f>
        <v>Claire</v>
      </c>
      <c r="C162" s="24">
        <f>IFERROR(__xludf.DUMMYFUNCTION("""COMPUTED_VALUE"""),323.0)</f>
        <v>323</v>
      </c>
      <c r="D162" s="24" t="str">
        <f>IFERROR(__xludf.DUMMYFUNCTION("""COMPUTED_VALUE"""),"XX")</f>
        <v>XX</v>
      </c>
      <c r="F162" s="23">
        <f>IFERROR(__xludf.DUMMYFUNCTION("""COMPUTED_VALUE"""),44730.71786145834)</f>
        <v>44730.71786</v>
      </c>
      <c r="G162" s="24" t="str">
        <f>IFERROR(__xludf.DUMMYFUNCTION("""COMPUTED_VALUE"""),"Beverly E. Pinn")</f>
        <v>Beverly E. Pinn</v>
      </c>
      <c r="H162" s="24">
        <f>IFERROR(__xludf.DUMMYFUNCTION("""COMPUTED_VALUE"""),14.0)</f>
        <v>14</v>
      </c>
      <c r="I162" s="24"/>
    </row>
    <row r="163">
      <c r="A163" s="23">
        <f>IFERROR(__xludf.DUMMYFUNCTION("""COMPUTED_VALUE"""),44737.0)</f>
        <v>44737</v>
      </c>
      <c r="B163" s="24" t="str">
        <f>IFERROR(__xludf.DUMMYFUNCTION("""COMPUTED_VALUE"""),"Claire")</f>
        <v>Claire</v>
      </c>
      <c r="C163" s="24">
        <f>IFERROR(__xludf.DUMMYFUNCTION("""COMPUTED_VALUE"""),-48.0)</f>
        <v>-48</v>
      </c>
      <c r="D163" s="24" t="str">
        <f>IFERROR(__xludf.DUMMYFUNCTION("""COMPUTED_VALUE"""),"XX")</f>
        <v>XX</v>
      </c>
      <c r="F163" s="23">
        <f>IFERROR(__xludf.DUMMYFUNCTION("""COMPUTED_VALUE"""),44730.7181277662)</f>
        <v>44730.71813</v>
      </c>
      <c r="G163" s="24" t="str">
        <f>IFERROR(__xludf.DUMMYFUNCTION("""COMPUTED_VALUE"""),"Beverly E. Pinn")</f>
        <v>Beverly E. Pinn</v>
      </c>
      <c r="H163" s="24">
        <f>IFERROR(__xludf.DUMMYFUNCTION("""COMPUTED_VALUE"""),2.0)</f>
        <v>2</v>
      </c>
      <c r="I163" s="24"/>
    </row>
    <row r="164">
      <c r="A164" s="23">
        <f>IFERROR(__xludf.DUMMYFUNCTION("""COMPUTED_VALUE"""),44737.0)</f>
        <v>44737</v>
      </c>
      <c r="B164" s="24" t="str">
        <f>IFERROR(__xludf.DUMMYFUNCTION("""COMPUTED_VALUE"""),"Claire")</f>
        <v>Claire</v>
      </c>
      <c r="C164" s="24">
        <f>IFERROR(__xludf.DUMMYFUNCTION("""COMPUTED_VALUE"""),229.0)</f>
        <v>229</v>
      </c>
      <c r="D164" s="24" t="str">
        <f>IFERROR(__xludf.DUMMYFUNCTION("""COMPUTED_VALUE"""),"N4")</f>
        <v>N4</v>
      </c>
      <c r="F164" s="23">
        <f>IFERROR(__xludf.DUMMYFUNCTION("""COMPUTED_VALUE"""),44730.71994586805)</f>
        <v>44730.71995</v>
      </c>
      <c r="G164" s="24" t="str">
        <f>IFERROR(__xludf.DUMMYFUNCTION("""COMPUTED_VALUE"""),"Evelyn jiang")</f>
        <v>Evelyn jiang</v>
      </c>
      <c r="H164" s="24">
        <f>IFERROR(__xludf.DUMMYFUNCTION("""COMPUTED_VALUE"""),19.0)</f>
        <v>19</v>
      </c>
      <c r="I164" s="24"/>
    </row>
    <row r="165">
      <c r="A165" s="23">
        <f>IFERROR(__xludf.DUMMYFUNCTION("""COMPUTED_VALUE"""),44737.551375069444)</f>
        <v>44737.55138</v>
      </c>
      <c r="B165" s="24" t="str">
        <f>IFERROR(__xludf.DUMMYFUNCTION("""COMPUTED_VALUE"""),"Emily")</f>
        <v>Emily</v>
      </c>
      <c r="C165" s="24">
        <f>IFERROR(__xludf.DUMMYFUNCTION("""COMPUTED_VALUE"""),-199.0)</f>
        <v>-199</v>
      </c>
      <c r="D165" s="24" t="str">
        <f>IFERROR(__xludf.DUMMYFUNCTION("""COMPUTED_VALUE"""),"B2")</f>
        <v>B2</v>
      </c>
      <c r="F165" s="23">
        <f>IFERROR(__xludf.DUMMYFUNCTION("""COMPUTED_VALUE"""),44730.72361030093)</f>
        <v>44730.72361</v>
      </c>
      <c r="G165" s="24" t="str">
        <f>IFERROR(__xludf.DUMMYFUNCTION("""COMPUTED_VALUE"""),"nathan")</f>
        <v>nathan</v>
      </c>
      <c r="H165" s="24">
        <f>IFERROR(__xludf.DUMMYFUNCTION("""COMPUTED_VALUE"""),18.0)</f>
        <v>18</v>
      </c>
      <c r="I165" s="24"/>
    </row>
    <row r="166">
      <c r="A166" s="23">
        <f>IFERROR(__xludf.DUMMYFUNCTION("""COMPUTED_VALUE"""),44737.55166452547)</f>
        <v>44737.55166</v>
      </c>
      <c r="B166" s="24" t="str">
        <f>IFERROR(__xludf.DUMMYFUNCTION("""COMPUTED_VALUE"""),"Emily Stucke")</f>
        <v>Emily Stucke</v>
      </c>
      <c r="C166" s="24">
        <f>IFERROR(__xludf.DUMMYFUNCTION("""COMPUTED_VALUE"""),-181.0)</f>
        <v>-181</v>
      </c>
      <c r="D166" s="24" t="str">
        <f>IFERROR(__xludf.DUMMYFUNCTION("""COMPUTED_VALUE"""),"B1")</f>
        <v>B1</v>
      </c>
      <c r="F166" s="23">
        <f>IFERROR(__xludf.DUMMYFUNCTION("""COMPUTED_VALUE"""),44730.72362403935)</f>
        <v>44730.72362</v>
      </c>
      <c r="G166" s="24" t="str">
        <f>IFERROR(__xludf.DUMMYFUNCTION("""COMPUTED_VALUE"""),"Kevin Mischka")</f>
        <v>Kevin Mischka</v>
      </c>
      <c r="H166" s="24">
        <f>IFERROR(__xludf.DUMMYFUNCTION("""COMPUTED_VALUE"""),17.0)</f>
        <v>17</v>
      </c>
      <c r="I166" s="24"/>
    </row>
    <row r="167">
      <c r="A167" s="23">
        <f>IFERROR(__xludf.DUMMYFUNCTION("""COMPUTED_VALUE"""),44737.55205559028)</f>
        <v>44737.55206</v>
      </c>
      <c r="B167" s="24" t="str">
        <f>IFERROR(__xludf.DUMMYFUNCTION("""COMPUTED_VALUE"""),"Emily ")</f>
        <v>Emily </v>
      </c>
      <c r="C167" s="24">
        <f>IFERROR(__xludf.DUMMYFUNCTION("""COMPUTED_VALUE"""),-372.0)</f>
        <v>-372</v>
      </c>
      <c r="D167" s="24" t="str">
        <f>IFERROR(__xludf.DUMMYFUNCTION("""COMPUTED_VALUE"""),"Xx")</f>
        <v>Xx</v>
      </c>
      <c r="F167" s="23">
        <f>IFERROR(__xludf.DUMMYFUNCTION("""COMPUTED_VALUE"""),44730.72496469907)</f>
        <v>44730.72496</v>
      </c>
      <c r="G167" s="24" t="str">
        <f>IFERROR(__xludf.DUMMYFUNCTION("""COMPUTED_VALUE"""),"Kevin mischka")</f>
        <v>Kevin mischka</v>
      </c>
      <c r="H167" s="24">
        <f>IFERROR(__xludf.DUMMYFUNCTION("""COMPUTED_VALUE"""),7.0)</f>
        <v>7</v>
      </c>
      <c r="I167" s="24"/>
    </row>
    <row r="168">
      <c r="A168" s="23">
        <f>IFERROR(__xludf.DUMMYFUNCTION("""COMPUTED_VALUE"""),44737.55257693287)</f>
        <v>44737.55258</v>
      </c>
      <c r="B168" s="24" t="str">
        <f>IFERROR(__xludf.DUMMYFUNCTION("""COMPUTED_VALUE"""),"Emily Stucke")</f>
        <v>Emily Stucke</v>
      </c>
      <c r="C168" s="24">
        <f>IFERROR(__xludf.DUMMYFUNCTION("""COMPUTED_VALUE"""),-596.0)</f>
        <v>-596</v>
      </c>
      <c r="D168" s="24" t="str">
        <f>IFERROR(__xludf.DUMMYFUNCTION("""COMPUTED_VALUE"""),"E3")</f>
        <v>E3</v>
      </c>
      <c r="F168" s="23">
        <f>IFERROR(__xludf.DUMMYFUNCTION("""COMPUTED_VALUE"""),44730.72574172454)</f>
        <v>44730.72574</v>
      </c>
      <c r="G168" s="24" t="str">
        <f>IFERROR(__xludf.DUMMYFUNCTION("""COMPUTED_VALUE"""),"Sara")</f>
        <v>Sara</v>
      </c>
      <c r="H168" s="24">
        <f>IFERROR(__xludf.DUMMYFUNCTION("""COMPUTED_VALUE"""),20.0)</f>
        <v>20</v>
      </c>
      <c r="I168" s="24"/>
    </row>
    <row r="169">
      <c r="A169" s="23">
        <f>IFERROR(__xludf.DUMMYFUNCTION("""COMPUTED_VALUE"""),44737.553314490746)</f>
        <v>44737.55331</v>
      </c>
      <c r="B169" s="24" t="str">
        <f>IFERROR(__xludf.DUMMYFUNCTION("""COMPUTED_VALUE"""),"Emily")</f>
        <v>Emily</v>
      </c>
      <c r="C169" s="24">
        <f>IFERROR(__xludf.DUMMYFUNCTION("""COMPUTED_VALUE"""),-1305.0)</f>
        <v>-1305</v>
      </c>
      <c r="D169" s="24" t="str">
        <f>IFERROR(__xludf.DUMMYFUNCTION("""COMPUTED_VALUE"""),"I2")</f>
        <v>I2</v>
      </c>
      <c r="F169" s="23">
        <f>IFERROR(__xludf.DUMMYFUNCTION("""COMPUTED_VALUE"""),44730.725893981486)</f>
        <v>44730.72589</v>
      </c>
      <c r="G169" s="24" t="str">
        <f>IFERROR(__xludf.DUMMYFUNCTION("""COMPUTED_VALUE"""),"Tiffany Jiang")</f>
        <v>Tiffany Jiang</v>
      </c>
      <c r="H169" s="24">
        <f>IFERROR(__xludf.DUMMYFUNCTION("""COMPUTED_VALUE"""),18.0)</f>
        <v>18</v>
      </c>
      <c r="I169" s="24"/>
    </row>
    <row r="170">
      <c r="A170" s="23">
        <f>IFERROR(__xludf.DUMMYFUNCTION("""COMPUTED_VALUE"""),44737.55367837963)</f>
        <v>44737.55368</v>
      </c>
      <c r="B170" s="24" t="str">
        <f>IFERROR(__xludf.DUMMYFUNCTION("""COMPUTED_VALUE"""),"Emily Stucke ")</f>
        <v>Emily Stucke </v>
      </c>
      <c r="C170" s="24">
        <f>IFERROR(__xludf.DUMMYFUNCTION("""COMPUTED_VALUE"""),-580.0)</f>
        <v>-580</v>
      </c>
      <c r="D170" s="24" t="str">
        <f>IFERROR(__xludf.DUMMYFUNCTION("""COMPUTED_VALUE"""),"I2")</f>
        <v>I2</v>
      </c>
      <c r="F170" s="23">
        <f>IFERROR(__xludf.DUMMYFUNCTION("""COMPUTED_VALUE"""),44731.0)</f>
        <v>44731</v>
      </c>
      <c r="G170" s="24" t="str">
        <f>IFERROR(__xludf.DUMMYFUNCTION("""COMPUTED_VALUE"""),"Claire")</f>
        <v>Claire</v>
      </c>
      <c r="H170" s="24">
        <f>IFERROR(__xludf.DUMMYFUNCTION("""COMPUTED_VALUE"""),-738.0)</f>
        <v>-738</v>
      </c>
      <c r="I170" s="24" t="str">
        <f>IFERROR(__xludf.DUMMYFUNCTION("""COMPUTED_VALUE"""),"H6")</f>
        <v>H6</v>
      </c>
    </row>
    <row r="171">
      <c r="A171" s="23">
        <f>IFERROR(__xludf.DUMMYFUNCTION("""COMPUTED_VALUE"""),44737.55399487268)</f>
        <v>44737.55399</v>
      </c>
      <c r="B171" s="24" t="str">
        <f>IFERROR(__xludf.DUMMYFUNCTION("""COMPUTED_VALUE"""),"Emily Stucke")</f>
        <v>Emily Stucke</v>
      </c>
      <c r="C171" s="24">
        <f>IFERROR(__xludf.DUMMYFUNCTION("""COMPUTED_VALUE"""),-296.0)</f>
        <v>-296</v>
      </c>
      <c r="D171" s="24" t="str">
        <f>IFERROR(__xludf.DUMMYFUNCTION("""COMPUTED_VALUE"""),"F6")</f>
        <v>F6</v>
      </c>
      <c r="F171" s="23">
        <f>IFERROR(__xludf.DUMMYFUNCTION("""COMPUTED_VALUE"""),44731.0)</f>
        <v>44731</v>
      </c>
      <c r="G171" s="24" t="str">
        <f>IFERROR(__xludf.DUMMYFUNCTION("""COMPUTED_VALUE"""),"Claire")</f>
        <v>Claire</v>
      </c>
      <c r="H171" s="24">
        <f>IFERROR(__xludf.DUMMYFUNCTION("""COMPUTED_VALUE"""),119.0)</f>
        <v>119</v>
      </c>
      <c r="I171" s="24" t="str">
        <f>IFERROR(__xludf.DUMMYFUNCTION("""COMPUTED_VALUE"""),"I3")</f>
        <v>I3</v>
      </c>
    </row>
    <row r="172">
      <c r="A172" s="23">
        <f>IFERROR(__xludf.DUMMYFUNCTION("""COMPUTED_VALUE"""),44737.554285150465)</f>
        <v>44737.55429</v>
      </c>
      <c r="B172" s="24" t="str">
        <f>IFERROR(__xludf.DUMMYFUNCTION("""COMPUTED_VALUE"""),"Emily Stucke")</f>
        <v>Emily Stucke</v>
      </c>
      <c r="C172" s="24">
        <f>IFERROR(__xludf.DUMMYFUNCTION("""COMPUTED_VALUE"""),-1485.0)</f>
        <v>-1485</v>
      </c>
      <c r="D172" s="24" t="str">
        <f>IFERROR(__xludf.DUMMYFUNCTION("""COMPUTED_VALUE"""),"Xx")</f>
        <v>Xx</v>
      </c>
      <c r="F172" s="23">
        <f>IFERROR(__xludf.DUMMYFUNCTION("""COMPUTED_VALUE"""),44731.0)</f>
        <v>44731</v>
      </c>
      <c r="G172" s="24" t="str">
        <f>IFERROR(__xludf.DUMMYFUNCTION("""COMPUTED_VALUE"""),"Claire")</f>
        <v>Claire</v>
      </c>
      <c r="H172" s="24">
        <f>IFERROR(__xludf.DUMMYFUNCTION("""COMPUTED_VALUE"""),186.0)</f>
        <v>186</v>
      </c>
      <c r="I172" s="24" t="str">
        <f>IFERROR(__xludf.DUMMYFUNCTION("""COMPUTED_VALUE"""),"D3")</f>
        <v>D3</v>
      </c>
    </row>
    <row r="173">
      <c r="A173" s="23">
        <f>IFERROR(__xludf.DUMMYFUNCTION("""COMPUTED_VALUE"""),44737.55460122685)</f>
        <v>44737.5546</v>
      </c>
      <c r="B173" s="24" t="str">
        <f>IFERROR(__xludf.DUMMYFUNCTION("""COMPUTED_VALUE"""),"Emily Stucke")</f>
        <v>Emily Stucke</v>
      </c>
      <c r="C173" s="24">
        <f>IFERROR(__xludf.DUMMYFUNCTION("""COMPUTED_VALUE"""),-1728.0)</f>
        <v>-1728</v>
      </c>
      <c r="D173" s="24" t="str">
        <f>IFERROR(__xludf.DUMMYFUNCTION("""COMPUTED_VALUE"""),"Xx")</f>
        <v>Xx</v>
      </c>
      <c r="F173" s="23">
        <f>IFERROR(__xludf.DUMMYFUNCTION("""COMPUTED_VALUE"""),44731.0)</f>
        <v>44731</v>
      </c>
      <c r="G173" s="24" t="str">
        <f>IFERROR(__xludf.DUMMYFUNCTION("""COMPUTED_VALUE"""),"Claire")</f>
        <v>Claire</v>
      </c>
      <c r="H173" s="24">
        <f>IFERROR(__xludf.DUMMYFUNCTION("""COMPUTED_VALUE"""),35.0)</f>
        <v>35</v>
      </c>
      <c r="I173" s="24" t="str">
        <f>IFERROR(__xludf.DUMMYFUNCTION("""COMPUTED_VALUE"""),"O3")</f>
        <v>O3</v>
      </c>
    </row>
    <row r="174">
      <c r="A174" s="23">
        <f>IFERROR(__xludf.DUMMYFUNCTION("""COMPUTED_VALUE"""),44737.55510738426)</f>
        <v>44737.55511</v>
      </c>
      <c r="B174" s="24" t="str">
        <f>IFERROR(__xludf.DUMMYFUNCTION("""COMPUTED_VALUE"""),"Emily Stucke")</f>
        <v>Emily Stucke</v>
      </c>
      <c r="C174" s="24">
        <f>IFERROR(__xludf.DUMMYFUNCTION("""COMPUTED_VALUE"""),-1224.0)</f>
        <v>-1224</v>
      </c>
      <c r="D174" s="24" t="str">
        <f>IFERROR(__xludf.DUMMYFUNCTION("""COMPUTED_VALUE"""),"H6")</f>
        <v>H6</v>
      </c>
      <c r="F174" s="23">
        <f>IFERROR(__xludf.DUMMYFUNCTION("""COMPUTED_VALUE"""),44731.0)</f>
        <v>44731</v>
      </c>
      <c r="G174" s="24" t="str">
        <f>IFERROR(__xludf.DUMMYFUNCTION("""COMPUTED_VALUE"""),"Claire")</f>
        <v>Claire</v>
      </c>
      <c r="H174" s="24">
        <f>IFERROR(__xludf.DUMMYFUNCTION("""COMPUTED_VALUE"""),7.0)</f>
        <v>7</v>
      </c>
      <c r="I174" s="24" t="str">
        <f>IFERROR(__xludf.DUMMYFUNCTION("""COMPUTED_VALUE"""),"P3")</f>
        <v>P3</v>
      </c>
    </row>
    <row r="175">
      <c r="A175" s="23">
        <f>IFERROR(__xludf.DUMMYFUNCTION("""COMPUTED_VALUE"""),44737.55538115741)</f>
        <v>44737.55538</v>
      </c>
      <c r="B175" s="24" t="str">
        <f>IFERROR(__xludf.DUMMYFUNCTION("""COMPUTED_VALUE"""),"Emily Stucke")</f>
        <v>Emily Stucke</v>
      </c>
      <c r="C175" s="24">
        <f>IFERROR(__xludf.DUMMYFUNCTION("""COMPUTED_VALUE"""),-244.0)</f>
        <v>-244</v>
      </c>
      <c r="D175" s="24" t="str">
        <f>IFERROR(__xludf.DUMMYFUNCTION("""COMPUTED_VALUE"""),"E2")</f>
        <v>E2</v>
      </c>
      <c r="F175" s="23">
        <f>IFERROR(__xludf.DUMMYFUNCTION("""COMPUTED_VALUE"""),44731.0)</f>
        <v>44731</v>
      </c>
      <c r="G175" s="24" t="str">
        <f>IFERROR(__xludf.DUMMYFUNCTION("""COMPUTED_VALUE"""),"Claire")</f>
        <v>Claire</v>
      </c>
      <c r="H175" s="24">
        <f>IFERROR(__xludf.DUMMYFUNCTION("""COMPUTED_VALUE"""),135.0)</f>
        <v>135</v>
      </c>
      <c r="I175" s="24" t="str">
        <f>IFERROR(__xludf.DUMMYFUNCTION("""COMPUTED_VALUE"""),"E3")</f>
        <v>E3</v>
      </c>
    </row>
    <row r="176">
      <c r="A176" s="23">
        <f>IFERROR(__xludf.DUMMYFUNCTION("""COMPUTED_VALUE"""),44737.55573817129)</f>
        <v>44737.55574</v>
      </c>
      <c r="B176" s="24" t="str">
        <f>IFERROR(__xludf.DUMMYFUNCTION("""COMPUTED_VALUE"""),"Emily Stucke")</f>
        <v>Emily Stucke</v>
      </c>
      <c r="C176" s="24">
        <f>IFERROR(__xludf.DUMMYFUNCTION("""COMPUTED_VALUE"""),-900.0)</f>
        <v>-900</v>
      </c>
      <c r="D176" s="24" t="str">
        <f>IFERROR(__xludf.DUMMYFUNCTION("""COMPUTED_VALUE"""),"I4")</f>
        <v>I4</v>
      </c>
      <c r="F176" s="23">
        <f>IFERROR(__xludf.DUMMYFUNCTION("""COMPUTED_VALUE"""),44731.0)</f>
        <v>44731</v>
      </c>
      <c r="G176" s="24" t="str">
        <f>IFERROR(__xludf.DUMMYFUNCTION("""COMPUTED_VALUE"""),"Claire")</f>
        <v>Claire</v>
      </c>
      <c r="H176" s="24">
        <f>IFERROR(__xludf.DUMMYFUNCTION("""COMPUTED_VALUE"""),23.0)</f>
        <v>23</v>
      </c>
      <c r="I176" s="24" t="str">
        <f>IFERROR(__xludf.DUMMYFUNCTION("""COMPUTED_VALUE"""),"O4")</f>
        <v>O4</v>
      </c>
    </row>
    <row r="177">
      <c r="A177" s="23">
        <f>IFERROR(__xludf.DUMMYFUNCTION("""COMPUTED_VALUE"""),44737.55610212962)</f>
        <v>44737.5561</v>
      </c>
      <c r="B177" s="24" t="str">
        <f>IFERROR(__xludf.DUMMYFUNCTION("""COMPUTED_VALUE"""),"Emily Stucke")</f>
        <v>Emily Stucke</v>
      </c>
      <c r="C177" s="24">
        <f>IFERROR(__xludf.DUMMYFUNCTION("""COMPUTED_VALUE"""),-788.0)</f>
        <v>-788</v>
      </c>
      <c r="D177" s="24" t="str">
        <f>IFERROR(__xludf.DUMMYFUNCTION("""COMPUTED_VALUE"""),"Xx")</f>
        <v>Xx</v>
      </c>
      <c r="F177" s="23">
        <f>IFERROR(__xludf.DUMMYFUNCTION("""COMPUTED_VALUE"""),44731.0)</f>
        <v>44731</v>
      </c>
      <c r="G177" s="24" t="str">
        <f>IFERROR(__xludf.DUMMYFUNCTION("""COMPUTED_VALUE"""),"Claire")</f>
        <v>Claire</v>
      </c>
      <c r="H177" s="24">
        <f>IFERROR(__xludf.DUMMYFUNCTION("""COMPUTED_VALUE"""),108.0)</f>
        <v>108</v>
      </c>
      <c r="I177" s="24" t="str">
        <f>IFERROR(__xludf.DUMMYFUNCTION("""COMPUTED_VALUE"""),"I4")</f>
        <v>I4</v>
      </c>
    </row>
    <row r="178">
      <c r="A178" s="23">
        <f>IFERROR(__xludf.DUMMYFUNCTION("""COMPUTED_VALUE"""),44737.55642876157)</f>
        <v>44737.55643</v>
      </c>
      <c r="B178" s="24" t="str">
        <f>IFERROR(__xludf.DUMMYFUNCTION("""COMPUTED_VALUE"""),"Emily Stucke")</f>
        <v>Emily Stucke</v>
      </c>
      <c r="C178" s="24">
        <f>IFERROR(__xludf.DUMMYFUNCTION("""COMPUTED_VALUE"""),-832.0)</f>
        <v>-832</v>
      </c>
      <c r="D178" s="24" t="str">
        <f>IFERROR(__xludf.DUMMYFUNCTION("""COMPUTED_VALUE"""),"Xx")</f>
        <v>Xx</v>
      </c>
      <c r="F178" s="23">
        <f>IFERROR(__xludf.DUMMYFUNCTION("""COMPUTED_VALUE"""),44731.0)</f>
        <v>44731</v>
      </c>
      <c r="G178" s="24" t="str">
        <f>IFERROR(__xludf.DUMMYFUNCTION("""COMPUTED_VALUE"""),"Claire")</f>
        <v>Claire</v>
      </c>
      <c r="H178" s="24">
        <f>IFERROR(__xludf.DUMMYFUNCTION("""COMPUTED_VALUE"""),630.0)</f>
        <v>630</v>
      </c>
      <c r="I178" s="24" t="str">
        <f>IFERROR(__xludf.DUMMYFUNCTION("""COMPUTED_VALUE"""),"E1")</f>
        <v>E1</v>
      </c>
    </row>
    <row r="179">
      <c r="A179" s="23">
        <f>IFERROR(__xludf.DUMMYFUNCTION("""COMPUTED_VALUE"""),44737.556723981485)</f>
        <v>44737.55672</v>
      </c>
      <c r="B179" s="24" t="str">
        <f>IFERROR(__xludf.DUMMYFUNCTION("""COMPUTED_VALUE"""),"Emily Stucke")</f>
        <v>Emily Stucke</v>
      </c>
      <c r="C179" s="24">
        <f>IFERROR(__xludf.DUMMYFUNCTION("""COMPUTED_VALUE"""),-470.0)</f>
        <v>-470</v>
      </c>
      <c r="D179" s="24" t="str">
        <f>IFERROR(__xludf.DUMMYFUNCTION("""COMPUTED_VALUE"""),"Xx")</f>
        <v>Xx</v>
      </c>
      <c r="F179" s="23">
        <f>IFERROR(__xludf.DUMMYFUNCTION("""COMPUTED_VALUE"""),44731.0)</f>
        <v>44731</v>
      </c>
      <c r="G179" s="24" t="str">
        <f>IFERROR(__xludf.DUMMYFUNCTION("""COMPUTED_VALUE"""),"Claire")</f>
        <v>Claire</v>
      </c>
      <c r="H179" s="24">
        <f>IFERROR(__xludf.DUMMYFUNCTION("""COMPUTED_VALUE"""),-151.0)</f>
        <v>-151</v>
      </c>
      <c r="I179" s="24" t="str">
        <f>IFERROR(__xludf.DUMMYFUNCTION("""COMPUTED_VALUE"""),"L6")</f>
        <v>L6</v>
      </c>
    </row>
    <row r="180">
      <c r="A180" s="23">
        <f>IFERROR(__xludf.DUMMYFUNCTION("""COMPUTED_VALUE"""),44737.558971956016)</f>
        <v>44737.55897</v>
      </c>
      <c r="B180" s="24" t="str">
        <f>IFERROR(__xludf.DUMMYFUNCTION("""COMPUTED_VALUE"""),"Emily Stucke")</f>
        <v>Emily Stucke</v>
      </c>
      <c r="C180" s="24">
        <f>IFERROR(__xludf.DUMMYFUNCTION("""COMPUTED_VALUE"""),-389.0)</f>
        <v>-389</v>
      </c>
      <c r="D180" s="24" t="str">
        <f>IFERROR(__xludf.DUMMYFUNCTION("""COMPUTED_VALUE"""),"Xx")</f>
        <v>Xx</v>
      </c>
      <c r="F180" s="23">
        <f>IFERROR(__xludf.DUMMYFUNCTION("""COMPUTED_VALUE"""),44731.0)</f>
        <v>44731</v>
      </c>
      <c r="G180" s="24" t="str">
        <f>IFERROR(__xludf.DUMMYFUNCTION("""COMPUTED_VALUE"""),"Claire")</f>
        <v>Claire</v>
      </c>
      <c r="H180" s="24">
        <f>IFERROR(__xludf.DUMMYFUNCTION("""COMPUTED_VALUE"""),-21.0)</f>
        <v>-21</v>
      </c>
      <c r="I180" s="24" t="str">
        <f>IFERROR(__xludf.DUMMYFUNCTION("""COMPUTED_VALUE"""),"I5")</f>
        <v>I5</v>
      </c>
    </row>
    <row r="181">
      <c r="A181" s="23">
        <f>IFERROR(__xludf.DUMMYFUNCTION("""COMPUTED_VALUE"""),44737.55970071759)</f>
        <v>44737.5597</v>
      </c>
      <c r="B181" s="24" t="str">
        <f>IFERROR(__xludf.DUMMYFUNCTION("""COMPUTED_VALUE"""),"Emily Stucke")</f>
        <v>Emily Stucke</v>
      </c>
      <c r="C181" s="24">
        <f>IFERROR(__xludf.DUMMYFUNCTION("""COMPUTED_VALUE"""),-398.0)</f>
        <v>-398</v>
      </c>
      <c r="D181" s="24" t="str">
        <f>IFERROR(__xludf.DUMMYFUNCTION("""COMPUTED_VALUE"""),"Xx")</f>
        <v>Xx</v>
      </c>
      <c r="F181" s="23">
        <f>IFERROR(__xludf.DUMMYFUNCTION("""COMPUTED_VALUE"""),44731.0)</f>
        <v>44731</v>
      </c>
      <c r="G181" s="24" t="str">
        <f>IFERROR(__xludf.DUMMYFUNCTION("""COMPUTED_VALUE"""),"Claire")</f>
        <v>Claire</v>
      </c>
      <c r="H181" s="24">
        <f>IFERROR(__xludf.DUMMYFUNCTION("""COMPUTED_VALUE"""),759.0)</f>
        <v>759</v>
      </c>
      <c r="I181" s="24" t="str">
        <f>IFERROR(__xludf.DUMMYFUNCTION("""COMPUTED_VALUE"""),"G6")</f>
        <v>G6</v>
      </c>
    </row>
    <row r="182">
      <c r="A182" s="23">
        <f>IFERROR(__xludf.DUMMYFUNCTION("""COMPUTED_VALUE"""),44737.0)</f>
        <v>44737</v>
      </c>
      <c r="B182" s="24" t="str">
        <f>IFERROR(__xludf.DUMMYFUNCTION("""COMPUTED_VALUE"""),"Claire")</f>
        <v>Claire</v>
      </c>
      <c r="C182" s="24">
        <f>IFERROR(__xludf.DUMMYFUNCTION("""COMPUTED_VALUE"""),-305.0)</f>
        <v>-305</v>
      </c>
      <c r="D182" s="24" t="str">
        <f>IFERROR(__xludf.DUMMYFUNCTION("""COMPUTED_VALUE"""),"E3")</f>
        <v>E3</v>
      </c>
      <c r="F182" s="23">
        <f>IFERROR(__xludf.DUMMYFUNCTION("""COMPUTED_VALUE"""),44731.0)</f>
        <v>44731</v>
      </c>
      <c r="G182" s="24" t="str">
        <f>IFERROR(__xludf.DUMMYFUNCTION("""COMPUTED_VALUE"""),"Claire")</f>
        <v>Claire</v>
      </c>
      <c r="H182" s="24">
        <f>IFERROR(__xludf.DUMMYFUNCTION("""COMPUTED_VALUE"""),-44.0)</f>
        <v>-44</v>
      </c>
      <c r="I182" s="24" t="str">
        <f>IFERROR(__xludf.DUMMYFUNCTION("""COMPUTED_VALUE"""),"H5")</f>
        <v>H5</v>
      </c>
    </row>
    <row r="183">
      <c r="A183" s="23">
        <f>IFERROR(__xludf.DUMMYFUNCTION("""COMPUTED_VALUE"""),44737.0)</f>
        <v>44737</v>
      </c>
      <c r="B183" s="24" t="str">
        <f>IFERROR(__xludf.DUMMYFUNCTION("""COMPUTED_VALUE"""),"Claire")</f>
        <v>Claire</v>
      </c>
      <c r="C183" s="24">
        <f>IFERROR(__xludf.DUMMYFUNCTION("""COMPUTED_VALUE"""),-372.0)</f>
        <v>-372</v>
      </c>
      <c r="D183" s="24" t="str">
        <f>IFERROR(__xludf.DUMMYFUNCTION("""COMPUTED_VALUE"""),"C3")</f>
        <v>C3</v>
      </c>
      <c r="F183" s="23">
        <f>IFERROR(__xludf.DUMMYFUNCTION("""COMPUTED_VALUE"""),44731.0)</f>
        <v>44731</v>
      </c>
      <c r="G183" s="24" t="str">
        <f>IFERROR(__xludf.DUMMYFUNCTION("""COMPUTED_VALUE"""),"Claire")</f>
        <v>Claire</v>
      </c>
      <c r="H183" s="24">
        <f>IFERROR(__xludf.DUMMYFUNCTION("""COMPUTED_VALUE"""),1226.0)</f>
        <v>1226</v>
      </c>
      <c r="I183" s="24" t="str">
        <f>IFERROR(__xludf.DUMMYFUNCTION("""COMPUTED_VALUE"""),"H6")</f>
        <v>H6</v>
      </c>
    </row>
    <row r="184">
      <c r="A184" s="23">
        <f>IFERROR(__xludf.DUMMYFUNCTION("""COMPUTED_VALUE"""),44737.0)</f>
        <v>44737</v>
      </c>
      <c r="B184" s="24" t="str">
        <f>IFERROR(__xludf.DUMMYFUNCTION("""COMPUTED_VALUE"""),"Claire")</f>
        <v>Claire</v>
      </c>
      <c r="C184" s="24">
        <f>IFERROR(__xludf.DUMMYFUNCTION("""COMPUTED_VALUE"""),-788.0)</f>
        <v>-788</v>
      </c>
      <c r="D184" s="24" t="str">
        <f>IFERROR(__xludf.DUMMYFUNCTION("""COMPUTED_VALUE"""),"XX Frozen")</f>
        <v>XX Frozen</v>
      </c>
      <c r="F184" s="23">
        <f>IFERROR(__xludf.DUMMYFUNCTION("""COMPUTED_VALUE"""),44731.0)</f>
        <v>44731</v>
      </c>
      <c r="G184" s="24" t="str">
        <f>IFERROR(__xludf.DUMMYFUNCTION("""COMPUTED_VALUE"""),"Claire")</f>
        <v>Claire</v>
      </c>
      <c r="H184" s="24">
        <f>IFERROR(__xludf.DUMMYFUNCTION("""COMPUTED_VALUE"""),-936.0)</f>
        <v>-936</v>
      </c>
      <c r="I184" s="24" t="str">
        <f>IFERROR(__xludf.DUMMYFUNCTION("""COMPUTED_VALUE"""),"H3")</f>
        <v>H3</v>
      </c>
    </row>
    <row r="185">
      <c r="A185" s="23">
        <f>IFERROR(__xludf.DUMMYFUNCTION("""COMPUTED_VALUE"""),44737.0)</f>
        <v>44737</v>
      </c>
      <c r="B185" s="24" t="str">
        <f>IFERROR(__xludf.DUMMYFUNCTION("""COMPUTED_VALUE"""),"Claire")</f>
        <v>Claire</v>
      </c>
      <c r="C185" s="24">
        <f>IFERROR(__xludf.DUMMYFUNCTION("""COMPUTED_VALUE"""),-832.0)</f>
        <v>-832</v>
      </c>
      <c r="D185" s="24" t="str">
        <f>IFERROR(__xludf.DUMMYFUNCTION("""COMPUTED_VALUE"""),"XX Frozen")</f>
        <v>XX Frozen</v>
      </c>
      <c r="F185" s="23">
        <f>IFERROR(__xludf.DUMMYFUNCTION("""COMPUTED_VALUE"""),44731.0)</f>
        <v>44731</v>
      </c>
      <c r="G185" s="24" t="str">
        <f>IFERROR(__xludf.DUMMYFUNCTION("""COMPUTED_VALUE"""),"Claire")</f>
        <v>Claire</v>
      </c>
      <c r="H185" s="24">
        <f>IFERROR(__xludf.DUMMYFUNCTION("""COMPUTED_VALUE"""),40.0)</f>
        <v>40</v>
      </c>
      <c r="I185" s="24" t="str">
        <f>IFERROR(__xludf.DUMMYFUNCTION("""COMPUTED_VALUE"""),"I4")</f>
        <v>I4</v>
      </c>
    </row>
    <row r="186">
      <c r="A186" s="23">
        <f>IFERROR(__xludf.DUMMYFUNCTION("""COMPUTED_VALUE"""),44737.0)</f>
        <v>44737</v>
      </c>
      <c r="B186" s="24" t="str">
        <f>IFERROR(__xludf.DUMMYFUNCTION("""COMPUTED_VALUE"""),"Claire")</f>
        <v>Claire</v>
      </c>
      <c r="C186" s="24">
        <f>IFERROR(__xludf.DUMMYFUNCTION("""COMPUTED_VALUE"""),227.0)</f>
        <v>227</v>
      </c>
      <c r="D186" s="24" t="str">
        <f>IFERROR(__xludf.DUMMYFUNCTION("""COMPUTED_VALUE"""),"XX")</f>
        <v>XX</v>
      </c>
      <c r="F186" s="23">
        <f>IFERROR(__xludf.DUMMYFUNCTION("""COMPUTED_VALUE"""),44731.0)</f>
        <v>44731</v>
      </c>
      <c r="G186" s="24" t="str">
        <f>IFERROR(__xludf.DUMMYFUNCTION("""COMPUTED_VALUE"""),"Claire")</f>
        <v>Claire</v>
      </c>
      <c r="H186" s="24">
        <f>IFERROR(__xludf.DUMMYFUNCTION("""COMPUTED_VALUE"""),-339.0)</f>
        <v>-339</v>
      </c>
      <c r="I186" s="24" t="str">
        <f>IFERROR(__xludf.DUMMYFUNCTION("""COMPUTED_VALUE"""),"H2")</f>
        <v>H2</v>
      </c>
    </row>
    <row r="187">
      <c r="A187" s="23">
        <f>IFERROR(__xludf.DUMMYFUNCTION("""COMPUTED_VALUE"""),44737.0)</f>
        <v>44737</v>
      </c>
      <c r="B187" s="24" t="str">
        <f>IFERROR(__xludf.DUMMYFUNCTION("""COMPUTED_VALUE"""),"Claire")</f>
        <v>Claire</v>
      </c>
      <c r="C187" s="24">
        <f>IFERROR(__xludf.DUMMYFUNCTION("""COMPUTED_VALUE"""),446.0)</f>
        <v>446</v>
      </c>
      <c r="D187" s="24" t="str">
        <f>IFERROR(__xludf.DUMMYFUNCTION("""COMPUTED_VALUE"""),"XX")</f>
        <v>XX</v>
      </c>
      <c r="F187" s="23">
        <f>IFERROR(__xludf.DUMMYFUNCTION("""COMPUTED_VALUE"""),44731.67126608796)</f>
        <v>44731.67127</v>
      </c>
      <c r="G187" s="24" t="str">
        <f>IFERROR(__xludf.DUMMYFUNCTION("""COMPUTED_VALUE"""),"Ausar")</f>
        <v>Ausar</v>
      </c>
      <c r="H187" s="24">
        <f>IFERROR(__xludf.DUMMYFUNCTION("""COMPUTED_VALUE"""),397.0)</f>
        <v>397</v>
      </c>
      <c r="I187" s="24" t="str">
        <f>IFERROR(__xludf.DUMMYFUNCTION("""COMPUTED_VALUE"""),"Frozen")</f>
        <v>Frozen</v>
      </c>
    </row>
    <row r="188">
      <c r="A188" s="23">
        <f>IFERROR(__xludf.DUMMYFUNCTION("""COMPUTED_VALUE"""),44737.0)</f>
        <v>44737</v>
      </c>
      <c r="B188" s="24" t="str">
        <f>IFERROR(__xludf.DUMMYFUNCTION("""COMPUTED_VALUE"""),"Claire")</f>
        <v>Claire</v>
      </c>
      <c r="C188" s="24">
        <f>IFERROR(__xludf.DUMMYFUNCTION("""COMPUTED_VALUE"""),1278.0)</f>
        <v>1278</v>
      </c>
      <c r="D188" s="24" t="str">
        <f>IFERROR(__xludf.DUMMYFUNCTION("""COMPUTED_VALUE"""),"XX")</f>
        <v>XX</v>
      </c>
      <c r="F188" s="23">
        <f>IFERROR(__xludf.DUMMYFUNCTION("""COMPUTED_VALUE"""),44731.671368020834)</f>
        <v>44731.67137</v>
      </c>
      <c r="G188" s="24" t="str">
        <f>IFERROR(__xludf.DUMMYFUNCTION("""COMPUTED_VALUE"""),"Zoe")</f>
        <v>Zoe</v>
      </c>
      <c r="H188" s="24">
        <f>IFERROR(__xludf.DUMMYFUNCTION("""COMPUTED_VALUE"""),10.0)</f>
        <v>10</v>
      </c>
      <c r="I188" s="24" t="str">
        <f>IFERROR(__xludf.DUMMYFUNCTION("""COMPUTED_VALUE"""),"Ausar’s Food donations")</f>
        <v>Ausar’s Food donations</v>
      </c>
    </row>
    <row r="189">
      <c r="A189" s="23">
        <f>IFERROR(__xludf.DUMMYFUNCTION("""COMPUTED_VALUE"""),44737.0)</f>
        <v>44737</v>
      </c>
      <c r="B189" s="24" t="str">
        <f>IFERROR(__xludf.DUMMYFUNCTION("""COMPUTED_VALUE"""),"Claire")</f>
        <v>Claire</v>
      </c>
      <c r="C189" s="24">
        <f>IFERROR(__xludf.DUMMYFUNCTION("""COMPUTED_VALUE"""),262.0)</f>
        <v>262</v>
      </c>
      <c r="D189" s="24" t="str">
        <f>IFERROR(__xludf.DUMMYFUNCTION("""COMPUTED_VALUE"""),"XX")</f>
        <v>XX</v>
      </c>
      <c r="F189" s="23">
        <f>IFERROR(__xludf.DUMMYFUNCTION("""COMPUTED_VALUE"""),44731.67159108796)</f>
        <v>44731.67159</v>
      </c>
      <c r="G189" s="24" t="str">
        <f>IFERROR(__xludf.DUMMYFUNCTION("""COMPUTED_VALUE"""),"Ausar")</f>
        <v>Ausar</v>
      </c>
      <c r="H189" s="24">
        <f>IFERROR(__xludf.DUMMYFUNCTION("""COMPUTED_VALUE"""),282.0)</f>
        <v>282</v>
      </c>
      <c r="I189" s="24" t="str">
        <f>IFERROR(__xludf.DUMMYFUNCTION("""COMPUTED_VALUE"""),"Snacks")</f>
        <v>Snacks</v>
      </c>
    </row>
    <row r="190">
      <c r="A190" s="23">
        <f>IFERROR(__xludf.DUMMYFUNCTION("""COMPUTED_VALUE"""),44737.0)</f>
        <v>44737</v>
      </c>
      <c r="B190" s="24" t="str">
        <f>IFERROR(__xludf.DUMMYFUNCTION("""COMPUTED_VALUE"""),"Claire")</f>
        <v>Claire</v>
      </c>
      <c r="C190" s="24">
        <f>IFERROR(__xludf.DUMMYFUNCTION("""COMPUTED_VALUE"""),428.0)</f>
        <v>428</v>
      </c>
      <c r="D190" s="24" t="str">
        <f>IFERROR(__xludf.DUMMYFUNCTION("""COMPUTED_VALUE"""),"XX")</f>
        <v>XX</v>
      </c>
      <c r="F190" s="23">
        <f>IFERROR(__xludf.DUMMYFUNCTION("""COMPUTED_VALUE"""),44731.67160336806)</f>
        <v>44731.6716</v>
      </c>
      <c r="G190" s="24" t="str">
        <f>IFERROR(__xludf.DUMMYFUNCTION("""COMPUTED_VALUE"""),"Zoe")</f>
        <v>Zoe</v>
      </c>
      <c r="H190" s="24">
        <f>IFERROR(__xludf.DUMMYFUNCTION("""COMPUTED_VALUE"""),922.0)</f>
        <v>922</v>
      </c>
      <c r="I190" s="24" t="str">
        <f>IFERROR(__xludf.DUMMYFUNCTION("""COMPUTED_VALUE"""),"Amazon")</f>
        <v>Amazon</v>
      </c>
    </row>
    <row r="191">
      <c r="A191" s="23">
        <f>IFERROR(__xludf.DUMMYFUNCTION("""COMPUTED_VALUE"""),44737.0)</f>
        <v>44737</v>
      </c>
      <c r="B191" s="24" t="str">
        <f>IFERROR(__xludf.DUMMYFUNCTION("""COMPUTED_VALUE"""),"Claire")</f>
        <v>Claire</v>
      </c>
      <c r="C191" s="24">
        <f>IFERROR(__xludf.DUMMYFUNCTION("""COMPUTED_VALUE"""),251.0)</f>
        <v>251</v>
      </c>
      <c r="D191" s="24" t="str">
        <f>IFERROR(__xludf.DUMMYFUNCTION("""COMPUTED_VALUE"""),"XX")</f>
        <v>XX</v>
      </c>
      <c r="F191" s="23">
        <f>IFERROR(__xludf.DUMMYFUNCTION("""COMPUTED_VALUE"""),44731.671838159724)</f>
        <v>44731.67184</v>
      </c>
      <c r="G191" s="24" t="str">
        <f>IFERROR(__xludf.DUMMYFUNCTION("""COMPUTED_VALUE"""),"Zoe")</f>
        <v>Zoe</v>
      </c>
      <c r="H191" s="24">
        <f>IFERROR(__xludf.DUMMYFUNCTION("""COMPUTED_VALUE"""),601.0)</f>
        <v>601</v>
      </c>
      <c r="I191" s="24" t="str">
        <f>IFERROR(__xludf.DUMMYFUNCTION("""COMPUTED_VALUE"""),"Amazon")</f>
        <v>Amazon</v>
      </c>
    </row>
    <row r="192">
      <c r="A192" s="23">
        <f>IFERROR(__xludf.DUMMYFUNCTION("""COMPUTED_VALUE"""),44738.0)</f>
        <v>44738</v>
      </c>
      <c r="B192" s="24" t="str">
        <f>IFERROR(__xludf.DUMMYFUNCTION("""COMPUTED_VALUE"""),"Claire")</f>
        <v>Claire</v>
      </c>
      <c r="C192" s="24">
        <f>IFERROR(__xludf.DUMMYFUNCTION("""COMPUTED_VALUE"""),-8.0)</f>
        <v>-8</v>
      </c>
      <c r="D192" s="24" t="str">
        <f>IFERROR(__xludf.DUMMYFUNCTION("""COMPUTED_VALUE"""),"O3")</f>
        <v>O3</v>
      </c>
      <c r="F192" s="23">
        <f>IFERROR(__xludf.DUMMYFUNCTION("""COMPUTED_VALUE"""),44731.672049548615)</f>
        <v>44731.67205</v>
      </c>
      <c r="G192" s="24" t="str">
        <f>IFERROR(__xludf.DUMMYFUNCTION("""COMPUTED_VALUE"""),"Ausar")</f>
        <v>Ausar</v>
      </c>
      <c r="H192" s="24">
        <f>IFERROR(__xludf.DUMMYFUNCTION("""COMPUTED_VALUE"""),694.0)</f>
        <v>694</v>
      </c>
      <c r="I192" s="24" t="str">
        <f>IFERROR(__xludf.DUMMYFUNCTION("""COMPUTED_VALUE"""),"Drinks")</f>
        <v>Drinks</v>
      </c>
    </row>
    <row r="193">
      <c r="A193" s="23">
        <f>IFERROR(__xludf.DUMMYFUNCTION("""COMPUTED_VALUE"""),44738.0)</f>
        <v>44738</v>
      </c>
      <c r="B193" s="24" t="str">
        <f>IFERROR(__xludf.DUMMYFUNCTION("""COMPUTED_VALUE"""),"Claire")</f>
        <v>Claire</v>
      </c>
      <c r="C193" s="24">
        <f>IFERROR(__xludf.DUMMYFUNCTION("""COMPUTED_VALUE"""),-4.0)</f>
        <v>-4</v>
      </c>
      <c r="D193" s="24" t="str">
        <f>IFERROR(__xludf.DUMMYFUNCTION("""COMPUTED_VALUE"""),"P3")</f>
        <v>P3</v>
      </c>
      <c r="F193" s="23">
        <f>IFERROR(__xludf.DUMMYFUNCTION("""COMPUTED_VALUE"""),44731.6721375)</f>
        <v>44731.67214</v>
      </c>
      <c r="G193" s="24" t="str">
        <f>IFERROR(__xludf.DUMMYFUNCTION("""COMPUTED_VALUE"""),"Zoe")</f>
        <v>Zoe</v>
      </c>
      <c r="H193" s="24">
        <f>IFERROR(__xludf.DUMMYFUNCTION("""COMPUTED_VALUE"""),947.0)</f>
        <v>947</v>
      </c>
      <c r="I193" s="24" t="str">
        <f>IFERROR(__xludf.DUMMYFUNCTION("""COMPUTED_VALUE"""),"Amazon")</f>
        <v>Amazon</v>
      </c>
    </row>
    <row r="194">
      <c r="A194" s="23">
        <f>IFERROR(__xludf.DUMMYFUNCTION("""COMPUTED_VALUE"""),44738.0)</f>
        <v>44738</v>
      </c>
      <c r="B194" s="24" t="str">
        <f>IFERROR(__xludf.DUMMYFUNCTION("""COMPUTED_VALUE"""),"Claire")</f>
        <v>Claire</v>
      </c>
      <c r="C194" s="24">
        <f>IFERROR(__xludf.DUMMYFUNCTION("""COMPUTED_VALUE"""),-15.0)</f>
        <v>-15</v>
      </c>
      <c r="D194" s="24" t="str">
        <f>IFERROR(__xludf.DUMMYFUNCTION("""COMPUTED_VALUE"""),"XX")</f>
        <v>XX</v>
      </c>
      <c r="F194" s="23">
        <f>IFERROR(__xludf.DUMMYFUNCTION("""COMPUTED_VALUE"""),44731.6723584375)</f>
        <v>44731.67236</v>
      </c>
      <c r="G194" s="24" t="str">
        <f>IFERROR(__xludf.DUMMYFUNCTION("""COMPUTED_VALUE"""),"Zoe")</f>
        <v>Zoe</v>
      </c>
      <c r="H194" s="24">
        <f>IFERROR(__xludf.DUMMYFUNCTION("""COMPUTED_VALUE"""),1015.0)</f>
        <v>1015</v>
      </c>
      <c r="I194" s="24" t="str">
        <f>IFERROR(__xludf.DUMMYFUNCTION("""COMPUTED_VALUE"""),"Amazon")</f>
        <v>Amazon</v>
      </c>
    </row>
    <row r="195">
      <c r="A195" s="23">
        <f>IFERROR(__xludf.DUMMYFUNCTION("""COMPUTED_VALUE"""),44738.0)</f>
        <v>44738</v>
      </c>
      <c r="B195" s="24" t="str">
        <f>IFERROR(__xludf.DUMMYFUNCTION("""COMPUTED_VALUE"""),"Claire")</f>
        <v>Claire</v>
      </c>
      <c r="C195" s="24">
        <f>IFERROR(__xludf.DUMMYFUNCTION("""COMPUTED_VALUE"""),-4.0)</f>
        <v>-4</v>
      </c>
      <c r="D195" s="24" t="str">
        <f>IFERROR(__xludf.DUMMYFUNCTION("""COMPUTED_VALUE"""),"XX")</f>
        <v>XX</v>
      </c>
      <c r="F195" s="23">
        <f>IFERROR(__xludf.DUMMYFUNCTION("""COMPUTED_VALUE"""),44731.67261256945)</f>
        <v>44731.67261</v>
      </c>
      <c r="G195" s="24" t="str">
        <f>IFERROR(__xludf.DUMMYFUNCTION("""COMPUTED_VALUE"""),"Ausar")</f>
        <v>Ausar</v>
      </c>
      <c r="H195" s="24">
        <f>IFERROR(__xludf.DUMMYFUNCTION("""COMPUTED_VALUE"""),385.0)</f>
        <v>385</v>
      </c>
      <c r="I195" s="24" t="str">
        <f>IFERROR(__xludf.DUMMYFUNCTION("""COMPUTED_VALUE"""),"Drinks")</f>
        <v>Drinks</v>
      </c>
    </row>
    <row r="196">
      <c r="A196" s="23">
        <f>IFERROR(__xludf.DUMMYFUNCTION("""COMPUTED_VALUE"""),44738.0)</f>
        <v>44738</v>
      </c>
      <c r="B196" s="24" t="str">
        <f>IFERROR(__xludf.DUMMYFUNCTION("""COMPUTED_VALUE"""),"Claire")</f>
        <v>Claire</v>
      </c>
      <c r="C196" s="24">
        <f>IFERROR(__xludf.DUMMYFUNCTION("""COMPUTED_VALUE"""),-12.0)</f>
        <v>-12</v>
      </c>
      <c r="D196" s="24" t="str">
        <f>IFERROR(__xludf.DUMMYFUNCTION("""COMPUTED_VALUE"""),"XX")</f>
        <v>XX</v>
      </c>
      <c r="F196" s="23">
        <f>IFERROR(__xludf.DUMMYFUNCTION("""COMPUTED_VALUE"""),44731.675216400465)</f>
        <v>44731.67522</v>
      </c>
      <c r="G196" s="24" t="str">
        <f>IFERROR(__xludf.DUMMYFUNCTION("""COMPUTED_VALUE"""),"Ausar")</f>
        <v>Ausar</v>
      </c>
      <c r="H196" s="24">
        <f>IFERROR(__xludf.DUMMYFUNCTION("""COMPUTED_VALUE"""),272.0)</f>
        <v>272</v>
      </c>
      <c r="I196" s="24" t="str">
        <f>IFERROR(__xludf.DUMMYFUNCTION("""COMPUTED_VALUE"""),"Meat")</f>
        <v>Meat</v>
      </c>
    </row>
    <row r="197">
      <c r="A197" s="23">
        <f>IFERROR(__xludf.DUMMYFUNCTION("""COMPUTED_VALUE"""),44738.0)</f>
        <v>44738</v>
      </c>
      <c r="B197" s="24" t="str">
        <f>IFERROR(__xludf.DUMMYFUNCTION("""COMPUTED_VALUE"""),"Claire")</f>
        <v>Claire</v>
      </c>
      <c r="C197" s="24">
        <f>IFERROR(__xludf.DUMMYFUNCTION("""COMPUTED_VALUE"""),-32.0)</f>
        <v>-32</v>
      </c>
      <c r="D197" s="24" t="str">
        <f>IFERROR(__xludf.DUMMYFUNCTION("""COMPUTED_VALUE"""),"XX")</f>
        <v>XX</v>
      </c>
      <c r="F197" s="23">
        <f>IFERROR(__xludf.DUMMYFUNCTION("""COMPUTED_VALUE"""),44731.67526650463)</f>
        <v>44731.67527</v>
      </c>
      <c r="G197" s="24" t="str">
        <f>IFERROR(__xludf.DUMMYFUNCTION("""COMPUTED_VALUE"""),"Zoe")</f>
        <v>Zoe</v>
      </c>
      <c r="H197" s="24">
        <f>IFERROR(__xludf.DUMMYFUNCTION("""COMPUTED_VALUE"""),28.0)</f>
        <v>28</v>
      </c>
      <c r="I197" s="24" t="str">
        <f>IFERROR(__xludf.DUMMYFUNCTION("""COMPUTED_VALUE"""),"Assorted option")</f>
        <v>Assorted option</v>
      </c>
    </row>
    <row r="198">
      <c r="A198" s="23">
        <f>IFERROR(__xludf.DUMMYFUNCTION("""COMPUTED_VALUE"""),44738.0)</f>
        <v>44738</v>
      </c>
      <c r="B198" s="24" t="str">
        <f>IFERROR(__xludf.DUMMYFUNCTION("""COMPUTED_VALUE"""),"Claire")</f>
        <v>Claire</v>
      </c>
      <c r="C198" s="24">
        <f>IFERROR(__xludf.DUMMYFUNCTION("""COMPUTED_VALUE"""),575.0)</f>
        <v>575</v>
      </c>
      <c r="D198" s="24" t="str">
        <f>IFERROR(__xludf.DUMMYFUNCTION("""COMPUTED_VALUE"""),"I4")</f>
        <v>I4</v>
      </c>
      <c r="F198" s="23">
        <f>IFERROR(__xludf.DUMMYFUNCTION("""COMPUTED_VALUE"""),44731.67558603009)</f>
        <v>44731.67559</v>
      </c>
      <c r="G198" s="24" t="str">
        <f>IFERROR(__xludf.DUMMYFUNCTION("""COMPUTED_VALUE"""),"Zoe")</f>
        <v>Zoe</v>
      </c>
      <c r="H198" s="24">
        <f>IFERROR(__xludf.DUMMYFUNCTION("""COMPUTED_VALUE"""),44.0)</f>
        <v>44</v>
      </c>
      <c r="I198" s="24" t="str">
        <f>IFERROR(__xludf.DUMMYFUNCTION("""COMPUTED_VALUE"""),"Paper goods")</f>
        <v>Paper goods</v>
      </c>
    </row>
    <row r="199">
      <c r="A199" s="23">
        <f>IFERROR(__xludf.DUMMYFUNCTION("""COMPUTED_VALUE"""),44738.0)</f>
        <v>44738</v>
      </c>
      <c r="B199" s="24" t="str">
        <f>IFERROR(__xludf.DUMMYFUNCTION("""COMPUTED_VALUE"""),"Claire")</f>
        <v>Claire</v>
      </c>
      <c r="C199" s="24">
        <f>IFERROR(__xludf.DUMMYFUNCTION("""COMPUTED_VALUE"""),186.0)</f>
        <v>186</v>
      </c>
      <c r="D199" s="24" t="str">
        <f>IFERROR(__xludf.DUMMYFUNCTION("""COMPUTED_VALUE"""),"L1")</f>
        <v>L1</v>
      </c>
      <c r="F199" s="23">
        <f>IFERROR(__xludf.DUMMYFUNCTION("""COMPUTED_VALUE"""),44731.675602557865)</f>
        <v>44731.6756</v>
      </c>
      <c r="G199" s="24" t="str">
        <f>IFERROR(__xludf.DUMMYFUNCTION("""COMPUTED_VALUE"""),"Ausar")</f>
        <v>Ausar</v>
      </c>
      <c r="H199" s="24">
        <f>IFERROR(__xludf.DUMMYFUNCTION("""COMPUTED_VALUE"""),303.0)</f>
        <v>303</v>
      </c>
      <c r="I199" s="24" t="str">
        <f>IFERROR(__xludf.DUMMYFUNCTION("""COMPUTED_VALUE"""),"Paper goods")</f>
        <v>Paper goods</v>
      </c>
    </row>
    <row r="200">
      <c r="A200" s="23">
        <f>IFERROR(__xludf.DUMMYFUNCTION("""COMPUTED_VALUE"""),44738.0)</f>
        <v>44738</v>
      </c>
      <c r="B200" s="24" t="str">
        <f>IFERROR(__xludf.DUMMYFUNCTION("""COMPUTED_VALUE"""),"Claire")</f>
        <v>Claire</v>
      </c>
      <c r="C200" s="24">
        <f>IFERROR(__xludf.DUMMYFUNCTION("""COMPUTED_VALUE"""),-227.0)</f>
        <v>-227</v>
      </c>
      <c r="D200" s="24" t="str">
        <f>IFERROR(__xludf.DUMMYFUNCTION("""COMPUTED_VALUE"""),"XX")</f>
        <v>XX</v>
      </c>
      <c r="F200" s="23">
        <f>IFERROR(__xludf.DUMMYFUNCTION("""COMPUTED_VALUE"""),44731.67590969907)</f>
        <v>44731.67591</v>
      </c>
      <c r="G200" s="24" t="str">
        <f>IFERROR(__xludf.DUMMYFUNCTION("""COMPUTED_VALUE"""),"Ausar")</f>
        <v>Ausar</v>
      </c>
      <c r="H200" s="24">
        <f>IFERROR(__xludf.DUMMYFUNCTION("""COMPUTED_VALUE"""),29.0)</f>
        <v>29</v>
      </c>
      <c r="I200" s="24" t="str">
        <f>IFERROR(__xludf.DUMMYFUNCTION("""COMPUTED_VALUE"""),"Assorted option")</f>
        <v>Assorted option</v>
      </c>
    </row>
    <row r="201">
      <c r="A201" s="23">
        <f>IFERROR(__xludf.DUMMYFUNCTION("""COMPUTED_VALUE"""),44738.0)</f>
        <v>44738</v>
      </c>
      <c r="B201" s="24" t="str">
        <f>IFERROR(__xludf.DUMMYFUNCTION("""COMPUTED_VALUE"""),"Claire")</f>
        <v>Claire</v>
      </c>
      <c r="C201" s="24">
        <f>IFERROR(__xludf.DUMMYFUNCTION("""COMPUTED_VALUE"""),-323.0)</f>
        <v>-323</v>
      </c>
      <c r="D201" s="24" t="str">
        <f>IFERROR(__xludf.DUMMYFUNCTION("""COMPUTED_VALUE"""),"XX")</f>
        <v>XX</v>
      </c>
      <c r="F201" s="23">
        <f>IFERROR(__xludf.DUMMYFUNCTION("""COMPUTED_VALUE"""),44731.67591387731)</f>
        <v>44731.67591</v>
      </c>
      <c r="G201" s="24" t="str">
        <f>IFERROR(__xludf.DUMMYFUNCTION("""COMPUTED_VALUE"""),"Zoe")</f>
        <v>Zoe</v>
      </c>
      <c r="H201" s="24">
        <f>IFERROR(__xludf.DUMMYFUNCTION("""COMPUTED_VALUE"""),10.0)</f>
        <v>10</v>
      </c>
      <c r="I201" s="24" t="str">
        <f>IFERROR(__xludf.DUMMYFUNCTION("""COMPUTED_VALUE"""),"Deodorant ")</f>
        <v>Deodorant </v>
      </c>
    </row>
    <row r="202">
      <c r="A202" s="23">
        <f>IFERROR(__xludf.DUMMYFUNCTION("""COMPUTED_VALUE"""),44738.0)</f>
        <v>44738</v>
      </c>
      <c r="B202" s="24" t="str">
        <f>IFERROR(__xludf.DUMMYFUNCTION("""COMPUTED_VALUE"""),"Claire")</f>
        <v>Claire</v>
      </c>
      <c r="C202" s="24">
        <f>IFERROR(__xludf.DUMMYFUNCTION("""COMPUTED_VALUE"""),-120.0)</f>
        <v>-120</v>
      </c>
      <c r="D202" s="24" t="str">
        <f>IFERROR(__xludf.DUMMYFUNCTION("""COMPUTED_VALUE"""),"XX")</f>
        <v>XX</v>
      </c>
      <c r="F202" s="23">
        <f>IFERROR(__xludf.DUMMYFUNCTION("""COMPUTED_VALUE"""),44731.67632107639)</f>
        <v>44731.67632</v>
      </c>
      <c r="G202" s="24" t="str">
        <f>IFERROR(__xludf.DUMMYFUNCTION("""COMPUTED_VALUE"""),"Zoe")</f>
        <v>Zoe</v>
      </c>
      <c r="H202" s="24">
        <f>IFERROR(__xludf.DUMMYFUNCTION("""COMPUTED_VALUE"""),40.0)</f>
        <v>40</v>
      </c>
      <c r="I202" s="24" t="str">
        <f>IFERROR(__xludf.DUMMYFUNCTION("""COMPUTED_VALUE"""),"Wipes")</f>
        <v>Wipes</v>
      </c>
    </row>
    <row r="203">
      <c r="A203" s="23">
        <f>IFERROR(__xludf.DUMMYFUNCTION("""COMPUTED_VALUE"""),44738.0)</f>
        <v>44738</v>
      </c>
      <c r="B203" s="24" t="str">
        <f>IFERROR(__xludf.DUMMYFUNCTION("""COMPUTED_VALUE"""),"Claire")</f>
        <v>Claire</v>
      </c>
      <c r="C203" s="24">
        <f>IFERROR(__xludf.DUMMYFUNCTION("""COMPUTED_VALUE"""),-444.0)</f>
        <v>-444</v>
      </c>
      <c r="D203" s="24" t="str">
        <f>IFERROR(__xludf.DUMMYFUNCTION("""COMPUTED_VALUE"""),"XX")</f>
        <v>XX</v>
      </c>
      <c r="F203" s="23">
        <f>IFERROR(__xludf.DUMMYFUNCTION("""COMPUTED_VALUE"""),44731.67647282408)</f>
        <v>44731.67647</v>
      </c>
      <c r="G203" s="24" t="str">
        <f>IFERROR(__xludf.DUMMYFUNCTION("""COMPUTED_VALUE"""),"Ausar")</f>
        <v>Ausar</v>
      </c>
      <c r="H203" s="24">
        <f>IFERROR(__xludf.DUMMYFUNCTION("""COMPUTED_VALUE"""),176.0)</f>
        <v>176</v>
      </c>
      <c r="I203" s="24" t="str">
        <f>IFERROR(__xludf.DUMMYFUNCTION("""COMPUTED_VALUE"""),"Assorted option")</f>
        <v>Assorted option</v>
      </c>
    </row>
    <row r="204">
      <c r="A204" s="23">
        <f>IFERROR(__xludf.DUMMYFUNCTION("""COMPUTED_VALUE"""),44738.0)</f>
        <v>44738</v>
      </c>
      <c r="B204" s="24" t="str">
        <f>IFERROR(__xludf.DUMMYFUNCTION("""COMPUTED_VALUE"""),"Claire")</f>
        <v>Claire</v>
      </c>
      <c r="C204" s="24">
        <f>IFERROR(__xludf.DUMMYFUNCTION("""COMPUTED_VALUE"""),-439.0)</f>
        <v>-439</v>
      </c>
      <c r="D204" s="24" t="str">
        <f>IFERROR(__xludf.DUMMYFUNCTION("""COMPUTED_VALUE"""),"XX")</f>
        <v>XX</v>
      </c>
      <c r="F204" s="23">
        <f>IFERROR(__xludf.DUMMYFUNCTION("""COMPUTED_VALUE"""),44731.67680767361)</f>
        <v>44731.67681</v>
      </c>
      <c r="G204" s="24" t="str">
        <f>IFERROR(__xludf.DUMMYFUNCTION("""COMPUTED_VALUE"""),"Zoe")</f>
        <v>Zoe</v>
      </c>
      <c r="H204" s="24">
        <f>IFERROR(__xludf.DUMMYFUNCTION("""COMPUTED_VALUE"""),151.0)</f>
        <v>151</v>
      </c>
      <c r="I204" s="24" t="str">
        <f>IFERROR(__xludf.DUMMYFUNCTION("""COMPUTED_VALUE"""),"Canned food")</f>
        <v>Canned food</v>
      </c>
    </row>
    <row r="205">
      <c r="A205" s="23">
        <f>IFERROR(__xludf.DUMMYFUNCTION("""COMPUTED_VALUE"""),44738.0)</f>
        <v>44738</v>
      </c>
      <c r="B205" s="24" t="str">
        <f>IFERROR(__xludf.DUMMYFUNCTION("""COMPUTED_VALUE"""),"Claire")</f>
        <v>Claire</v>
      </c>
      <c r="C205" s="24">
        <f>IFERROR(__xludf.DUMMYFUNCTION("""COMPUTED_VALUE"""),-262.0)</f>
        <v>-262</v>
      </c>
      <c r="D205" s="24" t="str">
        <f>IFERROR(__xludf.DUMMYFUNCTION("""COMPUTED_VALUE"""),"XX")</f>
        <v>XX</v>
      </c>
      <c r="F205" s="23">
        <f>IFERROR(__xludf.DUMMYFUNCTION("""COMPUTED_VALUE"""),44731.67730577546)</f>
        <v>44731.67731</v>
      </c>
      <c r="G205" s="24" t="str">
        <f>IFERROR(__xludf.DUMMYFUNCTION("""COMPUTED_VALUE"""),"Anna Nicosia")</f>
        <v>Anna Nicosia</v>
      </c>
      <c r="H205" s="24">
        <f>IFERROR(__xludf.DUMMYFUNCTION("""COMPUTED_VALUE"""),16.5)</f>
        <v>16.5</v>
      </c>
      <c r="I205" s="24"/>
    </row>
    <row r="206">
      <c r="A206" s="23">
        <f>IFERROR(__xludf.DUMMYFUNCTION("""COMPUTED_VALUE"""),44738.0)</f>
        <v>44738</v>
      </c>
      <c r="B206" s="24" t="str">
        <f>IFERROR(__xludf.DUMMYFUNCTION("""COMPUTED_VALUE"""),"Claire")</f>
        <v>Claire</v>
      </c>
      <c r="C206" s="24">
        <f>IFERROR(__xludf.DUMMYFUNCTION("""COMPUTED_VALUE"""),-527.0)</f>
        <v>-527</v>
      </c>
      <c r="D206" s="24" t="str">
        <f>IFERROR(__xludf.DUMMYFUNCTION("""COMPUTED_VALUE"""),"XX")</f>
        <v>XX</v>
      </c>
      <c r="F206" s="23">
        <f>IFERROR(__xludf.DUMMYFUNCTION("""COMPUTED_VALUE"""),44731.67740935185)</f>
        <v>44731.67741</v>
      </c>
      <c r="G206" s="24" t="str">
        <f>IFERROR(__xludf.DUMMYFUNCTION("""COMPUTED_VALUE"""),"Evan El-Halawani")</f>
        <v>Evan El-Halawani</v>
      </c>
      <c r="H206" s="24">
        <f>IFERROR(__xludf.DUMMYFUNCTION("""COMPUTED_VALUE"""),18.0)</f>
        <v>18</v>
      </c>
      <c r="I206" s="24"/>
    </row>
    <row r="207">
      <c r="A207" s="23">
        <f>IFERROR(__xludf.DUMMYFUNCTION("""COMPUTED_VALUE"""),44738.0)</f>
        <v>44738</v>
      </c>
      <c r="B207" s="24" t="str">
        <f>IFERROR(__xludf.DUMMYFUNCTION("""COMPUTED_VALUE"""),"Claire")</f>
        <v>Claire</v>
      </c>
      <c r="C207" s="24">
        <f>IFERROR(__xludf.DUMMYFUNCTION("""COMPUTED_VALUE"""),-216.0)</f>
        <v>-216</v>
      </c>
      <c r="D207" s="24" t="str">
        <f>IFERROR(__xludf.DUMMYFUNCTION("""COMPUTED_VALUE"""),"XX")</f>
        <v>XX</v>
      </c>
      <c r="F207" s="23">
        <f>IFERROR(__xludf.DUMMYFUNCTION("""COMPUTED_VALUE"""),44731.704375092595)</f>
        <v>44731.70438</v>
      </c>
      <c r="G207" s="24" t="str">
        <f>IFERROR(__xludf.DUMMYFUNCTION("""COMPUTED_VALUE"""),"Ausar")</f>
        <v>Ausar</v>
      </c>
      <c r="H207" s="24">
        <f>IFERROR(__xludf.DUMMYFUNCTION("""COMPUTED_VALUE"""),8.0)</f>
        <v>8</v>
      </c>
      <c r="I207" s="24" t="str">
        <f>IFERROR(__xludf.DUMMYFUNCTION("""COMPUTED_VALUE"""),"Assorted option")</f>
        <v>Assorted option</v>
      </c>
    </row>
    <row r="208">
      <c r="A208" s="23">
        <f>IFERROR(__xludf.DUMMYFUNCTION("""COMPUTED_VALUE"""),44738.0)</f>
        <v>44738</v>
      </c>
      <c r="B208" s="24" t="str">
        <f>IFERROR(__xludf.DUMMYFUNCTION("""COMPUTED_VALUE"""),"Claire")</f>
        <v>Claire</v>
      </c>
      <c r="C208" s="24">
        <f>IFERROR(__xludf.DUMMYFUNCTION("""COMPUTED_VALUE"""),-494.0)</f>
        <v>-494</v>
      </c>
      <c r="D208" s="24" t="str">
        <f>IFERROR(__xludf.DUMMYFUNCTION("""COMPUTED_VALUE"""),"XX")</f>
        <v>XX</v>
      </c>
      <c r="F208" s="23">
        <f>IFERROR(__xludf.DUMMYFUNCTION("""COMPUTED_VALUE"""),44733.0)</f>
        <v>44733</v>
      </c>
      <c r="G208" s="24" t="str">
        <f>IFERROR(__xludf.DUMMYFUNCTION("""COMPUTED_VALUE"""),"Claire")</f>
        <v>Claire</v>
      </c>
      <c r="H208" s="24">
        <f>IFERROR(__xludf.DUMMYFUNCTION("""COMPUTED_VALUE"""),21.0)</f>
        <v>21</v>
      </c>
      <c r="I208" s="24" t="str">
        <f>IFERROR(__xludf.DUMMYFUNCTION("""COMPUTED_VALUE"""),"C3")</f>
        <v>C3</v>
      </c>
    </row>
    <row r="209">
      <c r="A209" s="23">
        <f>IFERROR(__xludf.DUMMYFUNCTION("""COMPUTED_VALUE"""),44738.0)</f>
        <v>44738</v>
      </c>
      <c r="B209" s="24" t="str">
        <f>IFERROR(__xludf.DUMMYFUNCTION("""COMPUTED_VALUE"""),"Claire")</f>
        <v>Claire</v>
      </c>
      <c r="C209" s="24">
        <f>IFERROR(__xludf.DUMMYFUNCTION("""COMPUTED_VALUE"""),-42.0)</f>
        <v>-42</v>
      </c>
      <c r="D209" s="24" t="str">
        <f>IFERROR(__xludf.DUMMYFUNCTION("""COMPUTED_VALUE"""),"XX")</f>
        <v>XX</v>
      </c>
      <c r="F209" s="23">
        <f>IFERROR(__xludf.DUMMYFUNCTION("""COMPUTED_VALUE"""),44733.0)</f>
        <v>44733</v>
      </c>
      <c r="G209" s="24" t="str">
        <f>IFERROR(__xludf.DUMMYFUNCTION("""COMPUTED_VALUE"""),"Claire")</f>
        <v>Claire</v>
      </c>
      <c r="H209" s="24">
        <f>IFERROR(__xludf.DUMMYFUNCTION("""COMPUTED_VALUE"""),303.0)</f>
        <v>303</v>
      </c>
      <c r="I209" s="24" t="str">
        <f>IFERROR(__xludf.DUMMYFUNCTION("""COMPUTED_VALUE"""),"Amazon")</f>
        <v>Amazon</v>
      </c>
    </row>
    <row r="210">
      <c r="A210" s="23">
        <f>IFERROR(__xludf.DUMMYFUNCTION("""COMPUTED_VALUE"""),44738.0)</f>
        <v>44738</v>
      </c>
      <c r="B210" s="24" t="str">
        <f>IFERROR(__xludf.DUMMYFUNCTION("""COMPUTED_VALUE"""),"Claire")</f>
        <v>Claire</v>
      </c>
      <c r="C210" s="24">
        <f>IFERROR(__xludf.DUMMYFUNCTION("""COMPUTED_VALUE"""),-37.0)</f>
        <v>-37</v>
      </c>
      <c r="D210" s="24" t="str">
        <f>IFERROR(__xludf.DUMMYFUNCTION("""COMPUTED_VALUE"""),"XX")</f>
        <v>XX</v>
      </c>
      <c r="F210" s="23">
        <f>IFERROR(__xludf.DUMMYFUNCTION("""COMPUTED_VALUE"""),44733.0)</f>
        <v>44733</v>
      </c>
      <c r="G210" s="24" t="str">
        <f>IFERROR(__xludf.DUMMYFUNCTION("""COMPUTED_VALUE"""),"Claire")</f>
        <v>Claire</v>
      </c>
      <c r="H210" s="24">
        <f>IFERROR(__xludf.DUMMYFUNCTION("""COMPUTED_VALUE"""),301.0)</f>
        <v>301</v>
      </c>
      <c r="I210" s="24" t="str">
        <f>IFERROR(__xludf.DUMMYFUNCTION("""COMPUTED_VALUE"""),"Amazon")</f>
        <v>Amazon</v>
      </c>
    </row>
    <row r="211">
      <c r="A211" s="23">
        <f>IFERROR(__xludf.DUMMYFUNCTION("""COMPUTED_VALUE"""),44738.0)</f>
        <v>44738</v>
      </c>
      <c r="B211" s="24" t="str">
        <f>IFERROR(__xludf.DUMMYFUNCTION("""COMPUTED_VALUE"""),"Claire")</f>
        <v>Claire</v>
      </c>
      <c r="C211" s="24">
        <f>IFERROR(__xludf.DUMMYFUNCTION("""COMPUTED_VALUE"""),-163.0)</f>
        <v>-163</v>
      </c>
      <c r="D211" s="24" t="str">
        <f>IFERROR(__xludf.DUMMYFUNCTION("""COMPUTED_VALUE"""),"XX")</f>
        <v>XX</v>
      </c>
      <c r="F211" s="23">
        <f>IFERROR(__xludf.DUMMYFUNCTION("""COMPUTED_VALUE"""),44733.0)</f>
        <v>44733</v>
      </c>
      <c r="G211" s="24" t="str">
        <f>IFERROR(__xludf.DUMMYFUNCTION("""COMPUTED_VALUE"""),"Claire")</f>
        <v>Claire</v>
      </c>
      <c r="H211" s="24">
        <f>IFERROR(__xludf.DUMMYFUNCTION("""COMPUTED_VALUE"""),281.0)</f>
        <v>281</v>
      </c>
      <c r="I211" s="24" t="str">
        <f>IFERROR(__xludf.DUMMYFUNCTION("""COMPUTED_VALUE"""),"Amazon")</f>
        <v>Amazon</v>
      </c>
    </row>
    <row r="212">
      <c r="A212" s="23">
        <f>IFERROR(__xludf.DUMMYFUNCTION("""COMPUTED_VALUE"""),44738.0)</f>
        <v>44738</v>
      </c>
      <c r="B212" s="24" t="str">
        <f>IFERROR(__xludf.DUMMYFUNCTION("""COMPUTED_VALUE"""),"Claire")</f>
        <v>Claire</v>
      </c>
      <c r="C212" s="24">
        <f>IFERROR(__xludf.DUMMYFUNCTION("""COMPUTED_VALUE"""),-86.0)</f>
        <v>-86</v>
      </c>
      <c r="D212" s="24" t="str">
        <f>IFERROR(__xludf.DUMMYFUNCTION("""COMPUTED_VALUE"""),"XX")</f>
        <v>XX</v>
      </c>
      <c r="F212" s="23">
        <f>IFERROR(__xludf.DUMMYFUNCTION("""COMPUTED_VALUE"""),44733.0)</f>
        <v>44733</v>
      </c>
      <c r="G212" s="24" t="str">
        <f>IFERROR(__xludf.DUMMYFUNCTION("""COMPUTED_VALUE"""),"Claire")</f>
        <v>Claire</v>
      </c>
      <c r="H212" s="24">
        <f>IFERROR(__xludf.DUMMYFUNCTION("""COMPUTED_VALUE"""),892.0)</f>
        <v>892</v>
      </c>
      <c r="I212" s="24" t="str">
        <f>IFERROR(__xludf.DUMMYFUNCTION("""COMPUTED_VALUE"""),"Amazon")</f>
        <v>Amazon</v>
      </c>
    </row>
    <row r="213">
      <c r="A213" s="23">
        <f>IFERROR(__xludf.DUMMYFUNCTION("""COMPUTED_VALUE"""),44738.0)</f>
        <v>44738</v>
      </c>
      <c r="B213" s="24" t="str">
        <f>IFERROR(__xludf.DUMMYFUNCTION("""COMPUTED_VALUE"""),"Claire")</f>
        <v>Claire</v>
      </c>
      <c r="C213" s="24">
        <f>IFERROR(__xludf.DUMMYFUNCTION("""COMPUTED_VALUE"""),-13.0)</f>
        <v>-13</v>
      </c>
      <c r="D213" s="24" t="str">
        <f>IFERROR(__xludf.DUMMYFUNCTION("""COMPUTED_VALUE"""),"XX")</f>
        <v>XX</v>
      </c>
      <c r="F213" s="23">
        <f>IFERROR(__xludf.DUMMYFUNCTION("""COMPUTED_VALUE"""),44733.0)</f>
        <v>44733</v>
      </c>
      <c r="G213" s="24" t="str">
        <f>IFERROR(__xludf.DUMMYFUNCTION("""COMPUTED_VALUE"""),"Claire")</f>
        <v>Claire</v>
      </c>
      <c r="H213" s="24">
        <f>IFERROR(__xludf.DUMMYFUNCTION("""COMPUTED_VALUE"""),867.0)</f>
        <v>867</v>
      </c>
      <c r="I213" s="24" t="str">
        <f>IFERROR(__xludf.DUMMYFUNCTION("""COMPUTED_VALUE"""),"Amazon")</f>
        <v>Amazon</v>
      </c>
    </row>
    <row r="214">
      <c r="A214" s="23">
        <f>IFERROR(__xludf.DUMMYFUNCTION("""COMPUTED_VALUE"""),44741.0)</f>
        <v>44741</v>
      </c>
      <c r="B214" s="24" t="str">
        <f>IFERROR(__xludf.DUMMYFUNCTION("""COMPUTED_VALUE"""),"Claire")</f>
        <v>Claire</v>
      </c>
      <c r="C214" s="24">
        <f>IFERROR(__xludf.DUMMYFUNCTION("""COMPUTED_VALUE"""),-2.0)</f>
        <v>-2</v>
      </c>
      <c r="D214" s="24" t="str">
        <f>IFERROR(__xludf.DUMMYFUNCTION("""COMPUTED_VALUE"""),"N3")</f>
        <v>N3</v>
      </c>
      <c r="F214" s="23">
        <f>IFERROR(__xludf.DUMMYFUNCTION("""COMPUTED_VALUE"""),44733.0)</f>
        <v>44733</v>
      </c>
      <c r="G214" s="24" t="str">
        <f>IFERROR(__xludf.DUMMYFUNCTION("""COMPUTED_VALUE"""),"Claire")</f>
        <v>Claire</v>
      </c>
      <c r="H214" s="24">
        <f>IFERROR(__xludf.DUMMYFUNCTION("""COMPUTED_VALUE"""),901.0)</f>
        <v>901</v>
      </c>
      <c r="I214" s="24" t="str">
        <f>IFERROR(__xludf.DUMMYFUNCTION("""COMPUTED_VALUE"""),"Amazon")</f>
        <v>Amazon</v>
      </c>
    </row>
    <row r="215">
      <c r="A215" s="23">
        <f>IFERROR(__xludf.DUMMYFUNCTION("""COMPUTED_VALUE"""),44741.0)</f>
        <v>44741</v>
      </c>
      <c r="B215" s="24" t="str">
        <f>IFERROR(__xludf.DUMMYFUNCTION("""COMPUTED_VALUE"""),"Claire")</f>
        <v>Claire</v>
      </c>
      <c r="C215" s="24">
        <f>IFERROR(__xludf.DUMMYFUNCTION("""COMPUTED_VALUE"""),13.0)</f>
        <v>13</v>
      </c>
      <c r="D215" s="24" t="str">
        <f>IFERROR(__xludf.DUMMYFUNCTION("""COMPUTED_VALUE"""),"P5")</f>
        <v>P5</v>
      </c>
      <c r="F215" s="23">
        <f>IFERROR(__xludf.DUMMYFUNCTION("""COMPUTED_VALUE"""),44733.0)</f>
        <v>44733</v>
      </c>
      <c r="G215" s="24" t="str">
        <f>IFERROR(__xludf.DUMMYFUNCTION("""COMPUTED_VALUE"""),"Claire")</f>
        <v>Claire</v>
      </c>
      <c r="H215" s="24">
        <f>IFERROR(__xludf.DUMMYFUNCTION("""COMPUTED_VALUE"""),1305.0)</f>
        <v>1305</v>
      </c>
      <c r="I215" s="24" t="str">
        <f>IFERROR(__xludf.DUMMYFUNCTION("""COMPUTED_VALUE"""),"Amazon")</f>
        <v>Amazon</v>
      </c>
    </row>
    <row r="216">
      <c r="A216" s="23">
        <f>IFERROR(__xludf.DUMMYFUNCTION("""COMPUTED_VALUE"""),44741.0)</f>
        <v>44741</v>
      </c>
      <c r="B216" s="24" t="str">
        <f>IFERROR(__xludf.DUMMYFUNCTION("""COMPUTED_VALUE"""),"Claire")</f>
        <v>Claire</v>
      </c>
      <c r="C216" s="24">
        <f>IFERROR(__xludf.DUMMYFUNCTION("""COMPUTED_VALUE"""),38.0)</f>
        <v>38</v>
      </c>
      <c r="D216" s="24" t="str">
        <f>IFERROR(__xludf.DUMMYFUNCTION("""COMPUTED_VALUE"""),"N2")</f>
        <v>N2</v>
      </c>
      <c r="F216" s="23">
        <f>IFERROR(__xludf.DUMMYFUNCTION("""COMPUTED_VALUE"""),44733.699923761575)</f>
        <v>44733.69992</v>
      </c>
      <c r="G216" s="24" t="str">
        <f>IFERROR(__xludf.DUMMYFUNCTION("""COMPUTED_VALUE"""),"Gretchen Pike")</f>
        <v>Gretchen Pike</v>
      </c>
      <c r="H216" s="24">
        <f>IFERROR(__xludf.DUMMYFUNCTION("""COMPUTED_VALUE"""),19.0)</f>
        <v>19</v>
      </c>
      <c r="I216" s="24"/>
    </row>
    <row r="217">
      <c r="A217" s="23">
        <f>IFERROR(__xludf.DUMMYFUNCTION("""COMPUTED_VALUE"""),44741.0)</f>
        <v>44741</v>
      </c>
      <c r="B217" s="24" t="str">
        <f>IFERROR(__xludf.DUMMYFUNCTION("""COMPUTED_VALUE"""),"Claire")</f>
        <v>Claire</v>
      </c>
      <c r="C217" s="24">
        <f>IFERROR(__xludf.DUMMYFUNCTION("""COMPUTED_VALUE"""),13.0)</f>
        <v>13</v>
      </c>
      <c r="D217" s="24" t="str">
        <f>IFERROR(__xludf.DUMMYFUNCTION("""COMPUTED_VALUE"""),"P5")</f>
        <v>P5</v>
      </c>
      <c r="F217" s="23">
        <f>IFERROR(__xludf.DUMMYFUNCTION("""COMPUTED_VALUE"""),44733.70019844907)</f>
        <v>44733.7002</v>
      </c>
      <c r="G217" s="24" t="str">
        <f>IFERROR(__xludf.DUMMYFUNCTION("""COMPUTED_VALUE"""),"Gretchen Pike")</f>
        <v>Gretchen Pike</v>
      </c>
      <c r="H217" s="24">
        <f>IFERROR(__xludf.DUMMYFUNCTION("""COMPUTED_VALUE"""),3.0)</f>
        <v>3</v>
      </c>
      <c r="I217" s="24"/>
    </row>
    <row r="218">
      <c r="A218" s="23">
        <f>IFERROR(__xludf.DUMMYFUNCTION("""COMPUTED_VALUE"""),44741.0)</f>
        <v>44741</v>
      </c>
      <c r="B218" s="24" t="str">
        <f>IFERROR(__xludf.DUMMYFUNCTION("""COMPUTED_VALUE"""),"Claire")</f>
        <v>Claire</v>
      </c>
      <c r="C218" s="24">
        <f>IFERROR(__xludf.DUMMYFUNCTION("""COMPUTED_VALUE"""),125.0)</f>
        <v>125</v>
      </c>
      <c r="D218" s="24" t="str">
        <f>IFERROR(__xludf.DUMMYFUNCTION("""COMPUTED_VALUE"""),"P1")</f>
        <v>P1</v>
      </c>
      <c r="F218" s="23">
        <f>IFERROR(__xludf.DUMMYFUNCTION("""COMPUTED_VALUE"""),44733.70084754629)</f>
        <v>44733.70085</v>
      </c>
      <c r="G218" s="24" t="str">
        <f>IFERROR(__xludf.DUMMYFUNCTION("""COMPUTED_VALUE"""),"Beverly E. Pinn")</f>
        <v>Beverly E. Pinn</v>
      </c>
      <c r="H218" s="24">
        <f>IFERROR(__xludf.DUMMYFUNCTION("""COMPUTED_VALUE"""),20.0)</f>
        <v>20</v>
      </c>
      <c r="I218" s="24"/>
    </row>
    <row r="219">
      <c r="A219" s="23">
        <f>IFERROR(__xludf.DUMMYFUNCTION("""COMPUTED_VALUE"""),44741.0)</f>
        <v>44741</v>
      </c>
      <c r="B219" s="24" t="str">
        <f>IFERROR(__xludf.DUMMYFUNCTION("""COMPUTED_VALUE"""),"Claire")</f>
        <v>Claire</v>
      </c>
      <c r="C219" s="24">
        <f>IFERROR(__xludf.DUMMYFUNCTION("""COMPUTED_VALUE"""),1094.0)</f>
        <v>1094</v>
      </c>
      <c r="D219" s="24" t="str">
        <f>IFERROR(__xludf.DUMMYFUNCTION("""COMPUTED_VALUE"""),"K1")</f>
        <v>K1</v>
      </c>
      <c r="F219" s="23">
        <f>IFERROR(__xludf.DUMMYFUNCTION("""COMPUTED_VALUE"""),44733.701113773146)</f>
        <v>44733.70111</v>
      </c>
      <c r="G219" s="24" t="str">
        <f>IFERROR(__xludf.DUMMYFUNCTION("""COMPUTED_VALUE"""),"Beverly E. Pinn")</f>
        <v>Beverly E. Pinn</v>
      </c>
      <c r="H219" s="24">
        <f>IFERROR(__xludf.DUMMYFUNCTION("""COMPUTED_VALUE"""),23.0)</f>
        <v>23</v>
      </c>
      <c r="I219" s="24"/>
    </row>
    <row r="220">
      <c r="A220" s="23">
        <f>IFERROR(__xludf.DUMMYFUNCTION("""COMPUTED_VALUE"""),44741.0)</f>
        <v>44741</v>
      </c>
      <c r="B220" s="24" t="str">
        <f>IFERROR(__xludf.DUMMYFUNCTION("""COMPUTED_VALUE"""),"Claire")</f>
        <v>Claire</v>
      </c>
      <c r="C220" s="24">
        <f>IFERROR(__xludf.DUMMYFUNCTION("""COMPUTED_VALUE"""),1061.0)</f>
        <v>1061</v>
      </c>
      <c r="D220" s="24" t="str">
        <f>IFERROR(__xludf.DUMMYFUNCTION("""COMPUTED_VALUE"""),"K2")</f>
        <v>K2</v>
      </c>
      <c r="F220" s="23">
        <f>IFERROR(__xludf.DUMMYFUNCTION("""COMPUTED_VALUE"""),44733.72496001157)</f>
        <v>44733.72496</v>
      </c>
      <c r="G220" s="24" t="str">
        <f>IFERROR(__xludf.DUMMYFUNCTION("""COMPUTED_VALUE"""),"Claire")</f>
        <v>Claire</v>
      </c>
      <c r="H220" s="24">
        <f>IFERROR(__xludf.DUMMYFUNCTION("""COMPUTED_VALUE"""),264.0)</f>
        <v>264</v>
      </c>
      <c r="I220" s="24" t="str">
        <f>IFERROR(__xludf.DUMMYFUNCTION("""COMPUTED_VALUE"""),"Amazon")</f>
        <v>Amazon</v>
      </c>
    </row>
    <row r="221">
      <c r="A221" s="23">
        <f>IFERROR(__xludf.DUMMYFUNCTION("""COMPUTED_VALUE"""),44741.0)</f>
        <v>44741</v>
      </c>
      <c r="B221" s="24" t="str">
        <f>IFERROR(__xludf.DUMMYFUNCTION("""COMPUTED_VALUE"""),"Claire")</f>
        <v>Claire</v>
      </c>
      <c r="C221" s="24">
        <f>IFERROR(__xludf.DUMMYFUNCTION("""COMPUTED_VALUE"""),721.0)</f>
        <v>721</v>
      </c>
      <c r="D221" s="24" t="str">
        <f>IFERROR(__xludf.DUMMYFUNCTION("""COMPUTED_VALUE"""),"K4")</f>
        <v>K4</v>
      </c>
      <c r="F221" s="23">
        <f>IFERROR(__xludf.DUMMYFUNCTION("""COMPUTED_VALUE"""),44733.72516644676)</f>
        <v>44733.72517</v>
      </c>
      <c r="G221" s="24" t="str">
        <f>IFERROR(__xludf.DUMMYFUNCTION("""COMPUTED_VALUE"""),"Claire")</f>
        <v>Claire</v>
      </c>
      <c r="H221" s="24">
        <f>IFERROR(__xludf.DUMMYFUNCTION("""COMPUTED_VALUE"""),1878.0)</f>
        <v>1878</v>
      </c>
      <c r="I221" s="24" t="str">
        <f>IFERROR(__xludf.DUMMYFUNCTION("""COMPUTED_VALUE"""),"Amazon")</f>
        <v>Amazon</v>
      </c>
    </row>
    <row r="222">
      <c r="A222" s="23">
        <f>IFERROR(__xludf.DUMMYFUNCTION("""COMPUTED_VALUE"""),44741.83549130787)</f>
        <v>44741.83549</v>
      </c>
      <c r="B222" s="24" t="str">
        <f>IFERROR(__xludf.DUMMYFUNCTION("""COMPUTED_VALUE"""),"Claire")</f>
        <v>Claire</v>
      </c>
      <c r="C222" s="24">
        <f>IFERROR(__xludf.DUMMYFUNCTION("""COMPUTED_VALUE"""),1253.0)</f>
        <v>1253</v>
      </c>
      <c r="D222" s="24" t="str">
        <f>IFERROR(__xludf.DUMMYFUNCTION("""COMPUTED_VALUE"""),"H6")</f>
        <v>H6</v>
      </c>
      <c r="F222" s="23">
        <f>IFERROR(__xludf.DUMMYFUNCTION("""COMPUTED_VALUE"""),44733.72532726852)</f>
        <v>44733.72533</v>
      </c>
      <c r="G222" s="24" t="str">
        <f>IFERROR(__xludf.DUMMYFUNCTION("""COMPUTED_VALUE"""),"Claire")</f>
        <v>Claire</v>
      </c>
      <c r="H222" s="24">
        <f>IFERROR(__xludf.DUMMYFUNCTION("""COMPUTED_VALUE"""),2773.0)</f>
        <v>2773</v>
      </c>
      <c r="I222" s="24" t="str">
        <f>IFERROR(__xludf.DUMMYFUNCTION("""COMPUTED_VALUE"""),"Amazon")</f>
        <v>Amazon</v>
      </c>
    </row>
    <row r="223">
      <c r="A223" s="23">
        <f>IFERROR(__xludf.DUMMYFUNCTION("""COMPUTED_VALUE"""),44741.83588863426)</f>
        <v>44741.83589</v>
      </c>
      <c r="B223" s="24" t="str">
        <f>IFERROR(__xludf.DUMMYFUNCTION("""COMPUTED_VALUE"""),"Claire")</f>
        <v>Claire</v>
      </c>
      <c r="C223" s="24">
        <f>IFERROR(__xludf.DUMMYFUNCTION("""COMPUTED_VALUE"""),-198.0)</f>
        <v>-198</v>
      </c>
      <c r="D223" s="24" t="str">
        <f>IFERROR(__xludf.DUMMYFUNCTION("""COMPUTED_VALUE"""),"I3")</f>
        <v>I3</v>
      </c>
      <c r="F223" s="23">
        <f>IFERROR(__xludf.DUMMYFUNCTION("""COMPUTED_VALUE"""),44733.72550677083)</f>
        <v>44733.72551</v>
      </c>
      <c r="G223" s="24" t="str">
        <f>IFERROR(__xludf.DUMMYFUNCTION("""COMPUTED_VALUE"""),"Claire")</f>
        <v>Claire</v>
      </c>
      <c r="H223" s="24">
        <f>IFERROR(__xludf.DUMMYFUNCTION("""COMPUTED_VALUE"""),2223.0)</f>
        <v>2223</v>
      </c>
      <c r="I223" s="24" t="str">
        <f>IFERROR(__xludf.DUMMYFUNCTION("""COMPUTED_VALUE"""),"Amazon")</f>
        <v>Amazon</v>
      </c>
    </row>
    <row r="224">
      <c r="A224" s="23">
        <f>IFERROR(__xludf.DUMMYFUNCTION("""COMPUTED_VALUE"""),44741.836110000004)</f>
        <v>44741.83611</v>
      </c>
      <c r="B224" s="24" t="str">
        <f>IFERROR(__xludf.DUMMYFUNCTION("""COMPUTED_VALUE"""),"Claire")</f>
        <v>Claire</v>
      </c>
      <c r="C224" s="24">
        <f>IFERROR(__xludf.DUMMYFUNCTION("""COMPUTED_VALUE"""),198.0)</f>
        <v>198</v>
      </c>
      <c r="D224" s="24" t="str">
        <f>IFERROR(__xludf.DUMMYFUNCTION("""COMPUTED_VALUE"""),"P4")</f>
        <v>P4</v>
      </c>
      <c r="F224" s="23">
        <f>IFERROR(__xludf.DUMMYFUNCTION("""COMPUTED_VALUE"""),44733.72567936343)</f>
        <v>44733.72568</v>
      </c>
      <c r="G224" s="24" t="str">
        <f>IFERROR(__xludf.DUMMYFUNCTION("""COMPUTED_VALUE"""),"Claire")</f>
        <v>Claire</v>
      </c>
      <c r="H224" s="24">
        <f>IFERROR(__xludf.DUMMYFUNCTION("""COMPUTED_VALUE"""),1547.0)</f>
        <v>1547</v>
      </c>
      <c r="I224" s="24" t="str">
        <f>IFERROR(__xludf.DUMMYFUNCTION("""COMPUTED_VALUE"""),"Amazon")</f>
        <v>Amazon</v>
      </c>
    </row>
    <row r="225">
      <c r="A225" s="23">
        <f>IFERROR(__xludf.DUMMYFUNCTION("""COMPUTED_VALUE"""),44741.836487673616)</f>
        <v>44741.83649</v>
      </c>
      <c r="B225" s="24" t="str">
        <f>IFERROR(__xludf.DUMMYFUNCTION("""COMPUTED_VALUE"""),"Claire")</f>
        <v>Claire</v>
      </c>
      <c r="C225" s="24">
        <f>IFERROR(__xludf.DUMMYFUNCTION("""COMPUTED_VALUE"""),1210.0)</f>
        <v>1210</v>
      </c>
      <c r="D225" s="24" t="str">
        <f>IFERROR(__xludf.DUMMYFUNCTION("""COMPUTED_VALUE"""),"I3")</f>
        <v>I3</v>
      </c>
      <c r="F225" s="23">
        <f>IFERROR(__xludf.DUMMYFUNCTION("""COMPUTED_VALUE"""),44733.725943125)</f>
        <v>44733.72594</v>
      </c>
      <c r="G225" s="24" t="str">
        <f>IFERROR(__xludf.DUMMYFUNCTION("""COMPUTED_VALUE"""),"Claire")</f>
        <v>Claire</v>
      </c>
      <c r="H225" s="24">
        <f>IFERROR(__xludf.DUMMYFUNCTION("""COMPUTED_VALUE"""),293.0)</f>
        <v>293</v>
      </c>
      <c r="I225" s="24" t="str">
        <f>IFERROR(__xludf.DUMMYFUNCTION("""COMPUTED_VALUE"""),"Amazon")</f>
        <v>Amazon</v>
      </c>
    </row>
    <row r="226">
      <c r="A226" s="23">
        <f>IFERROR(__xludf.DUMMYFUNCTION("""COMPUTED_VALUE"""),44741.83686069445)</f>
        <v>44741.83686</v>
      </c>
      <c r="B226" s="24" t="str">
        <f>IFERROR(__xludf.DUMMYFUNCTION("""COMPUTED_VALUE"""),"Claire")</f>
        <v>Claire</v>
      </c>
      <c r="C226" s="24">
        <f>IFERROR(__xludf.DUMMYFUNCTION("""COMPUTED_VALUE"""),322.0)</f>
        <v>322</v>
      </c>
      <c r="D226" s="24" t="str">
        <f>IFERROR(__xludf.DUMMYFUNCTION("""COMPUTED_VALUE"""),"E2")</f>
        <v>E2</v>
      </c>
      <c r="F226" s="23">
        <f>IFERROR(__xludf.DUMMYFUNCTION("""COMPUTED_VALUE"""),44733.72614496528)</f>
        <v>44733.72614</v>
      </c>
      <c r="G226" s="24" t="str">
        <f>IFERROR(__xludf.DUMMYFUNCTION("""COMPUTED_VALUE"""),"Claire")</f>
        <v>Claire</v>
      </c>
      <c r="H226" s="24">
        <f>IFERROR(__xludf.DUMMYFUNCTION("""COMPUTED_VALUE"""),1744.0)</f>
        <v>1744</v>
      </c>
      <c r="I226" s="24" t="str">
        <f>IFERROR(__xludf.DUMMYFUNCTION("""COMPUTED_VALUE"""),"Amazon")</f>
        <v>Amazon</v>
      </c>
    </row>
    <row r="227">
      <c r="A227" s="23">
        <f>IFERROR(__xludf.DUMMYFUNCTION("""COMPUTED_VALUE"""),44741.83706427083)</f>
        <v>44741.83706</v>
      </c>
      <c r="B227" s="24" t="str">
        <f>IFERROR(__xludf.DUMMYFUNCTION("""COMPUTED_VALUE"""),"Claire")</f>
        <v>Claire</v>
      </c>
      <c r="C227" s="24">
        <f>IFERROR(__xludf.DUMMYFUNCTION("""COMPUTED_VALUE"""),315.0)</f>
        <v>315</v>
      </c>
      <c r="D227" s="24" t="str">
        <f>IFERROR(__xludf.DUMMYFUNCTION("""COMPUTED_VALUE"""),"F6")</f>
        <v>F6</v>
      </c>
      <c r="F227" s="23">
        <f>IFERROR(__xludf.DUMMYFUNCTION("""COMPUTED_VALUE"""),44733.72631576389)</f>
        <v>44733.72632</v>
      </c>
      <c r="G227" s="24" t="str">
        <f>IFERROR(__xludf.DUMMYFUNCTION("""COMPUTED_VALUE"""),"Claire")</f>
        <v>Claire</v>
      </c>
      <c r="H227" s="24">
        <f>IFERROR(__xludf.DUMMYFUNCTION("""COMPUTED_VALUE"""),1292.0)</f>
        <v>1292</v>
      </c>
      <c r="I227" s="24" t="str">
        <f>IFERROR(__xludf.DUMMYFUNCTION("""COMPUTED_VALUE"""),"Amazon")</f>
        <v>Amazon</v>
      </c>
    </row>
    <row r="228">
      <c r="A228" s="23">
        <f>IFERROR(__xludf.DUMMYFUNCTION("""COMPUTED_VALUE"""),44742.0)</f>
        <v>44742</v>
      </c>
      <c r="B228" s="24" t="str">
        <f>IFERROR(__xludf.DUMMYFUNCTION("""COMPUTED_VALUE"""),"Claire")</f>
        <v>Claire</v>
      </c>
      <c r="C228" s="24">
        <f>IFERROR(__xludf.DUMMYFUNCTION("""COMPUTED_VALUE"""),25.0)</f>
        <v>25</v>
      </c>
      <c r="D228" s="24" t="str">
        <f>IFERROR(__xludf.DUMMYFUNCTION("""COMPUTED_VALUE"""),"O4")</f>
        <v>O4</v>
      </c>
      <c r="F228" s="23">
        <f>IFERROR(__xludf.DUMMYFUNCTION("""COMPUTED_VALUE"""),44733.72651451389)</f>
        <v>44733.72651</v>
      </c>
      <c r="G228" s="24" t="str">
        <f>IFERROR(__xludf.DUMMYFUNCTION("""COMPUTED_VALUE"""),"Claire")</f>
        <v>Claire</v>
      </c>
      <c r="H228" s="24">
        <f>IFERROR(__xludf.DUMMYFUNCTION("""COMPUTED_VALUE"""),1522.0)</f>
        <v>1522</v>
      </c>
      <c r="I228" s="24" t="str">
        <f>IFERROR(__xludf.DUMMYFUNCTION("""COMPUTED_VALUE"""),"Amazon")</f>
        <v>Amazon</v>
      </c>
    </row>
    <row r="229">
      <c r="A229" s="23">
        <f>IFERROR(__xludf.DUMMYFUNCTION("""COMPUTED_VALUE"""),44742.0)</f>
        <v>44742</v>
      </c>
      <c r="B229" s="24" t="str">
        <f>IFERROR(__xludf.DUMMYFUNCTION("""COMPUTED_VALUE"""),"Claire")</f>
        <v>Claire</v>
      </c>
      <c r="C229" s="24">
        <f>IFERROR(__xludf.DUMMYFUNCTION("""COMPUTED_VALUE"""),97.0)</f>
        <v>97</v>
      </c>
      <c r="D229" s="24" t="str">
        <f>IFERROR(__xludf.DUMMYFUNCTION("""COMPUTED_VALUE"""),"H4")</f>
        <v>H4</v>
      </c>
      <c r="F229" s="23">
        <f>IFERROR(__xludf.DUMMYFUNCTION("""COMPUTED_VALUE"""),44733.72669603009)</f>
        <v>44733.7267</v>
      </c>
      <c r="G229" s="24" t="str">
        <f>IFERROR(__xludf.DUMMYFUNCTION("""COMPUTED_VALUE"""),"Claire")</f>
        <v>Claire</v>
      </c>
      <c r="H229" s="24">
        <f>IFERROR(__xludf.DUMMYFUNCTION("""COMPUTED_VALUE"""),750.0)</f>
        <v>750</v>
      </c>
      <c r="I229" s="24" t="str">
        <f>IFERROR(__xludf.DUMMYFUNCTION("""COMPUTED_VALUE"""),"Amazon")</f>
        <v>Amazon</v>
      </c>
    </row>
    <row r="230">
      <c r="A230" s="23">
        <f>IFERROR(__xludf.DUMMYFUNCTION("""COMPUTED_VALUE"""),44742.0)</f>
        <v>44742</v>
      </c>
      <c r="B230" s="24" t="str">
        <f>IFERROR(__xludf.DUMMYFUNCTION("""COMPUTED_VALUE"""),"Claire")</f>
        <v>Claire</v>
      </c>
      <c r="C230" s="24">
        <f>IFERROR(__xludf.DUMMYFUNCTION("""COMPUTED_VALUE"""),158.0)</f>
        <v>158</v>
      </c>
      <c r="D230" s="24" t="str">
        <f>IFERROR(__xludf.DUMMYFUNCTION("""COMPUTED_VALUE"""),"I6")</f>
        <v>I6</v>
      </c>
      <c r="F230" s="23">
        <f>IFERROR(__xludf.DUMMYFUNCTION("""COMPUTED_VALUE"""),44733.7269122338)</f>
        <v>44733.72691</v>
      </c>
      <c r="G230" s="24" t="str">
        <f>IFERROR(__xludf.DUMMYFUNCTION("""COMPUTED_VALUE"""),"Claire")</f>
        <v>Claire</v>
      </c>
      <c r="H230" s="24">
        <f>IFERROR(__xludf.DUMMYFUNCTION("""COMPUTED_VALUE"""),987.0)</f>
        <v>987</v>
      </c>
      <c r="I230" s="24" t="str">
        <f>IFERROR(__xludf.DUMMYFUNCTION("""COMPUTED_VALUE"""),"Amazon")</f>
        <v>Amazon</v>
      </c>
    </row>
    <row r="231">
      <c r="A231" s="23">
        <f>IFERROR(__xludf.DUMMYFUNCTION("""COMPUTED_VALUE"""),44742.0)</f>
        <v>44742</v>
      </c>
      <c r="B231" s="24" t="str">
        <f>IFERROR(__xludf.DUMMYFUNCTION("""COMPUTED_VALUE"""),"Claire")</f>
        <v>Claire</v>
      </c>
      <c r="C231" s="24">
        <f>IFERROR(__xludf.DUMMYFUNCTION("""COMPUTED_VALUE"""),298.0)</f>
        <v>298</v>
      </c>
      <c r="D231" s="24" t="str">
        <f>IFERROR(__xludf.DUMMYFUNCTION("""COMPUTED_VALUE"""),"B1")</f>
        <v>B1</v>
      </c>
      <c r="F231" s="23">
        <f>IFERROR(__xludf.DUMMYFUNCTION("""COMPUTED_VALUE"""),44733.72706435185)</f>
        <v>44733.72706</v>
      </c>
      <c r="G231" s="24" t="str">
        <f>IFERROR(__xludf.DUMMYFUNCTION("""COMPUTED_VALUE"""),"Claire")</f>
        <v>Claire</v>
      </c>
      <c r="H231" s="24">
        <f>IFERROR(__xludf.DUMMYFUNCTION("""COMPUTED_VALUE"""),1014.0)</f>
        <v>1014</v>
      </c>
      <c r="I231" s="24" t="str">
        <f>IFERROR(__xludf.DUMMYFUNCTION("""COMPUTED_VALUE"""),"Amazon")</f>
        <v>Amazon</v>
      </c>
    </row>
    <row r="232">
      <c r="A232" s="23">
        <f>IFERROR(__xludf.DUMMYFUNCTION("""COMPUTED_VALUE"""),44742.0)</f>
        <v>44742</v>
      </c>
      <c r="B232" s="24" t="str">
        <f>IFERROR(__xludf.DUMMYFUNCTION("""COMPUTED_VALUE"""),"Claire")</f>
        <v>Claire</v>
      </c>
      <c r="C232" s="24">
        <f>IFERROR(__xludf.DUMMYFUNCTION("""COMPUTED_VALUE"""),115.0)</f>
        <v>115</v>
      </c>
      <c r="D232" s="24" t="str">
        <f>IFERROR(__xludf.DUMMYFUNCTION("""COMPUTED_VALUE"""),"C3")</f>
        <v>C3</v>
      </c>
      <c r="F232" s="23">
        <f>IFERROR(__xludf.DUMMYFUNCTION("""COMPUTED_VALUE"""),44733.72721310185)</f>
        <v>44733.72721</v>
      </c>
      <c r="G232" s="24" t="str">
        <f>IFERROR(__xludf.DUMMYFUNCTION("""COMPUTED_VALUE"""),"Claire")</f>
        <v>Claire</v>
      </c>
      <c r="H232" s="24">
        <f>IFERROR(__xludf.DUMMYFUNCTION("""COMPUTED_VALUE"""),1081.0)</f>
        <v>1081</v>
      </c>
      <c r="I232" s="24" t="str">
        <f>IFERROR(__xludf.DUMMYFUNCTION("""COMPUTED_VALUE"""),"Amazon")</f>
        <v>Amazon</v>
      </c>
    </row>
    <row r="233">
      <c r="A233" s="23">
        <f>IFERROR(__xludf.DUMMYFUNCTION("""COMPUTED_VALUE"""),44742.0)</f>
        <v>44742</v>
      </c>
      <c r="B233" s="24" t="str">
        <f>IFERROR(__xludf.DUMMYFUNCTION("""COMPUTED_VALUE"""),"Claire")</f>
        <v>Claire</v>
      </c>
      <c r="C233" s="24">
        <f>IFERROR(__xludf.DUMMYFUNCTION("""COMPUTED_VALUE"""),299.0)</f>
        <v>299</v>
      </c>
      <c r="D233" s="24" t="str">
        <f>IFERROR(__xludf.DUMMYFUNCTION("""COMPUTED_VALUE"""),"E6")</f>
        <v>E6</v>
      </c>
      <c r="F233" s="23">
        <f>IFERROR(__xludf.DUMMYFUNCTION("""COMPUTED_VALUE"""),44733.72750930556)</f>
        <v>44733.72751</v>
      </c>
      <c r="G233" s="24" t="str">
        <f>IFERROR(__xludf.DUMMYFUNCTION("""COMPUTED_VALUE"""),"Claire")</f>
        <v>Claire</v>
      </c>
      <c r="H233" s="24">
        <f>IFERROR(__xludf.DUMMYFUNCTION("""COMPUTED_VALUE"""),338.0)</f>
        <v>338</v>
      </c>
      <c r="I233" s="24" t="str">
        <f>IFERROR(__xludf.DUMMYFUNCTION("""COMPUTED_VALUE"""),"Amazon")</f>
        <v>Amazon</v>
      </c>
    </row>
    <row r="234">
      <c r="A234" s="23">
        <f>IFERROR(__xludf.DUMMYFUNCTION("""COMPUTED_VALUE"""),44742.0)</f>
        <v>44742</v>
      </c>
      <c r="B234" s="24" t="str">
        <f>IFERROR(__xludf.DUMMYFUNCTION("""COMPUTED_VALUE"""),"Claire")</f>
        <v>Claire</v>
      </c>
      <c r="C234" s="24">
        <f>IFERROR(__xludf.DUMMYFUNCTION("""COMPUTED_VALUE"""),62.0)</f>
        <v>62</v>
      </c>
      <c r="D234" s="24" t="str">
        <f>IFERROR(__xludf.DUMMYFUNCTION("""COMPUTED_VALUE"""),"E3")</f>
        <v>E3</v>
      </c>
      <c r="F234" s="23">
        <f>IFERROR(__xludf.DUMMYFUNCTION("""COMPUTED_VALUE"""),44733.72766675926)</f>
        <v>44733.72767</v>
      </c>
      <c r="G234" s="24" t="str">
        <f>IFERROR(__xludf.DUMMYFUNCTION("""COMPUTED_VALUE"""),"Claire")</f>
        <v>Claire</v>
      </c>
      <c r="H234" s="24">
        <f>IFERROR(__xludf.DUMMYFUNCTION("""COMPUTED_VALUE"""),788.0)</f>
        <v>788</v>
      </c>
      <c r="I234" s="24" t="str">
        <f>IFERROR(__xludf.DUMMYFUNCTION("""COMPUTED_VALUE"""),"Amazon")</f>
        <v>Amazon</v>
      </c>
    </row>
    <row r="235">
      <c r="A235" s="23">
        <f>IFERROR(__xludf.DUMMYFUNCTION("""COMPUTED_VALUE"""),44742.0)</f>
        <v>44742</v>
      </c>
      <c r="B235" s="24" t="str">
        <f>IFERROR(__xludf.DUMMYFUNCTION("""COMPUTED_VALUE"""),"Claire")</f>
        <v>Claire</v>
      </c>
      <c r="C235" s="24">
        <f>IFERROR(__xludf.DUMMYFUNCTION("""COMPUTED_VALUE"""),193.0)</f>
        <v>193</v>
      </c>
      <c r="D235" s="24" t="str">
        <f>IFERROR(__xludf.DUMMYFUNCTION("""COMPUTED_VALUE"""),"B2")</f>
        <v>B2</v>
      </c>
      <c r="F235" s="23">
        <f>IFERROR(__xludf.DUMMYFUNCTION("""COMPUTED_VALUE"""),44733.727835729165)</f>
        <v>44733.72784</v>
      </c>
      <c r="G235" s="24" t="str">
        <f>IFERROR(__xludf.DUMMYFUNCTION("""COMPUTED_VALUE"""),"Claire")</f>
        <v>Claire</v>
      </c>
      <c r="H235" s="24">
        <f>IFERROR(__xludf.DUMMYFUNCTION("""COMPUTED_VALUE"""),1213.0)</f>
        <v>1213</v>
      </c>
      <c r="I235" s="24" t="str">
        <f>IFERROR(__xludf.DUMMYFUNCTION("""COMPUTED_VALUE"""),"Amazon")</f>
        <v>Amazon</v>
      </c>
    </row>
    <row r="236">
      <c r="A236" s="23">
        <f>IFERROR(__xludf.DUMMYFUNCTION("""COMPUTED_VALUE"""),44742.0)</f>
        <v>44742</v>
      </c>
      <c r="B236" s="24" t="str">
        <f>IFERROR(__xludf.DUMMYFUNCTION("""COMPUTED_VALUE"""),"Claire")</f>
        <v>Claire</v>
      </c>
      <c r="C236" s="24">
        <f>IFERROR(__xludf.DUMMYFUNCTION("""COMPUTED_VALUE"""),221.0)</f>
        <v>221</v>
      </c>
      <c r="D236" s="24" t="str">
        <f>IFERROR(__xludf.DUMMYFUNCTION("""COMPUTED_VALUE"""),"J2")</f>
        <v>J2</v>
      </c>
      <c r="F236" s="23">
        <f>IFERROR(__xludf.DUMMYFUNCTION("""COMPUTED_VALUE"""),44733.72798222222)</f>
        <v>44733.72798</v>
      </c>
      <c r="G236" s="24" t="str">
        <f>IFERROR(__xludf.DUMMYFUNCTION("""COMPUTED_VALUE"""),"Claire")</f>
        <v>Claire</v>
      </c>
      <c r="H236" s="24">
        <f>IFERROR(__xludf.DUMMYFUNCTION("""COMPUTED_VALUE"""),813.0)</f>
        <v>813</v>
      </c>
      <c r="I236" s="24" t="str">
        <f>IFERROR(__xludf.DUMMYFUNCTION("""COMPUTED_VALUE"""),"Amazon")</f>
        <v>Amazon</v>
      </c>
    </row>
    <row r="237">
      <c r="A237" s="23">
        <f>IFERROR(__xludf.DUMMYFUNCTION("""COMPUTED_VALUE"""),44742.0)</f>
        <v>44742</v>
      </c>
      <c r="B237" s="24" t="str">
        <f>IFERROR(__xludf.DUMMYFUNCTION("""COMPUTED_VALUE"""),"Claire")</f>
        <v>Claire</v>
      </c>
      <c r="C237" s="24">
        <f>IFERROR(__xludf.DUMMYFUNCTION("""COMPUTED_VALUE"""),55.0)</f>
        <v>55</v>
      </c>
      <c r="D237" s="24" t="str">
        <f>IFERROR(__xludf.DUMMYFUNCTION("""COMPUTED_VALUE"""),"D5")</f>
        <v>D5</v>
      </c>
      <c r="F237" s="23">
        <f>IFERROR(__xludf.DUMMYFUNCTION("""COMPUTED_VALUE"""),44733.72828234954)</f>
        <v>44733.72828</v>
      </c>
      <c r="G237" s="24" t="str">
        <f>IFERROR(__xludf.DUMMYFUNCTION("""COMPUTED_VALUE"""),"Claire")</f>
        <v>Claire</v>
      </c>
      <c r="H237" s="24">
        <f>IFERROR(__xludf.DUMMYFUNCTION("""COMPUTED_VALUE"""),479.0)</f>
        <v>479</v>
      </c>
      <c r="I237" s="24" t="str">
        <f>IFERROR(__xludf.DUMMYFUNCTION("""COMPUTED_VALUE"""),"Amazon")</f>
        <v>Amazon</v>
      </c>
    </row>
    <row r="238">
      <c r="A238" s="23">
        <f>IFERROR(__xludf.DUMMYFUNCTION("""COMPUTED_VALUE"""),44742.0)</f>
        <v>44742</v>
      </c>
      <c r="B238" s="24" t="str">
        <f>IFERROR(__xludf.DUMMYFUNCTION("""COMPUTED_VALUE"""),"Claire")</f>
        <v>Claire</v>
      </c>
      <c r="C238" s="24">
        <f>IFERROR(__xludf.DUMMYFUNCTION("""COMPUTED_VALUE"""),400.0)</f>
        <v>400</v>
      </c>
      <c r="D238" s="24" t="str">
        <f>IFERROR(__xludf.DUMMYFUNCTION("""COMPUTED_VALUE"""),"L6")</f>
        <v>L6</v>
      </c>
      <c r="F238" s="23">
        <f>IFERROR(__xludf.DUMMYFUNCTION("""COMPUTED_VALUE"""),44733.7285434375)</f>
        <v>44733.72854</v>
      </c>
      <c r="G238" s="24" t="str">
        <f>IFERROR(__xludf.DUMMYFUNCTION("""COMPUTED_VALUE"""),"Claire")</f>
        <v>Claire</v>
      </c>
      <c r="H238" s="24">
        <f>IFERROR(__xludf.DUMMYFUNCTION("""COMPUTED_VALUE"""),273.0)</f>
        <v>273</v>
      </c>
      <c r="I238" s="24" t="str">
        <f>IFERROR(__xludf.DUMMYFUNCTION("""COMPUTED_VALUE"""),"Amazon")</f>
        <v>Amazon</v>
      </c>
    </row>
    <row r="239">
      <c r="A239" s="23">
        <f>IFERROR(__xludf.DUMMYFUNCTION("""COMPUTED_VALUE"""),44742.0)</f>
        <v>44742</v>
      </c>
      <c r="B239" s="24" t="str">
        <f>IFERROR(__xludf.DUMMYFUNCTION("""COMPUTED_VALUE"""),"Claire")</f>
        <v>Claire</v>
      </c>
      <c r="C239" s="24">
        <f>IFERROR(__xludf.DUMMYFUNCTION("""COMPUTED_VALUE"""),-35.0)</f>
        <v>-35</v>
      </c>
      <c r="D239" s="24" t="str">
        <f>IFERROR(__xludf.DUMMYFUNCTION("""COMPUTED_VALUE"""),"L6")</f>
        <v>L6</v>
      </c>
      <c r="F239" s="23">
        <f>IFERROR(__xludf.DUMMYFUNCTION("""COMPUTED_VALUE"""),44733.941180636575)</f>
        <v>44733.94118</v>
      </c>
      <c r="G239" s="24" t="str">
        <f>IFERROR(__xludf.DUMMYFUNCTION("""COMPUTED_VALUE"""),"Doris Parker Tuggle")</f>
        <v>Doris Parker Tuggle</v>
      </c>
      <c r="H239" s="24">
        <f>IFERROR(__xludf.DUMMYFUNCTION("""COMPUTED_VALUE"""),17.0)</f>
        <v>17</v>
      </c>
      <c r="I239" s="24"/>
    </row>
    <row r="240">
      <c r="A240" s="23">
        <f>IFERROR(__xludf.DUMMYFUNCTION("""COMPUTED_VALUE"""),44744.0)</f>
        <v>44744</v>
      </c>
      <c r="B240" s="24" t="str">
        <f>IFERROR(__xludf.DUMMYFUNCTION("""COMPUTED_VALUE"""),"Claire")</f>
        <v>Claire</v>
      </c>
      <c r="C240" s="24">
        <f>IFERROR(__xludf.DUMMYFUNCTION("""COMPUTED_VALUE"""),-221.0)</f>
        <v>-221</v>
      </c>
      <c r="D240" s="24" t="str">
        <f>IFERROR(__xludf.DUMMYFUNCTION("""COMPUTED_VALUE"""),"J2")</f>
        <v>J2</v>
      </c>
      <c r="F240" s="23">
        <f>IFERROR(__xludf.DUMMYFUNCTION("""COMPUTED_VALUE"""),44733.94194421296)</f>
        <v>44733.94194</v>
      </c>
      <c r="G240" s="24" t="str">
        <f>IFERROR(__xludf.DUMMYFUNCTION("""COMPUTED_VALUE"""),"Doris Parker Tuggle")</f>
        <v>Doris Parker Tuggle</v>
      </c>
      <c r="H240" s="24">
        <f>IFERROR(__xludf.DUMMYFUNCTION("""COMPUTED_VALUE"""),7.0)</f>
        <v>7</v>
      </c>
      <c r="I240" s="24"/>
    </row>
    <row r="241">
      <c r="A241" s="23">
        <f>IFERROR(__xludf.DUMMYFUNCTION("""COMPUTED_VALUE"""),44744.0)</f>
        <v>44744</v>
      </c>
      <c r="B241" s="24" t="str">
        <f>IFERROR(__xludf.DUMMYFUNCTION("""COMPUTED_VALUE"""),"Claire")</f>
        <v>Claire</v>
      </c>
      <c r="C241" s="24">
        <f>IFERROR(__xludf.DUMMYFUNCTION("""COMPUTED_VALUE"""),-1379.0)</f>
        <v>-1379</v>
      </c>
      <c r="D241" s="24" t="str">
        <f>IFERROR(__xludf.DUMMYFUNCTION("""COMPUTED_VALUE"""),"J5")</f>
        <v>J5</v>
      </c>
      <c r="F241" s="23">
        <f>IFERROR(__xludf.DUMMYFUNCTION("""COMPUTED_VALUE"""),44734.0)</f>
        <v>44734</v>
      </c>
      <c r="G241" s="24" t="str">
        <f>IFERROR(__xludf.DUMMYFUNCTION("""COMPUTED_VALUE"""),"Claire")</f>
        <v>Claire</v>
      </c>
      <c r="H241" s="24">
        <f>IFERROR(__xludf.DUMMYFUNCTION("""COMPUTED_VALUE"""),90.0)</f>
        <v>90</v>
      </c>
      <c r="I241" s="24" t="str">
        <f>IFERROR(__xludf.DUMMYFUNCTION("""COMPUTED_VALUE"""),"J3")</f>
        <v>J3</v>
      </c>
    </row>
    <row r="242">
      <c r="A242" s="23">
        <f>IFERROR(__xludf.DUMMYFUNCTION("""COMPUTED_VALUE"""),44744.0)</f>
        <v>44744</v>
      </c>
      <c r="B242" s="24" t="str">
        <f>IFERROR(__xludf.DUMMYFUNCTION("""COMPUTED_VALUE"""),"Claire")</f>
        <v>Claire</v>
      </c>
      <c r="C242" s="24">
        <f>IFERROR(__xludf.DUMMYFUNCTION("""COMPUTED_VALUE"""),-1210.0)</f>
        <v>-1210</v>
      </c>
      <c r="D242" s="24" t="str">
        <f>IFERROR(__xludf.DUMMYFUNCTION("""COMPUTED_VALUE"""),"I3")</f>
        <v>I3</v>
      </c>
      <c r="F242" s="23">
        <f>IFERROR(__xludf.DUMMYFUNCTION("""COMPUTED_VALUE"""),44734.0)</f>
        <v>44734</v>
      </c>
      <c r="G242" s="24" t="str">
        <f>IFERROR(__xludf.DUMMYFUNCTION("""COMPUTED_VALUE"""),"Claire")</f>
        <v>Claire</v>
      </c>
      <c r="H242" s="24">
        <f>IFERROR(__xludf.DUMMYFUNCTION("""COMPUTED_VALUE"""),72.0)</f>
        <v>72</v>
      </c>
      <c r="I242" s="24" t="str">
        <f>IFERROR(__xludf.DUMMYFUNCTION("""COMPUTED_VALUE"""),"Amazon")</f>
        <v>Amazon</v>
      </c>
    </row>
    <row r="243">
      <c r="A243" s="23">
        <f>IFERROR(__xludf.DUMMYFUNCTION("""COMPUTED_VALUE"""),44744.0)</f>
        <v>44744</v>
      </c>
      <c r="B243" s="24" t="str">
        <f>IFERROR(__xludf.DUMMYFUNCTION("""COMPUTED_VALUE"""),"Claire")</f>
        <v>Claire</v>
      </c>
      <c r="C243" s="24">
        <f>IFERROR(__xludf.DUMMYFUNCTION("""COMPUTED_VALUE"""),-1666.0)</f>
        <v>-1666</v>
      </c>
      <c r="D243" s="24" t="str">
        <f>IFERROR(__xludf.DUMMYFUNCTION("""COMPUTED_VALUE"""),"J6")</f>
        <v>J6</v>
      </c>
      <c r="F243" s="23">
        <f>IFERROR(__xludf.DUMMYFUNCTION("""COMPUTED_VALUE"""),44734.0)</f>
        <v>44734</v>
      </c>
      <c r="G243" s="24" t="str">
        <f>IFERROR(__xludf.DUMMYFUNCTION("""COMPUTED_VALUE"""),"Claire")</f>
        <v>Claire</v>
      </c>
      <c r="H243" s="24">
        <f>IFERROR(__xludf.DUMMYFUNCTION("""COMPUTED_VALUE"""),1726.0)</f>
        <v>1726</v>
      </c>
      <c r="I243" s="24" t="str">
        <f>IFERROR(__xludf.DUMMYFUNCTION("""COMPUTED_VALUE"""),"Water")</f>
        <v>Water</v>
      </c>
    </row>
    <row r="244">
      <c r="A244" s="23">
        <f>IFERROR(__xludf.DUMMYFUNCTION("""COMPUTED_VALUE"""),44744.0)</f>
        <v>44744</v>
      </c>
      <c r="B244" s="24" t="str">
        <f>IFERROR(__xludf.DUMMYFUNCTION("""COMPUTED_VALUE"""),"Claire")</f>
        <v>Claire</v>
      </c>
      <c r="C244" s="24">
        <f>IFERROR(__xludf.DUMMYFUNCTION("""COMPUTED_VALUE"""),-1238.0)</f>
        <v>-1238</v>
      </c>
      <c r="D244" s="24" t="str">
        <f>IFERROR(__xludf.DUMMYFUNCTION("""COMPUTED_VALUE"""),"XX")</f>
        <v>XX</v>
      </c>
      <c r="F244" s="23">
        <f>IFERROR(__xludf.DUMMYFUNCTION("""COMPUTED_VALUE"""),44734.0)</f>
        <v>44734</v>
      </c>
      <c r="G244" s="24" t="str">
        <f>IFERROR(__xludf.DUMMYFUNCTION("""COMPUTED_VALUE"""),"Claire")</f>
        <v>Claire</v>
      </c>
      <c r="H244" s="24">
        <f>IFERROR(__xludf.DUMMYFUNCTION("""COMPUTED_VALUE"""),72.0)</f>
        <v>72</v>
      </c>
      <c r="I244" s="24" t="str">
        <f>IFERROR(__xludf.DUMMYFUNCTION("""COMPUTED_VALUE"""),"Bread")</f>
        <v>Bread</v>
      </c>
    </row>
    <row r="245">
      <c r="A245" s="23">
        <f>IFERROR(__xludf.DUMMYFUNCTION("""COMPUTED_VALUE"""),44744.0)</f>
        <v>44744</v>
      </c>
      <c r="B245" s="24" t="str">
        <f>IFERROR(__xludf.DUMMYFUNCTION("""COMPUTED_VALUE"""),"Claire")</f>
        <v>Claire</v>
      </c>
      <c r="C245" s="24">
        <f>IFERROR(__xludf.DUMMYFUNCTION("""COMPUTED_VALUE"""),-164.0)</f>
        <v>-164</v>
      </c>
      <c r="D245" s="24" t="str">
        <f>IFERROR(__xludf.DUMMYFUNCTION("""COMPUTED_VALUE"""),"XX")</f>
        <v>XX</v>
      </c>
      <c r="F245" s="23">
        <f>IFERROR(__xludf.DUMMYFUNCTION("""COMPUTED_VALUE"""),44734.0)</f>
        <v>44734</v>
      </c>
      <c r="G245" s="24" t="str">
        <f>IFERROR(__xludf.DUMMYFUNCTION("""COMPUTED_VALUE"""),"Claire")</f>
        <v>Claire</v>
      </c>
      <c r="H245" s="24">
        <f>IFERROR(__xludf.DUMMYFUNCTION("""COMPUTED_VALUE"""),831.0)</f>
        <v>831</v>
      </c>
      <c r="I245" s="24" t="str">
        <f>IFERROR(__xludf.DUMMYFUNCTION("""COMPUTED_VALUE"""),"Frozen")</f>
        <v>Frozen</v>
      </c>
    </row>
    <row r="246">
      <c r="A246" s="23">
        <f>IFERROR(__xludf.DUMMYFUNCTION("""COMPUTED_VALUE"""),44744.0)</f>
        <v>44744</v>
      </c>
      <c r="B246" s="24" t="str">
        <f>IFERROR(__xludf.DUMMYFUNCTION("""COMPUTED_VALUE"""),"Claire")</f>
        <v>Claire</v>
      </c>
      <c r="C246" s="24">
        <f>IFERROR(__xludf.DUMMYFUNCTION("""COMPUTED_VALUE"""),-600.0)</f>
        <v>-600</v>
      </c>
      <c r="D246" s="24" t="str">
        <f>IFERROR(__xludf.DUMMYFUNCTION("""COMPUTED_VALUE"""),"F2")</f>
        <v>F2</v>
      </c>
      <c r="F246" s="23">
        <f>IFERROR(__xludf.DUMMYFUNCTION("""COMPUTED_VALUE"""),44734.0)</f>
        <v>44734</v>
      </c>
      <c r="G246" s="24" t="str">
        <f>IFERROR(__xludf.DUMMYFUNCTION("""COMPUTED_VALUE"""),"Claire")</f>
        <v>Claire</v>
      </c>
      <c r="H246" s="24">
        <f>IFERROR(__xludf.DUMMYFUNCTION("""COMPUTED_VALUE"""),613.0)</f>
        <v>613</v>
      </c>
      <c r="I246" s="24" t="str">
        <f>IFERROR(__xludf.DUMMYFUNCTION("""COMPUTED_VALUE"""),"Frozen")</f>
        <v>Frozen</v>
      </c>
    </row>
    <row r="247">
      <c r="A247" s="23">
        <f>IFERROR(__xludf.DUMMYFUNCTION("""COMPUTED_VALUE"""),44744.0)</f>
        <v>44744</v>
      </c>
      <c r="B247" s="24" t="str">
        <f>IFERROR(__xludf.DUMMYFUNCTION("""COMPUTED_VALUE"""),"Claire")</f>
        <v>Claire</v>
      </c>
      <c r="C247" s="24">
        <f>IFERROR(__xludf.DUMMYFUNCTION("""COMPUTED_VALUE"""),-371.0)</f>
        <v>-371</v>
      </c>
      <c r="D247" s="24" t="str">
        <f>IFERROR(__xludf.DUMMYFUNCTION("""COMPUTED_VALUE"""),"I1")</f>
        <v>I1</v>
      </c>
      <c r="F247" s="23">
        <f>IFERROR(__xludf.DUMMYFUNCTION("""COMPUTED_VALUE"""),44734.0)</f>
        <v>44734</v>
      </c>
      <c r="G247" s="24" t="str">
        <f>IFERROR(__xludf.DUMMYFUNCTION("""COMPUTED_VALUE"""),"Claire")</f>
        <v>Claire</v>
      </c>
      <c r="H247" s="24">
        <f>IFERROR(__xludf.DUMMYFUNCTION("""COMPUTED_VALUE"""),168.0)</f>
        <v>168</v>
      </c>
      <c r="I247" s="24" t="str">
        <f>IFERROR(__xludf.DUMMYFUNCTION("""COMPUTED_VALUE"""),"Produce")</f>
        <v>Produce</v>
      </c>
    </row>
    <row r="248">
      <c r="A248" s="23">
        <f>IFERROR(__xludf.DUMMYFUNCTION("""COMPUTED_VALUE"""),44744.0)</f>
        <v>44744</v>
      </c>
      <c r="B248" s="24" t="str">
        <f>IFERROR(__xludf.DUMMYFUNCTION("""COMPUTED_VALUE"""),"Claire")</f>
        <v>Claire</v>
      </c>
      <c r="C248" s="24">
        <f>IFERROR(__xludf.DUMMYFUNCTION("""COMPUTED_VALUE"""),-502.0)</f>
        <v>-502</v>
      </c>
      <c r="D248" s="24" t="str">
        <f>IFERROR(__xludf.DUMMYFUNCTION("""COMPUTED_VALUE"""),"I6")</f>
        <v>I6</v>
      </c>
      <c r="F248" s="23">
        <f>IFERROR(__xludf.DUMMYFUNCTION("""COMPUTED_VALUE"""),44734.60163748843)</f>
        <v>44734.60164</v>
      </c>
      <c r="G248" s="24" t="str">
        <f>IFERROR(__xludf.DUMMYFUNCTION("""COMPUTED_VALUE"""),"Sisson St dump dpw drinks (Bud Stracker)")</f>
        <v>Sisson St dump dpw drinks (Bud Stracker)</v>
      </c>
      <c r="H248" s="24">
        <f>IFERROR(__xludf.DUMMYFUNCTION("""COMPUTED_VALUE"""),15.0)</f>
        <v>15</v>
      </c>
      <c r="I248" s="24"/>
    </row>
    <row r="249">
      <c r="A249" s="23">
        <f>IFERROR(__xludf.DUMMYFUNCTION("""COMPUTED_VALUE"""),44744.0)</f>
        <v>44744</v>
      </c>
      <c r="B249" s="24" t="str">
        <f>IFERROR(__xludf.DUMMYFUNCTION("""COMPUTED_VALUE"""),"Claire")</f>
        <v>Claire</v>
      </c>
      <c r="C249" s="24">
        <f>IFERROR(__xludf.DUMMYFUNCTION("""COMPUTED_VALUE"""),-866.0)</f>
        <v>-866</v>
      </c>
      <c r="D249" s="24" t="str">
        <f>IFERROR(__xludf.DUMMYFUNCTION("""COMPUTED_VALUE"""),"XX")</f>
        <v>XX</v>
      </c>
      <c r="F249" s="23">
        <f>IFERROR(__xludf.DUMMYFUNCTION("""COMPUTED_VALUE"""),44734.603093935184)</f>
        <v>44734.60309</v>
      </c>
      <c r="G249" s="24" t="str">
        <f>IFERROR(__xludf.DUMMYFUNCTION("""COMPUTED_VALUE"""),"Bud Stracker")</f>
        <v>Bud Stracker</v>
      </c>
      <c r="H249" s="24">
        <f>IFERROR(__xludf.DUMMYFUNCTION("""COMPUTED_VALUE"""),3.0)</f>
        <v>3</v>
      </c>
      <c r="I249" s="24"/>
    </row>
    <row r="250">
      <c r="A250" s="23">
        <f>IFERROR(__xludf.DUMMYFUNCTION("""COMPUTED_VALUE"""),44744.0)</f>
        <v>44744</v>
      </c>
      <c r="B250" s="24" t="str">
        <f>IFERROR(__xludf.DUMMYFUNCTION("""COMPUTED_VALUE"""),"Claire")</f>
        <v>Claire</v>
      </c>
      <c r="C250" s="24">
        <f>IFERROR(__xludf.DUMMYFUNCTION("""COMPUTED_VALUE"""),-639.0)</f>
        <v>-639</v>
      </c>
      <c r="D250" s="24" t="str">
        <f>IFERROR(__xludf.DUMMYFUNCTION("""COMPUTED_VALUE"""),"XX")</f>
        <v>XX</v>
      </c>
      <c r="F250" s="23">
        <f>IFERROR(__xludf.DUMMYFUNCTION("""COMPUTED_VALUE"""),44734.704824548615)</f>
        <v>44734.70482</v>
      </c>
      <c r="G250" s="24" t="str">
        <f>IFERROR(__xludf.DUMMYFUNCTION("""COMPUTED_VALUE"""),"Monah")</f>
        <v>Monah</v>
      </c>
      <c r="H250" s="24">
        <f>IFERROR(__xludf.DUMMYFUNCTION("""COMPUTED_VALUE"""),18.0)</f>
        <v>18</v>
      </c>
      <c r="I250" s="24"/>
    </row>
    <row r="251">
      <c r="A251" s="23">
        <f>IFERROR(__xludf.DUMMYFUNCTION("""COMPUTED_VALUE"""),44744.0)</f>
        <v>44744</v>
      </c>
      <c r="B251" s="24" t="str">
        <f>IFERROR(__xludf.DUMMYFUNCTION("""COMPUTED_VALUE"""),"Claire")</f>
        <v>Claire</v>
      </c>
      <c r="C251" s="24">
        <f>IFERROR(__xludf.DUMMYFUNCTION("""COMPUTED_VALUE"""),-197.0)</f>
        <v>-197</v>
      </c>
      <c r="D251" s="24" t="str">
        <f>IFERROR(__xludf.DUMMYFUNCTION("""COMPUTED_VALUE"""),"XX")</f>
        <v>XX</v>
      </c>
      <c r="F251" s="23">
        <f>IFERROR(__xludf.DUMMYFUNCTION("""COMPUTED_VALUE"""),44734.7050247338)</f>
        <v>44734.70502</v>
      </c>
      <c r="G251" s="24" t="str">
        <f>IFERROR(__xludf.DUMMYFUNCTION("""COMPUTED_VALUE"""),"Monah expired")</f>
        <v>Monah expired</v>
      </c>
      <c r="H251" s="24">
        <f>IFERROR(__xludf.DUMMYFUNCTION("""COMPUTED_VALUE"""),14.0)</f>
        <v>14</v>
      </c>
      <c r="I251" s="24"/>
    </row>
    <row r="252">
      <c r="A252" s="23">
        <f>IFERROR(__xludf.DUMMYFUNCTION("""COMPUTED_VALUE"""),44744.0)</f>
        <v>44744</v>
      </c>
      <c r="B252" s="24" t="str">
        <f>IFERROR(__xludf.DUMMYFUNCTION("""COMPUTED_VALUE"""),"Claire")</f>
        <v>Claire</v>
      </c>
      <c r="C252" s="24">
        <f>IFERROR(__xludf.DUMMYFUNCTION("""COMPUTED_VALUE"""),-853.0)</f>
        <v>-853</v>
      </c>
      <c r="D252" s="24" t="str">
        <f>IFERROR(__xludf.DUMMYFUNCTION("""COMPUTED_VALUE"""),"XX")</f>
        <v>XX</v>
      </c>
      <c r="F252" s="23">
        <f>IFERROR(__xludf.DUMMYFUNCTION("""COMPUTED_VALUE"""),44734.706066446764)</f>
        <v>44734.70607</v>
      </c>
      <c r="G252" s="24" t="str">
        <f>IFERROR(__xludf.DUMMYFUNCTION("""COMPUTED_VALUE"""),"Monah")</f>
        <v>Monah</v>
      </c>
      <c r="H252" s="24">
        <f>IFERROR(__xludf.DUMMYFUNCTION("""COMPUTED_VALUE"""),17.0)</f>
        <v>17</v>
      </c>
      <c r="I252" s="24" t="str">
        <f>IFERROR(__xludf.DUMMYFUNCTION("""COMPUTED_VALUE"""),"Charcoal")</f>
        <v>Charcoal</v>
      </c>
    </row>
    <row r="253">
      <c r="A253" s="23">
        <f>IFERROR(__xludf.DUMMYFUNCTION("""COMPUTED_VALUE"""),44744.0)</f>
        <v>44744</v>
      </c>
      <c r="B253" s="24" t="str">
        <f>IFERROR(__xludf.DUMMYFUNCTION("""COMPUTED_VALUE"""),"Claire")</f>
        <v>Claire</v>
      </c>
      <c r="C253" s="24">
        <f>IFERROR(__xludf.DUMMYFUNCTION("""COMPUTED_VALUE"""),-710.0)</f>
        <v>-710</v>
      </c>
      <c r="D253" s="24" t="str">
        <f>IFERROR(__xludf.DUMMYFUNCTION("""COMPUTED_VALUE"""),"XX")</f>
        <v>XX</v>
      </c>
      <c r="F253" s="23">
        <f>IFERROR(__xludf.DUMMYFUNCTION("""COMPUTED_VALUE"""),44734.71527799769)</f>
        <v>44734.71528</v>
      </c>
      <c r="G253" s="24" t="str">
        <f>IFERROR(__xludf.DUMMYFUNCTION("""COMPUTED_VALUE"""),"Deborah Claridy ")</f>
        <v>Deborah Claridy </v>
      </c>
      <c r="H253" s="24">
        <f>IFERROR(__xludf.DUMMYFUNCTION("""COMPUTED_VALUE"""),13.0)</f>
        <v>13</v>
      </c>
      <c r="I253" s="24"/>
    </row>
    <row r="254">
      <c r="A254" s="23">
        <f>IFERROR(__xludf.DUMMYFUNCTION("""COMPUTED_VALUE"""),44744.0)</f>
        <v>44744</v>
      </c>
      <c r="B254" s="24" t="str">
        <f>IFERROR(__xludf.DUMMYFUNCTION("""COMPUTED_VALUE"""),"Claire")</f>
        <v>Claire</v>
      </c>
      <c r="C254" s="24">
        <f>IFERROR(__xludf.DUMMYFUNCTION("""COMPUTED_VALUE"""),-660.0)</f>
        <v>-660</v>
      </c>
      <c r="D254" s="24" t="str">
        <f>IFERROR(__xludf.DUMMYFUNCTION("""COMPUTED_VALUE"""),"XX")</f>
        <v>XX</v>
      </c>
      <c r="F254" s="23">
        <f>IFERROR(__xludf.DUMMYFUNCTION("""COMPUTED_VALUE"""),44734.764111875)</f>
        <v>44734.76411</v>
      </c>
      <c r="G254" s="24" t="str">
        <f>IFERROR(__xludf.DUMMYFUNCTION("""COMPUTED_VALUE"""),"Linette ")</f>
        <v>Linette </v>
      </c>
      <c r="H254" s="24">
        <f>IFERROR(__xludf.DUMMYFUNCTION("""COMPUTED_VALUE"""),24.0)</f>
        <v>24</v>
      </c>
      <c r="I254" s="24"/>
    </row>
    <row r="255">
      <c r="A255" s="23">
        <f>IFERROR(__xludf.DUMMYFUNCTION("""COMPUTED_VALUE"""),44744.0)</f>
        <v>44744</v>
      </c>
      <c r="B255" s="24" t="str">
        <f>IFERROR(__xludf.DUMMYFUNCTION("""COMPUTED_VALUE"""),"Claire")</f>
        <v>Claire</v>
      </c>
      <c r="C255" s="24">
        <f>IFERROR(__xludf.DUMMYFUNCTION("""COMPUTED_VALUE"""),-1157.0)</f>
        <v>-1157</v>
      </c>
      <c r="D255" s="24" t="str">
        <f>IFERROR(__xludf.DUMMYFUNCTION("""COMPUTED_VALUE"""),"XX")</f>
        <v>XX</v>
      </c>
      <c r="F255" s="23">
        <f>IFERROR(__xludf.DUMMYFUNCTION("""COMPUTED_VALUE"""),44734.76445351852)</f>
        <v>44734.76445</v>
      </c>
      <c r="G255" s="24" t="str">
        <f>IFERROR(__xludf.DUMMYFUNCTION("""COMPUTED_VALUE"""),"Linette ")</f>
        <v>Linette </v>
      </c>
      <c r="H255" s="24">
        <f>IFERROR(__xludf.DUMMYFUNCTION("""COMPUTED_VALUE"""),25.0)</f>
        <v>25</v>
      </c>
      <c r="I255" s="24"/>
    </row>
    <row r="256">
      <c r="A256" s="23">
        <f>IFERROR(__xludf.DUMMYFUNCTION("""COMPUTED_VALUE"""),44744.0)</f>
        <v>44744</v>
      </c>
      <c r="B256" s="24" t="str">
        <f>IFERROR(__xludf.DUMMYFUNCTION("""COMPUTED_VALUE"""),"Claire")</f>
        <v>Claire</v>
      </c>
      <c r="C256" s="24">
        <f>IFERROR(__xludf.DUMMYFUNCTION("""COMPUTED_VALUE"""),-230.0)</f>
        <v>-230</v>
      </c>
      <c r="D256" s="24" t="str">
        <f>IFERROR(__xludf.DUMMYFUNCTION("""COMPUTED_VALUE"""),"O5")</f>
        <v>O5</v>
      </c>
      <c r="F256" s="23">
        <f>IFERROR(__xludf.DUMMYFUNCTION("""COMPUTED_VALUE"""),44734.86290853009)</f>
        <v>44734.86291</v>
      </c>
      <c r="G256" s="24" t="str">
        <f>IFERROR(__xludf.DUMMYFUNCTION("""COMPUTED_VALUE"""),"Claire")</f>
        <v>Claire</v>
      </c>
      <c r="H256" s="24">
        <f>IFERROR(__xludf.DUMMYFUNCTION("""COMPUTED_VALUE"""),2198.0)</f>
        <v>2198</v>
      </c>
      <c r="I256" s="24" t="str">
        <f>IFERROR(__xludf.DUMMYFUNCTION("""COMPUTED_VALUE"""),"H3")</f>
        <v>H3</v>
      </c>
    </row>
    <row r="257">
      <c r="A257" s="23">
        <f>IFERROR(__xludf.DUMMYFUNCTION("""COMPUTED_VALUE"""),44744.0)</f>
        <v>44744</v>
      </c>
      <c r="B257" s="24" t="str">
        <f>IFERROR(__xludf.DUMMYFUNCTION("""COMPUTED_VALUE"""),"Claire")</f>
        <v>Claire</v>
      </c>
      <c r="C257" s="24">
        <f>IFERROR(__xludf.DUMMYFUNCTION("""COMPUTED_VALUE"""),-237.0)</f>
        <v>-237</v>
      </c>
      <c r="D257" s="24" t="str">
        <f>IFERROR(__xludf.DUMMYFUNCTION("""COMPUTED_VALUE"""),"H1")</f>
        <v>H1</v>
      </c>
      <c r="F257" s="23">
        <f>IFERROR(__xludf.DUMMYFUNCTION("""COMPUTED_VALUE"""),44734.86376921296)</f>
        <v>44734.86377</v>
      </c>
      <c r="G257" s="24" t="str">
        <f>IFERROR(__xludf.DUMMYFUNCTION("""COMPUTED_VALUE"""),"Claire")</f>
        <v>Claire</v>
      </c>
      <c r="H257" s="24">
        <f>IFERROR(__xludf.DUMMYFUNCTION("""COMPUTED_VALUE"""),580.0)</f>
        <v>580</v>
      </c>
      <c r="I257" s="24" t="str">
        <f>IFERROR(__xludf.DUMMYFUNCTION("""COMPUTED_VALUE"""),"J2")</f>
        <v>J2</v>
      </c>
    </row>
    <row r="258">
      <c r="A258" s="23">
        <f>IFERROR(__xludf.DUMMYFUNCTION("""COMPUTED_VALUE"""),44744.0)</f>
        <v>44744</v>
      </c>
      <c r="B258" s="24" t="str">
        <f>IFERROR(__xludf.DUMMYFUNCTION("""COMPUTED_VALUE"""),"Claire")</f>
        <v>Claire</v>
      </c>
      <c r="C258" s="24">
        <f>IFERROR(__xludf.DUMMYFUNCTION("""COMPUTED_VALUE"""),-721.0)</f>
        <v>-721</v>
      </c>
      <c r="D258" s="24" t="str">
        <f>IFERROR(__xludf.DUMMYFUNCTION("""COMPUTED_VALUE"""),"K4")</f>
        <v>K4</v>
      </c>
      <c r="F258" s="23">
        <f>IFERROR(__xludf.DUMMYFUNCTION("""COMPUTED_VALUE"""),44734.86407599537)</f>
        <v>44734.86408</v>
      </c>
      <c r="G258" s="24" t="str">
        <f>IFERROR(__xludf.DUMMYFUNCTION("""COMPUTED_VALUE"""),"Claire")</f>
        <v>Claire</v>
      </c>
      <c r="H258" s="24">
        <f>IFERROR(__xludf.DUMMYFUNCTION("""COMPUTED_VALUE"""),347.0)</f>
        <v>347</v>
      </c>
      <c r="I258" s="24" t="str">
        <f>IFERROR(__xludf.DUMMYFUNCTION("""COMPUTED_VALUE"""),"H5")</f>
        <v>H5</v>
      </c>
    </row>
    <row r="259">
      <c r="A259" s="23">
        <f>IFERROR(__xludf.DUMMYFUNCTION("""COMPUTED_VALUE"""),44744.0)</f>
        <v>44744</v>
      </c>
      <c r="B259" s="24" t="str">
        <f>IFERROR(__xludf.DUMMYFUNCTION("""COMPUTED_VALUE"""),"Claire")</f>
        <v>Claire</v>
      </c>
      <c r="C259" s="24">
        <f>IFERROR(__xludf.DUMMYFUNCTION("""COMPUTED_VALUE"""),-872.0)</f>
        <v>-872</v>
      </c>
      <c r="D259" s="24" t="str">
        <f>IFERROR(__xludf.DUMMYFUNCTION("""COMPUTED_VALUE"""),"XX")</f>
        <v>XX</v>
      </c>
      <c r="F259" s="23">
        <f>IFERROR(__xludf.DUMMYFUNCTION("""COMPUTED_VALUE"""),44734.864444479164)</f>
        <v>44734.86444</v>
      </c>
      <c r="G259" s="24" t="str">
        <f>IFERROR(__xludf.DUMMYFUNCTION("""COMPUTED_VALUE"""),"Claire")</f>
        <v>Claire</v>
      </c>
      <c r="H259" s="24">
        <f>IFERROR(__xludf.DUMMYFUNCTION("""COMPUTED_VALUE"""),2073.0)</f>
        <v>2073</v>
      </c>
      <c r="I259" s="24" t="str">
        <f>IFERROR(__xludf.DUMMYFUNCTION("""COMPUTED_VALUE"""),"G2")</f>
        <v>G2</v>
      </c>
    </row>
    <row r="260">
      <c r="A260" s="23">
        <f>IFERROR(__xludf.DUMMYFUNCTION("""COMPUTED_VALUE"""),44744.0)</f>
        <v>44744</v>
      </c>
      <c r="B260" s="24" t="str">
        <f>IFERROR(__xludf.DUMMYFUNCTION("""COMPUTED_VALUE"""),"Claire")</f>
        <v>Claire</v>
      </c>
      <c r="C260" s="24">
        <f>IFERROR(__xludf.DUMMYFUNCTION("""COMPUTED_VALUE"""),-542.0)</f>
        <v>-542</v>
      </c>
      <c r="D260" s="24" t="str">
        <f>IFERROR(__xludf.DUMMYFUNCTION("""COMPUTED_VALUE"""),"XX")</f>
        <v>XX</v>
      </c>
      <c r="F260" s="23">
        <f>IFERROR(__xludf.DUMMYFUNCTION("""COMPUTED_VALUE"""),44734.86526686343)</f>
        <v>44734.86527</v>
      </c>
      <c r="G260" s="24" t="str">
        <f>IFERROR(__xludf.DUMMYFUNCTION("""COMPUTED_VALUE"""),"Claire")</f>
        <v>Claire</v>
      </c>
      <c r="H260" s="24">
        <f>IFERROR(__xludf.DUMMYFUNCTION("""COMPUTED_VALUE"""),1617.0)</f>
        <v>1617</v>
      </c>
      <c r="I260" s="24" t="str">
        <f>IFERROR(__xludf.DUMMYFUNCTION("""COMPUTED_VALUE"""),"E6")</f>
        <v>E6</v>
      </c>
    </row>
    <row r="261">
      <c r="A261" s="23">
        <f>IFERROR(__xludf.DUMMYFUNCTION("""COMPUTED_VALUE"""),44745.0)</f>
        <v>44745</v>
      </c>
      <c r="B261" s="24" t="str">
        <f>IFERROR(__xludf.DUMMYFUNCTION("""COMPUTED_VALUE"""),"Claire")</f>
        <v>Claire</v>
      </c>
      <c r="C261" s="24">
        <f>IFERROR(__xludf.DUMMYFUNCTION("""COMPUTED_VALUE"""),-365.0)</f>
        <v>-365</v>
      </c>
      <c r="D261" s="24" t="str">
        <f>IFERROR(__xludf.DUMMYFUNCTION("""COMPUTED_VALUE"""),"XX")</f>
        <v>XX</v>
      </c>
      <c r="F261" s="23">
        <f>IFERROR(__xludf.DUMMYFUNCTION("""COMPUTED_VALUE"""),44734.865811875)</f>
        <v>44734.86581</v>
      </c>
      <c r="G261" s="24" t="str">
        <f>IFERROR(__xludf.DUMMYFUNCTION("""COMPUTED_VALUE"""),"Claire")</f>
        <v>Claire</v>
      </c>
      <c r="H261" s="24">
        <f>IFERROR(__xludf.DUMMYFUNCTION("""COMPUTED_VALUE"""),284.0)</f>
        <v>284</v>
      </c>
      <c r="I261" s="24" t="str">
        <f>IFERROR(__xludf.DUMMYFUNCTION("""COMPUTED_VALUE"""),"I4")</f>
        <v>I4</v>
      </c>
    </row>
    <row r="262">
      <c r="A262" s="23">
        <f>IFERROR(__xludf.DUMMYFUNCTION("""COMPUTED_VALUE"""),44745.0)</f>
        <v>44745</v>
      </c>
      <c r="B262" s="24" t="str">
        <f>IFERROR(__xludf.DUMMYFUNCTION("""COMPUTED_VALUE"""),"Claire")</f>
        <v>Claire</v>
      </c>
      <c r="C262" s="24">
        <f>IFERROR(__xludf.DUMMYFUNCTION("""COMPUTED_VALUE"""),-277.0)</f>
        <v>-277</v>
      </c>
      <c r="D262" s="24" t="str">
        <f>IFERROR(__xludf.DUMMYFUNCTION("""COMPUTED_VALUE"""),"XX")</f>
        <v>XX</v>
      </c>
      <c r="F262" s="23">
        <f>IFERROR(__xludf.DUMMYFUNCTION("""COMPUTED_VALUE"""),44734.86606556713)</f>
        <v>44734.86607</v>
      </c>
      <c r="G262" s="24" t="str">
        <f>IFERROR(__xludf.DUMMYFUNCTION("""COMPUTED_VALUE"""),"Claire")</f>
        <v>Claire</v>
      </c>
      <c r="H262" s="24">
        <f>IFERROR(__xludf.DUMMYFUNCTION("""COMPUTED_VALUE"""),142.0)</f>
        <v>142</v>
      </c>
      <c r="I262" s="24" t="str">
        <f>IFERROR(__xludf.DUMMYFUNCTION("""COMPUTED_VALUE"""),"I1")</f>
        <v>I1</v>
      </c>
    </row>
    <row r="263">
      <c r="A263" s="23">
        <f>IFERROR(__xludf.DUMMYFUNCTION("""COMPUTED_VALUE"""),44745.0)</f>
        <v>44745</v>
      </c>
      <c r="B263" s="24" t="str">
        <f>IFERROR(__xludf.DUMMYFUNCTION("""COMPUTED_VALUE"""),"Claire")</f>
        <v>Claire</v>
      </c>
      <c r="C263" s="24">
        <f>IFERROR(__xludf.DUMMYFUNCTION("""COMPUTED_VALUE"""),-73.0)</f>
        <v>-73</v>
      </c>
      <c r="D263" s="24" t="str">
        <f>IFERROR(__xludf.DUMMYFUNCTION("""COMPUTED_VALUE"""),"XX")</f>
        <v>XX</v>
      </c>
      <c r="F263" s="23">
        <f>IFERROR(__xludf.DUMMYFUNCTION("""COMPUTED_VALUE"""),44734.866311446756)</f>
        <v>44734.86631</v>
      </c>
      <c r="G263" s="24" t="str">
        <f>IFERROR(__xludf.DUMMYFUNCTION("""COMPUTED_VALUE"""),"Claire")</f>
        <v>Claire</v>
      </c>
      <c r="H263" s="24">
        <f>IFERROR(__xludf.DUMMYFUNCTION("""COMPUTED_VALUE"""),52.0)</f>
        <v>52</v>
      </c>
      <c r="I263" s="24" t="str">
        <f>IFERROR(__xludf.DUMMYFUNCTION("""COMPUTED_VALUE"""),"P2")</f>
        <v>P2</v>
      </c>
    </row>
    <row r="264">
      <c r="A264" s="23">
        <f>IFERROR(__xludf.DUMMYFUNCTION("""COMPUTED_VALUE"""),44745.0)</f>
        <v>44745</v>
      </c>
      <c r="B264" s="24" t="str">
        <f>IFERROR(__xludf.DUMMYFUNCTION("""COMPUTED_VALUE"""),"Claire")</f>
        <v>Claire</v>
      </c>
      <c r="C264" s="24">
        <f>IFERROR(__xludf.DUMMYFUNCTION("""COMPUTED_VALUE"""),-68.0)</f>
        <v>-68</v>
      </c>
      <c r="D264" s="24" t="str">
        <f>IFERROR(__xludf.DUMMYFUNCTION("""COMPUTED_VALUE"""),"XX")</f>
        <v>XX</v>
      </c>
      <c r="F264" s="23">
        <f>IFERROR(__xludf.DUMMYFUNCTION("""COMPUTED_VALUE"""),44734.867780532404)</f>
        <v>44734.86778</v>
      </c>
      <c r="G264" s="24" t="str">
        <f>IFERROR(__xludf.DUMMYFUNCTION("""COMPUTED_VALUE"""),"Claire")</f>
        <v>Claire</v>
      </c>
      <c r="H264" s="24">
        <f>IFERROR(__xludf.DUMMYFUNCTION("""COMPUTED_VALUE"""),155.0)</f>
        <v>155</v>
      </c>
      <c r="I264" s="24" t="str">
        <f>IFERROR(__xludf.DUMMYFUNCTION("""COMPUTED_VALUE"""),"G2")</f>
        <v>G2</v>
      </c>
    </row>
    <row r="265">
      <c r="A265" s="23">
        <f>IFERROR(__xludf.DUMMYFUNCTION("""COMPUTED_VALUE"""),44745.0)</f>
        <v>44745</v>
      </c>
      <c r="B265" s="24" t="str">
        <f>IFERROR(__xludf.DUMMYFUNCTION("""COMPUTED_VALUE"""),"Claire")</f>
        <v>Claire</v>
      </c>
      <c r="C265" s="24">
        <f>IFERROR(__xludf.DUMMYFUNCTION("""COMPUTED_VALUE"""),-278.0)</f>
        <v>-278</v>
      </c>
      <c r="D265" s="24" t="str">
        <f>IFERROR(__xludf.DUMMYFUNCTION("""COMPUTED_VALUE"""),"XX")</f>
        <v>XX</v>
      </c>
      <c r="F265" s="23">
        <f>IFERROR(__xludf.DUMMYFUNCTION("""COMPUTED_VALUE"""),44734.86800134259)</f>
        <v>44734.868</v>
      </c>
      <c r="G265" s="24" t="str">
        <f>IFERROR(__xludf.DUMMYFUNCTION("""COMPUTED_VALUE"""),"Claire")</f>
        <v>Claire</v>
      </c>
      <c r="H265" s="24">
        <f>IFERROR(__xludf.DUMMYFUNCTION("""COMPUTED_VALUE"""),-4.0)</f>
        <v>-4</v>
      </c>
      <c r="I265" s="24" t="str">
        <f>IFERROR(__xludf.DUMMYFUNCTION("""COMPUTED_VALUE"""),"F6")</f>
        <v>F6</v>
      </c>
    </row>
    <row r="266">
      <c r="A266" s="23">
        <f>IFERROR(__xludf.DUMMYFUNCTION("""COMPUTED_VALUE"""),44745.0)</f>
        <v>44745</v>
      </c>
      <c r="B266" s="24" t="str">
        <f>IFERROR(__xludf.DUMMYFUNCTION("""COMPUTED_VALUE"""),"Claire")</f>
        <v>Claire</v>
      </c>
      <c r="C266" s="24">
        <f>IFERROR(__xludf.DUMMYFUNCTION("""COMPUTED_VALUE"""),-307.0)</f>
        <v>-307</v>
      </c>
      <c r="D266" s="24" t="str">
        <f>IFERROR(__xludf.DUMMYFUNCTION("""COMPUTED_VALUE"""),"XX")</f>
        <v>XX</v>
      </c>
      <c r="F266" s="23">
        <f>IFERROR(__xludf.DUMMYFUNCTION("""COMPUTED_VALUE"""),44734.871004745364)</f>
        <v>44734.871</v>
      </c>
      <c r="G266" s="24" t="str">
        <f>IFERROR(__xludf.DUMMYFUNCTION("""COMPUTED_VALUE"""),"Claire")</f>
        <v>Claire</v>
      </c>
      <c r="H266" s="24">
        <f>IFERROR(__xludf.DUMMYFUNCTION("""COMPUTED_VALUE"""),124.0)</f>
        <v>124</v>
      </c>
      <c r="I266" s="24" t="str">
        <f>IFERROR(__xludf.DUMMYFUNCTION("""COMPUTED_VALUE"""),"F6")</f>
        <v>F6</v>
      </c>
    </row>
    <row r="267">
      <c r="A267" s="23">
        <f>IFERROR(__xludf.DUMMYFUNCTION("""COMPUTED_VALUE"""),44745.0)</f>
        <v>44745</v>
      </c>
      <c r="B267" s="24" t="str">
        <f>IFERROR(__xludf.DUMMYFUNCTION("""COMPUTED_VALUE"""),"Claire")</f>
        <v>Claire</v>
      </c>
      <c r="C267" s="24">
        <f>IFERROR(__xludf.DUMMYFUNCTION("""COMPUTED_VALUE"""),-285.0)</f>
        <v>-285</v>
      </c>
      <c r="D267" s="24" t="str">
        <f>IFERROR(__xludf.DUMMYFUNCTION("""COMPUTED_VALUE"""),"XX")</f>
        <v>XX</v>
      </c>
      <c r="F267" s="23">
        <f>IFERROR(__xludf.DUMMYFUNCTION("""COMPUTED_VALUE"""),44734.871539629625)</f>
        <v>44734.87154</v>
      </c>
      <c r="G267" s="24" t="str">
        <f>IFERROR(__xludf.DUMMYFUNCTION("""COMPUTED_VALUE"""),"Claire")</f>
        <v>Claire</v>
      </c>
      <c r="H267" s="24">
        <f>IFERROR(__xludf.DUMMYFUNCTION("""COMPUTED_VALUE"""),376.0)</f>
        <v>376</v>
      </c>
      <c r="I267" s="24" t="str">
        <f>IFERROR(__xludf.DUMMYFUNCTION("""COMPUTED_VALUE"""),"XX (Freezer truck)")</f>
        <v>XX (Freezer truck)</v>
      </c>
    </row>
    <row r="268">
      <c r="A268" s="23">
        <f>IFERROR(__xludf.DUMMYFUNCTION("""COMPUTED_VALUE"""),44745.0)</f>
        <v>44745</v>
      </c>
      <c r="B268" s="24" t="str">
        <f>IFERROR(__xludf.DUMMYFUNCTION("""COMPUTED_VALUE"""),"Claire")</f>
        <v>Claire</v>
      </c>
      <c r="C268" s="24">
        <f>IFERROR(__xludf.DUMMYFUNCTION("""COMPUTED_VALUE"""),-15.0)</f>
        <v>-15</v>
      </c>
      <c r="D268" s="24" t="str">
        <f>IFERROR(__xludf.DUMMYFUNCTION("""COMPUTED_VALUE"""),"XX")</f>
        <v>XX</v>
      </c>
      <c r="F268" s="23">
        <f>IFERROR(__xludf.DUMMYFUNCTION("""COMPUTED_VALUE"""),44734.87388394676)</f>
        <v>44734.87388</v>
      </c>
      <c r="G268" s="24" t="str">
        <f>IFERROR(__xludf.DUMMYFUNCTION("""COMPUTED_VALUE"""),"Connor Gephart ")</f>
        <v>Connor Gephart </v>
      </c>
      <c r="H268" s="24">
        <f>IFERROR(__xludf.DUMMYFUNCTION("""COMPUTED_VALUE"""),11.0)</f>
        <v>11</v>
      </c>
      <c r="I268" s="24"/>
    </row>
    <row r="269">
      <c r="A269" s="23">
        <f>IFERROR(__xludf.DUMMYFUNCTION("""COMPUTED_VALUE"""),44745.0)</f>
        <v>44745</v>
      </c>
      <c r="B269" s="24" t="str">
        <f>IFERROR(__xludf.DUMMYFUNCTION("""COMPUTED_VALUE"""),"Claire")</f>
        <v>Claire</v>
      </c>
      <c r="C269" s="24">
        <f>IFERROR(__xludf.DUMMYFUNCTION("""COMPUTED_VALUE"""),-35.0)</f>
        <v>-35</v>
      </c>
      <c r="D269" s="24" t="str">
        <f>IFERROR(__xludf.DUMMYFUNCTION("""COMPUTED_VALUE"""),"XX")</f>
        <v>XX</v>
      </c>
      <c r="F269" s="23">
        <f>IFERROR(__xludf.DUMMYFUNCTION("""COMPUTED_VALUE"""),44734.88105895833)</f>
        <v>44734.88106</v>
      </c>
      <c r="G269" s="24" t="str">
        <f>IFERROR(__xludf.DUMMYFUNCTION("""COMPUTED_VALUE"""),"Randy Cochran")</f>
        <v>Randy Cochran</v>
      </c>
      <c r="H269" s="24">
        <f>IFERROR(__xludf.DUMMYFUNCTION("""COMPUTED_VALUE"""),20.0)</f>
        <v>20</v>
      </c>
      <c r="I269" s="24"/>
    </row>
    <row r="270">
      <c r="A270" s="23">
        <f>IFERROR(__xludf.DUMMYFUNCTION("""COMPUTED_VALUE"""),44745.0)</f>
        <v>44745</v>
      </c>
      <c r="B270" s="24" t="str">
        <f>IFERROR(__xludf.DUMMYFUNCTION("""COMPUTED_VALUE"""),"Claire")</f>
        <v>Claire</v>
      </c>
      <c r="C270" s="24">
        <f>IFERROR(__xludf.DUMMYFUNCTION("""COMPUTED_VALUE"""),-202.0)</f>
        <v>-202</v>
      </c>
      <c r="D270" s="24" t="str">
        <f>IFERROR(__xludf.DUMMYFUNCTION("""COMPUTED_VALUE"""),"XX")</f>
        <v>XX</v>
      </c>
      <c r="F270" s="23">
        <f>IFERROR(__xludf.DUMMYFUNCTION("""COMPUTED_VALUE"""),44734.881214814806)</f>
        <v>44734.88121</v>
      </c>
      <c r="G270" s="24" t="str">
        <f>IFERROR(__xludf.DUMMYFUNCTION("""COMPUTED_VALUE"""),"Randy Cochran")</f>
        <v>Randy Cochran</v>
      </c>
      <c r="H270" s="24">
        <f>IFERROR(__xludf.DUMMYFUNCTION("""COMPUTED_VALUE"""),7.0)</f>
        <v>7</v>
      </c>
      <c r="I270" s="24"/>
    </row>
    <row r="271">
      <c r="A271" s="23">
        <f>IFERROR(__xludf.DUMMYFUNCTION("""COMPUTED_VALUE"""),44745.0)</f>
        <v>44745</v>
      </c>
      <c r="B271" s="24" t="str">
        <f>IFERROR(__xludf.DUMMYFUNCTION("""COMPUTED_VALUE"""),"Claire")</f>
        <v>Claire</v>
      </c>
      <c r="C271" s="24">
        <f>IFERROR(__xludf.DUMMYFUNCTION("""COMPUTED_VALUE"""),-44.0)</f>
        <v>-44</v>
      </c>
      <c r="D271" s="24" t="str">
        <f>IFERROR(__xludf.DUMMYFUNCTION("""COMPUTED_VALUE"""),"H2")</f>
        <v>H2</v>
      </c>
      <c r="F271" s="23">
        <f>IFERROR(__xludf.DUMMYFUNCTION("""COMPUTED_VALUE"""),44734.88296309028)</f>
        <v>44734.88296</v>
      </c>
      <c r="G271" s="24" t="str">
        <f>IFERROR(__xludf.DUMMYFUNCTION("""COMPUTED_VALUE"""),"Dee Satterfield")</f>
        <v>Dee Satterfield</v>
      </c>
      <c r="H271" s="24">
        <f>IFERROR(__xludf.DUMMYFUNCTION("""COMPUTED_VALUE"""),20.0)</f>
        <v>20</v>
      </c>
      <c r="I271" s="24"/>
    </row>
    <row r="272">
      <c r="A272" s="23">
        <f>IFERROR(__xludf.DUMMYFUNCTION("""COMPUTED_VALUE"""),44745.0)</f>
        <v>44745</v>
      </c>
      <c r="B272" s="24" t="str">
        <f>IFERROR(__xludf.DUMMYFUNCTION("""COMPUTED_VALUE"""),"Claire")</f>
        <v>Claire</v>
      </c>
      <c r="C272" s="24">
        <f>IFERROR(__xludf.DUMMYFUNCTION("""COMPUTED_VALUE"""),389.0)</f>
        <v>389</v>
      </c>
      <c r="D272" s="24" t="str">
        <f>IFERROR(__xludf.DUMMYFUNCTION("""COMPUTED_VALUE"""),"O5")</f>
        <v>O5</v>
      </c>
      <c r="F272" s="23">
        <f>IFERROR(__xludf.DUMMYFUNCTION("""COMPUTED_VALUE"""),44734.883210092594)</f>
        <v>44734.88321</v>
      </c>
      <c r="G272" s="24" t="str">
        <f>IFERROR(__xludf.DUMMYFUNCTION("""COMPUTED_VALUE"""),"Dee Satterfield")</f>
        <v>Dee Satterfield</v>
      </c>
      <c r="H272" s="24">
        <f>IFERROR(__xludf.DUMMYFUNCTION("""COMPUTED_VALUE"""),22.0)</f>
        <v>22</v>
      </c>
      <c r="I272" s="24"/>
    </row>
    <row r="273">
      <c r="A273" s="23">
        <f>IFERROR(__xludf.DUMMYFUNCTION("""COMPUTED_VALUE"""),44745.0)</f>
        <v>44745</v>
      </c>
      <c r="B273" s="24" t="str">
        <f>IFERROR(__xludf.DUMMYFUNCTION("""COMPUTED_VALUE"""),"Claire")</f>
        <v>Claire</v>
      </c>
      <c r="C273" s="24">
        <f>IFERROR(__xludf.DUMMYFUNCTION("""COMPUTED_VALUE"""),764.0)</f>
        <v>764</v>
      </c>
      <c r="D273" s="24" t="str">
        <f>IFERROR(__xludf.DUMMYFUNCTION("""COMPUTED_VALUE"""),"H1")</f>
        <v>H1</v>
      </c>
      <c r="F273" s="23">
        <f>IFERROR(__xludf.DUMMYFUNCTION("""COMPUTED_VALUE"""),44734.886467743054)</f>
        <v>44734.88647</v>
      </c>
      <c r="G273" s="24" t="str">
        <f>IFERROR(__xludf.DUMMYFUNCTION("""COMPUTED_VALUE"""),"Luke mayhew")</f>
        <v>Luke mayhew</v>
      </c>
      <c r="H273" s="24">
        <f>IFERROR(__xludf.DUMMYFUNCTION("""COMPUTED_VALUE"""),20.0)</f>
        <v>20</v>
      </c>
      <c r="I273" s="24"/>
    </row>
    <row r="274">
      <c r="A274" s="23">
        <f>IFERROR(__xludf.DUMMYFUNCTION("""COMPUTED_VALUE"""),44745.0)</f>
        <v>44745</v>
      </c>
      <c r="B274" s="24" t="str">
        <f>IFERROR(__xludf.DUMMYFUNCTION("""COMPUTED_VALUE"""),"Claire")</f>
        <v>Claire</v>
      </c>
      <c r="C274" s="24">
        <f>IFERROR(__xludf.DUMMYFUNCTION("""COMPUTED_VALUE"""),285.0)</f>
        <v>285</v>
      </c>
      <c r="D274" s="24" t="str">
        <f>IFERROR(__xludf.DUMMYFUNCTION("""COMPUTED_VALUE"""),"C5")</f>
        <v>C5</v>
      </c>
      <c r="F274" s="23">
        <f>IFERROR(__xludf.DUMMYFUNCTION("""COMPUTED_VALUE"""),44734.88662118055)</f>
        <v>44734.88662</v>
      </c>
      <c r="G274" s="24" t="str">
        <f>IFERROR(__xludf.DUMMYFUNCTION("""COMPUTED_VALUE"""),"Luke Mayhew ")</f>
        <v>Luke Mayhew </v>
      </c>
      <c r="H274" s="24">
        <f>IFERROR(__xludf.DUMMYFUNCTION("""COMPUTED_VALUE"""),14.0)</f>
        <v>14</v>
      </c>
      <c r="I274" s="24"/>
    </row>
    <row r="275">
      <c r="A275" s="23">
        <f>IFERROR(__xludf.DUMMYFUNCTION("""COMPUTED_VALUE"""),44745.0)</f>
        <v>44745</v>
      </c>
      <c r="B275" s="24" t="str">
        <f>IFERROR(__xludf.DUMMYFUNCTION("""COMPUTED_VALUE"""),"Claire")</f>
        <v>Claire</v>
      </c>
      <c r="C275" s="24">
        <f>IFERROR(__xludf.DUMMYFUNCTION("""COMPUTED_VALUE"""),204.0)</f>
        <v>204</v>
      </c>
      <c r="D275" s="24" t="str">
        <f>IFERROR(__xludf.DUMMYFUNCTION("""COMPUTED_VALUE"""),"K4")</f>
        <v>K4</v>
      </c>
      <c r="F275" s="23">
        <f>IFERROR(__xludf.DUMMYFUNCTION("""COMPUTED_VALUE"""),44735.0)</f>
        <v>44735</v>
      </c>
      <c r="G275" s="24" t="str">
        <f>IFERROR(__xludf.DUMMYFUNCTION("""COMPUTED_VALUE"""),"Claire")</f>
        <v>Claire</v>
      </c>
      <c r="H275" s="24">
        <f>IFERROR(__xludf.DUMMYFUNCTION("""COMPUTED_VALUE"""),322.0)</f>
        <v>322</v>
      </c>
      <c r="I275" s="24" t="str">
        <f>IFERROR(__xludf.DUMMYFUNCTION("""COMPUTED_VALUE"""),"Amazon")</f>
        <v>Amazon</v>
      </c>
    </row>
    <row r="276">
      <c r="A276" s="23">
        <f>IFERROR(__xludf.DUMMYFUNCTION("""COMPUTED_VALUE"""),44745.0)</f>
        <v>44745</v>
      </c>
      <c r="B276" s="24" t="str">
        <f>IFERROR(__xludf.DUMMYFUNCTION("""COMPUTED_VALUE"""),"Claire")</f>
        <v>Claire</v>
      </c>
      <c r="C276" s="24">
        <f>IFERROR(__xludf.DUMMYFUNCTION("""COMPUTED_VALUE"""),549.0)</f>
        <v>549</v>
      </c>
      <c r="D276" s="24" t="str">
        <f>IFERROR(__xludf.DUMMYFUNCTION("""COMPUTED_VALUE"""),"K5")</f>
        <v>K5</v>
      </c>
      <c r="F276" s="23">
        <f>IFERROR(__xludf.DUMMYFUNCTION("""COMPUTED_VALUE"""),44735.7106152662)</f>
        <v>44735.71062</v>
      </c>
      <c r="G276" s="24" t="str">
        <f>IFERROR(__xludf.DUMMYFUNCTION("""COMPUTED_VALUE"""),"Norma Kriger")</f>
        <v>Norma Kriger</v>
      </c>
      <c r="H276" s="24">
        <f>IFERROR(__xludf.DUMMYFUNCTION("""COMPUTED_VALUE"""),10.0)</f>
        <v>10</v>
      </c>
      <c r="I276" s="24"/>
    </row>
    <row r="277">
      <c r="A277" s="23">
        <f>IFERROR(__xludf.DUMMYFUNCTION("""COMPUTED_VALUE"""),44728.863759722226)</f>
        <v>44728.86376</v>
      </c>
      <c r="B277" s="24" t="str">
        <f>IFERROR(__xludf.DUMMYFUNCTION("""COMPUTED_VALUE"""),"Sheneil")</f>
        <v>Sheneil</v>
      </c>
      <c r="C277" s="24">
        <f>IFERROR(__xludf.DUMMYFUNCTION("""COMPUTED_VALUE"""),1295.0)</f>
        <v>1295</v>
      </c>
      <c r="D277" s="24" t="str">
        <f>IFERROR(__xludf.DUMMYFUNCTION("""COMPUTED_VALUE"""),"Amazon")</f>
        <v>Amazon</v>
      </c>
      <c r="F277" s="23">
        <f>IFERROR(__xludf.DUMMYFUNCTION("""COMPUTED_VALUE"""),44735.84302475694)</f>
        <v>44735.84302</v>
      </c>
      <c r="G277" s="24" t="str">
        <f>IFERROR(__xludf.DUMMYFUNCTION("""COMPUTED_VALUE"""),"Claire")</f>
        <v>Claire</v>
      </c>
      <c r="H277" s="24">
        <f>IFERROR(__xludf.DUMMYFUNCTION("""COMPUTED_VALUE"""),159.0)</f>
        <v>159</v>
      </c>
      <c r="I277" s="24" t="str">
        <f>IFERROR(__xludf.DUMMYFUNCTION("""COMPUTED_VALUE"""),"Produce")</f>
        <v>Produce</v>
      </c>
    </row>
    <row r="278">
      <c r="A278" s="23">
        <f>IFERROR(__xludf.DUMMYFUNCTION("""COMPUTED_VALUE"""),44728.864060416665)</f>
        <v>44728.86406</v>
      </c>
      <c r="B278" s="24" t="str">
        <f>IFERROR(__xludf.DUMMYFUNCTION("""COMPUTED_VALUE"""),"Sheneil")</f>
        <v>Sheneil</v>
      </c>
      <c r="C278" s="24">
        <f>IFERROR(__xludf.DUMMYFUNCTION("""COMPUTED_VALUE"""),613.0)</f>
        <v>613</v>
      </c>
      <c r="D278" s="24" t="str">
        <f>IFERROR(__xludf.DUMMYFUNCTION("""COMPUTED_VALUE"""),"Amazon")</f>
        <v>Amazon</v>
      </c>
      <c r="F278" s="23">
        <f>IFERROR(__xludf.DUMMYFUNCTION("""COMPUTED_VALUE"""),44735.843502916665)</f>
        <v>44735.8435</v>
      </c>
      <c r="G278" s="24" t="str">
        <f>IFERROR(__xludf.DUMMYFUNCTION("""COMPUTED_VALUE"""),"Claire")</f>
        <v>Claire</v>
      </c>
      <c r="H278" s="24">
        <f>IFERROR(__xludf.DUMMYFUNCTION("""COMPUTED_VALUE"""),154.0)</f>
        <v>154</v>
      </c>
      <c r="I278" s="24" t="str">
        <f>IFERROR(__xludf.DUMMYFUNCTION("""COMPUTED_VALUE"""),"Produce")</f>
        <v>Produce</v>
      </c>
    </row>
    <row r="279">
      <c r="A279" s="23">
        <f>IFERROR(__xludf.DUMMYFUNCTION("""COMPUTED_VALUE"""),44729.709826909726)</f>
        <v>44729.70983</v>
      </c>
      <c r="B279" s="24" t="str">
        <f>IFERROR(__xludf.DUMMYFUNCTION("""COMPUTED_VALUE"""),"Ausar ")</f>
        <v>Ausar </v>
      </c>
      <c r="C279" s="24">
        <f>IFERROR(__xludf.DUMMYFUNCTION("""COMPUTED_VALUE"""),23.0)</f>
        <v>23</v>
      </c>
      <c r="D279" s="24" t="str">
        <f>IFERROR(__xludf.DUMMYFUNCTION("""COMPUTED_VALUE"""),"Walk up")</f>
        <v>Walk up</v>
      </c>
      <c r="F279" s="23">
        <f>IFERROR(__xludf.DUMMYFUNCTION("""COMPUTED_VALUE"""),44735.84387696759)</f>
        <v>44735.84388</v>
      </c>
      <c r="G279" s="24" t="str">
        <f>IFERROR(__xludf.DUMMYFUNCTION("""COMPUTED_VALUE"""),"Claire")</f>
        <v>Claire</v>
      </c>
      <c r="H279" s="24">
        <f>IFERROR(__xludf.DUMMYFUNCTION("""COMPUTED_VALUE"""),308.0)</f>
        <v>308</v>
      </c>
      <c r="I279" s="24" t="str">
        <f>IFERROR(__xludf.DUMMYFUNCTION("""COMPUTED_VALUE"""),"Drinks")</f>
        <v>Drinks</v>
      </c>
    </row>
    <row r="280">
      <c r="A280" s="23">
        <f>IFERROR(__xludf.DUMMYFUNCTION("""COMPUTED_VALUE"""),44731.671368020834)</f>
        <v>44731.67137</v>
      </c>
      <c r="B280" s="24" t="str">
        <f>IFERROR(__xludf.DUMMYFUNCTION("""COMPUTED_VALUE"""),"Zoe")</f>
        <v>Zoe</v>
      </c>
      <c r="C280" s="24">
        <f>IFERROR(__xludf.DUMMYFUNCTION("""COMPUTED_VALUE"""),10.0)</f>
        <v>10</v>
      </c>
      <c r="D280" s="24" t="str">
        <f>IFERROR(__xludf.DUMMYFUNCTION("""COMPUTED_VALUE"""),"Ausar’s Food donations")</f>
        <v>Ausar’s Food donations</v>
      </c>
      <c r="F280" s="23">
        <f>IFERROR(__xludf.DUMMYFUNCTION("""COMPUTED_VALUE"""),44735.84422481481)</f>
        <v>44735.84422</v>
      </c>
      <c r="G280" s="24" t="str">
        <f>IFERROR(__xludf.DUMMYFUNCTION("""COMPUTED_VALUE"""),"Claire")</f>
        <v>Claire</v>
      </c>
      <c r="H280" s="24">
        <f>IFERROR(__xludf.DUMMYFUNCTION("""COMPUTED_VALUE"""),1155.0)</f>
        <v>1155</v>
      </c>
      <c r="I280" s="24" t="str">
        <f>IFERROR(__xludf.DUMMYFUNCTION("""COMPUTED_VALUE"""),"Frozen")</f>
        <v>Frozen</v>
      </c>
    </row>
    <row r="281">
      <c r="A281" s="23">
        <f>IFERROR(__xludf.DUMMYFUNCTION("""COMPUTED_VALUE"""),44731.67160336806)</f>
        <v>44731.6716</v>
      </c>
      <c r="B281" s="24" t="str">
        <f>IFERROR(__xludf.DUMMYFUNCTION("""COMPUTED_VALUE"""),"Zoe")</f>
        <v>Zoe</v>
      </c>
      <c r="C281" s="24">
        <f>IFERROR(__xludf.DUMMYFUNCTION("""COMPUTED_VALUE"""),922.0)</f>
        <v>922</v>
      </c>
      <c r="D281" s="24" t="str">
        <f>IFERROR(__xludf.DUMMYFUNCTION("""COMPUTED_VALUE"""),"Amazon")</f>
        <v>Amazon</v>
      </c>
      <c r="F281" s="23">
        <f>IFERROR(__xludf.DUMMYFUNCTION("""COMPUTED_VALUE"""),44735.84448449074)</f>
        <v>44735.84448</v>
      </c>
      <c r="G281" s="24" t="str">
        <f>IFERROR(__xludf.DUMMYFUNCTION("""COMPUTED_VALUE"""),"Claire")</f>
        <v>Claire</v>
      </c>
      <c r="H281" s="24">
        <f>IFERROR(__xludf.DUMMYFUNCTION("""COMPUTED_VALUE"""),345.0)</f>
        <v>345</v>
      </c>
      <c r="I281" s="24" t="str">
        <f>IFERROR(__xludf.DUMMYFUNCTION("""COMPUTED_VALUE"""),"Frozen")</f>
        <v>Frozen</v>
      </c>
    </row>
    <row r="282">
      <c r="A282" s="23">
        <f>IFERROR(__xludf.DUMMYFUNCTION("""COMPUTED_VALUE"""),44731.671838159724)</f>
        <v>44731.67184</v>
      </c>
      <c r="B282" s="24" t="str">
        <f>IFERROR(__xludf.DUMMYFUNCTION("""COMPUTED_VALUE"""),"Zoe")</f>
        <v>Zoe</v>
      </c>
      <c r="C282" s="24">
        <f>IFERROR(__xludf.DUMMYFUNCTION("""COMPUTED_VALUE"""),601.0)</f>
        <v>601</v>
      </c>
      <c r="D282" s="24" t="str">
        <f>IFERROR(__xludf.DUMMYFUNCTION("""COMPUTED_VALUE"""),"Amazon")</f>
        <v>Amazon</v>
      </c>
      <c r="F282" s="23">
        <f>IFERROR(__xludf.DUMMYFUNCTION("""COMPUTED_VALUE"""),44735.857985173614)</f>
        <v>44735.85799</v>
      </c>
      <c r="G282" s="24" t="str">
        <f>IFERROR(__xludf.DUMMYFUNCTION("""COMPUTED_VALUE"""),"Claire")</f>
        <v>Claire</v>
      </c>
      <c r="H282" s="24">
        <f>IFERROR(__xludf.DUMMYFUNCTION("""COMPUTED_VALUE"""),62.0)</f>
        <v>62</v>
      </c>
      <c r="I282" s="24" t="str">
        <f>IFERROR(__xludf.DUMMYFUNCTION("""COMPUTED_VALUE"""),"M5")</f>
        <v>M5</v>
      </c>
    </row>
    <row r="283">
      <c r="A283" s="23">
        <f>IFERROR(__xludf.DUMMYFUNCTION("""COMPUTED_VALUE"""),44731.6721375)</f>
        <v>44731.67214</v>
      </c>
      <c r="B283" s="24" t="str">
        <f>IFERROR(__xludf.DUMMYFUNCTION("""COMPUTED_VALUE"""),"Zoe")</f>
        <v>Zoe</v>
      </c>
      <c r="C283" s="24">
        <f>IFERROR(__xludf.DUMMYFUNCTION("""COMPUTED_VALUE"""),947.0)</f>
        <v>947</v>
      </c>
      <c r="D283" s="24" t="str">
        <f>IFERROR(__xludf.DUMMYFUNCTION("""COMPUTED_VALUE"""),"Amazon")</f>
        <v>Amazon</v>
      </c>
      <c r="F283" s="23">
        <f>IFERROR(__xludf.DUMMYFUNCTION("""COMPUTED_VALUE"""),44735.85841168981)</f>
        <v>44735.85841</v>
      </c>
      <c r="G283" s="24" t="str">
        <f>IFERROR(__xludf.DUMMYFUNCTION("""COMPUTED_VALUE"""),"Claire")</f>
        <v>Claire</v>
      </c>
      <c r="H283" s="24">
        <f>IFERROR(__xludf.DUMMYFUNCTION("""COMPUTED_VALUE"""),282.0)</f>
        <v>282</v>
      </c>
      <c r="I283" s="24" t="str">
        <f>IFERROR(__xludf.DUMMYFUNCTION("""COMPUTED_VALUE"""),"F3")</f>
        <v>F3</v>
      </c>
    </row>
    <row r="284">
      <c r="A284" s="23">
        <f>IFERROR(__xludf.DUMMYFUNCTION("""COMPUTED_VALUE"""),44731.6723584375)</f>
        <v>44731.67236</v>
      </c>
      <c r="B284" s="24" t="str">
        <f>IFERROR(__xludf.DUMMYFUNCTION("""COMPUTED_VALUE"""),"Zoe")</f>
        <v>Zoe</v>
      </c>
      <c r="C284" s="24">
        <f>IFERROR(__xludf.DUMMYFUNCTION("""COMPUTED_VALUE"""),1015.0)</f>
        <v>1015</v>
      </c>
      <c r="D284" s="24" t="str">
        <f>IFERROR(__xludf.DUMMYFUNCTION("""COMPUTED_VALUE"""),"Amazon")</f>
        <v>Amazon</v>
      </c>
      <c r="F284" s="23">
        <f>IFERROR(__xludf.DUMMYFUNCTION("""COMPUTED_VALUE"""),44735.85861045139)</f>
        <v>44735.85861</v>
      </c>
      <c r="G284" s="24" t="str">
        <f>IFERROR(__xludf.DUMMYFUNCTION("""COMPUTED_VALUE"""),"Claire")</f>
        <v>Claire</v>
      </c>
      <c r="H284" s="24">
        <f>IFERROR(__xludf.DUMMYFUNCTION("""COMPUTED_VALUE"""),179.0)</f>
        <v>179</v>
      </c>
      <c r="I284" s="24" t="str">
        <f>IFERROR(__xludf.DUMMYFUNCTION("""COMPUTED_VALUE"""),"D2")</f>
        <v>D2</v>
      </c>
    </row>
    <row r="285">
      <c r="A285" s="23">
        <f>IFERROR(__xludf.DUMMYFUNCTION("""COMPUTED_VALUE"""),44733.72496001157)</f>
        <v>44733.72496</v>
      </c>
      <c r="B285" s="24" t="str">
        <f>IFERROR(__xludf.DUMMYFUNCTION("""COMPUTED_VALUE"""),"Claire")</f>
        <v>Claire</v>
      </c>
      <c r="C285" s="24">
        <f>IFERROR(__xludf.DUMMYFUNCTION("""COMPUTED_VALUE"""),264.0)</f>
        <v>264</v>
      </c>
      <c r="D285" s="24" t="str">
        <f>IFERROR(__xludf.DUMMYFUNCTION("""COMPUTED_VALUE"""),"Amazon")</f>
        <v>Amazon</v>
      </c>
      <c r="F285" s="23">
        <f>IFERROR(__xludf.DUMMYFUNCTION("""COMPUTED_VALUE"""),44735.85919534722)</f>
        <v>44735.8592</v>
      </c>
      <c r="G285" s="24" t="str">
        <f>IFERROR(__xludf.DUMMYFUNCTION("""COMPUTED_VALUE"""),"Claire")</f>
        <v>Claire</v>
      </c>
      <c r="H285" s="24">
        <f>IFERROR(__xludf.DUMMYFUNCTION("""COMPUTED_VALUE"""),174.0)</f>
        <v>174</v>
      </c>
      <c r="I285" s="24" t="str">
        <f>IFERROR(__xludf.DUMMYFUNCTION("""COMPUTED_VALUE"""),"C4")</f>
        <v>C4</v>
      </c>
    </row>
    <row r="286">
      <c r="A286" s="23">
        <f>IFERROR(__xludf.DUMMYFUNCTION("""COMPUTED_VALUE"""),44733.72516644676)</f>
        <v>44733.72517</v>
      </c>
      <c r="B286" s="24" t="str">
        <f>IFERROR(__xludf.DUMMYFUNCTION("""COMPUTED_VALUE"""),"Claire")</f>
        <v>Claire</v>
      </c>
      <c r="C286" s="24">
        <f>IFERROR(__xludf.DUMMYFUNCTION("""COMPUTED_VALUE"""),1878.0)</f>
        <v>1878</v>
      </c>
      <c r="D286" s="24" t="str">
        <f>IFERROR(__xludf.DUMMYFUNCTION("""COMPUTED_VALUE"""),"Amazon")</f>
        <v>Amazon</v>
      </c>
      <c r="F286" s="23">
        <f>IFERROR(__xludf.DUMMYFUNCTION("""COMPUTED_VALUE"""),44735.85968665509)</f>
        <v>44735.85969</v>
      </c>
      <c r="G286" s="24" t="str">
        <f>IFERROR(__xludf.DUMMYFUNCTION("""COMPUTED_VALUE"""),"Claire")</f>
        <v>Claire</v>
      </c>
      <c r="H286" s="24">
        <f>IFERROR(__xludf.DUMMYFUNCTION("""COMPUTED_VALUE"""),11.0)</f>
        <v>11</v>
      </c>
      <c r="I286" s="24" t="str">
        <f>IFERROR(__xludf.DUMMYFUNCTION("""COMPUTED_VALUE"""),"O4")</f>
        <v>O4</v>
      </c>
    </row>
    <row r="287">
      <c r="A287" s="23">
        <f>IFERROR(__xludf.DUMMYFUNCTION("""COMPUTED_VALUE"""),44733.72532726852)</f>
        <v>44733.72533</v>
      </c>
      <c r="B287" s="24" t="str">
        <f>IFERROR(__xludf.DUMMYFUNCTION("""COMPUTED_VALUE"""),"Claire")</f>
        <v>Claire</v>
      </c>
      <c r="C287" s="24">
        <f>IFERROR(__xludf.DUMMYFUNCTION("""COMPUTED_VALUE"""),2773.0)</f>
        <v>2773</v>
      </c>
      <c r="D287" s="24" t="str">
        <f>IFERROR(__xludf.DUMMYFUNCTION("""COMPUTED_VALUE"""),"Amazon")</f>
        <v>Amazon</v>
      </c>
      <c r="F287" s="23">
        <f>IFERROR(__xludf.DUMMYFUNCTION("""COMPUTED_VALUE"""),44735.859962870374)</f>
        <v>44735.85996</v>
      </c>
      <c r="G287" s="24" t="str">
        <f>IFERROR(__xludf.DUMMYFUNCTION("""COMPUTED_VALUE"""),"Claire")</f>
        <v>Claire</v>
      </c>
      <c r="H287" s="24">
        <f>IFERROR(__xludf.DUMMYFUNCTION("""COMPUTED_VALUE"""),18.0)</f>
        <v>18</v>
      </c>
      <c r="I287" s="24" t="str">
        <f>IFERROR(__xludf.DUMMYFUNCTION("""COMPUTED_VALUE"""),"P3")</f>
        <v>P3</v>
      </c>
    </row>
    <row r="288">
      <c r="A288" s="23">
        <f>IFERROR(__xludf.DUMMYFUNCTION("""COMPUTED_VALUE"""),44733.72550677083)</f>
        <v>44733.72551</v>
      </c>
      <c r="B288" s="24" t="str">
        <f>IFERROR(__xludf.DUMMYFUNCTION("""COMPUTED_VALUE"""),"Claire")</f>
        <v>Claire</v>
      </c>
      <c r="C288" s="24">
        <f>IFERROR(__xludf.DUMMYFUNCTION("""COMPUTED_VALUE"""),2223.0)</f>
        <v>2223</v>
      </c>
      <c r="D288" s="24" t="str">
        <f>IFERROR(__xludf.DUMMYFUNCTION("""COMPUTED_VALUE"""),"Amazon")</f>
        <v>Amazon</v>
      </c>
      <c r="F288" s="23">
        <f>IFERROR(__xludf.DUMMYFUNCTION("""COMPUTED_VALUE"""),44735.86027243055)</f>
        <v>44735.86027</v>
      </c>
      <c r="G288" s="24" t="str">
        <f>IFERROR(__xludf.DUMMYFUNCTION("""COMPUTED_VALUE"""),"Claire")</f>
        <v>Claire</v>
      </c>
      <c r="H288" s="24">
        <f>IFERROR(__xludf.DUMMYFUNCTION("""COMPUTED_VALUE"""),9.0)</f>
        <v>9</v>
      </c>
      <c r="I288" s="24" t="str">
        <f>IFERROR(__xludf.DUMMYFUNCTION("""COMPUTED_VALUE"""),"O3")</f>
        <v>O3</v>
      </c>
    </row>
    <row r="289">
      <c r="A289" s="23">
        <f>IFERROR(__xludf.DUMMYFUNCTION("""COMPUTED_VALUE"""),44733.72567936343)</f>
        <v>44733.72568</v>
      </c>
      <c r="B289" s="24" t="str">
        <f>IFERROR(__xludf.DUMMYFUNCTION("""COMPUTED_VALUE"""),"Claire")</f>
        <v>Claire</v>
      </c>
      <c r="C289" s="24">
        <f>IFERROR(__xludf.DUMMYFUNCTION("""COMPUTED_VALUE"""),1547.0)</f>
        <v>1547</v>
      </c>
      <c r="D289" s="24" t="str">
        <f>IFERROR(__xludf.DUMMYFUNCTION("""COMPUTED_VALUE"""),"Amazon")</f>
        <v>Amazon</v>
      </c>
      <c r="F289" s="23">
        <f>IFERROR(__xludf.DUMMYFUNCTION("""COMPUTED_VALUE"""),44735.86088212963)</f>
        <v>44735.86088</v>
      </c>
      <c r="G289" s="24" t="str">
        <f>IFERROR(__xludf.DUMMYFUNCTION("""COMPUTED_VALUE"""),"Claire")</f>
        <v>Claire</v>
      </c>
      <c r="H289" s="24">
        <f>IFERROR(__xludf.DUMMYFUNCTION("""COMPUTED_VALUE"""),16.0)</f>
        <v>16</v>
      </c>
      <c r="I289" s="24" t="str">
        <f>IFERROR(__xludf.DUMMYFUNCTION("""COMPUTED_VALUE"""),"P5")</f>
        <v>P5</v>
      </c>
    </row>
    <row r="290">
      <c r="A290" s="23">
        <f>IFERROR(__xludf.DUMMYFUNCTION("""COMPUTED_VALUE"""),44733.725943125)</f>
        <v>44733.72594</v>
      </c>
      <c r="B290" s="24" t="str">
        <f>IFERROR(__xludf.DUMMYFUNCTION("""COMPUTED_VALUE"""),"Claire")</f>
        <v>Claire</v>
      </c>
      <c r="C290" s="24">
        <f>IFERROR(__xludf.DUMMYFUNCTION("""COMPUTED_VALUE"""),293.0)</f>
        <v>293</v>
      </c>
      <c r="D290" s="24" t="str">
        <f>IFERROR(__xludf.DUMMYFUNCTION("""COMPUTED_VALUE"""),"Amazon")</f>
        <v>Amazon</v>
      </c>
      <c r="F290" s="23">
        <f>IFERROR(__xludf.DUMMYFUNCTION("""COMPUTED_VALUE"""),44735.86237101852)</f>
        <v>44735.86237</v>
      </c>
      <c r="G290" s="24" t="str">
        <f>IFERROR(__xludf.DUMMYFUNCTION("""COMPUTED_VALUE"""),"Claire")</f>
        <v>Claire</v>
      </c>
      <c r="H290" s="24">
        <f>IFERROR(__xludf.DUMMYFUNCTION("""COMPUTED_VALUE"""),81.0)</f>
        <v>81</v>
      </c>
      <c r="I290" s="24" t="str">
        <f>IFERROR(__xludf.DUMMYFUNCTION("""COMPUTED_VALUE"""),"H4")</f>
        <v>H4</v>
      </c>
    </row>
    <row r="291">
      <c r="A291" s="23">
        <f>IFERROR(__xludf.DUMMYFUNCTION("""COMPUTED_VALUE"""),44733.72614496528)</f>
        <v>44733.72614</v>
      </c>
      <c r="B291" s="24" t="str">
        <f>IFERROR(__xludf.DUMMYFUNCTION("""COMPUTED_VALUE"""),"Claire")</f>
        <v>Claire</v>
      </c>
      <c r="C291" s="24">
        <f>IFERROR(__xludf.DUMMYFUNCTION("""COMPUTED_VALUE"""),1744.0)</f>
        <v>1744</v>
      </c>
      <c r="D291" s="24" t="str">
        <f>IFERROR(__xludf.DUMMYFUNCTION("""COMPUTED_VALUE"""),"Amazon")</f>
        <v>Amazon</v>
      </c>
      <c r="F291" s="23">
        <f>IFERROR(__xludf.DUMMYFUNCTION("""COMPUTED_VALUE"""),44735.863220196756)</f>
        <v>44735.86322</v>
      </c>
      <c r="G291" s="24" t="str">
        <f>IFERROR(__xludf.DUMMYFUNCTION("""COMPUTED_VALUE"""),"Claire")</f>
        <v>Claire</v>
      </c>
      <c r="H291" s="24">
        <f>IFERROR(__xludf.DUMMYFUNCTION("""COMPUTED_VALUE"""),204.0)</f>
        <v>204</v>
      </c>
      <c r="I291" s="24" t="str">
        <f>IFERROR(__xludf.DUMMYFUNCTION("""COMPUTED_VALUE"""),"L8")</f>
        <v>L8</v>
      </c>
    </row>
    <row r="292">
      <c r="A292" s="23">
        <f>IFERROR(__xludf.DUMMYFUNCTION("""COMPUTED_VALUE"""),44733.72631576389)</f>
        <v>44733.72632</v>
      </c>
      <c r="B292" s="24" t="str">
        <f>IFERROR(__xludf.DUMMYFUNCTION("""COMPUTED_VALUE"""),"Claire")</f>
        <v>Claire</v>
      </c>
      <c r="C292" s="24">
        <f>IFERROR(__xludf.DUMMYFUNCTION("""COMPUTED_VALUE"""),1292.0)</f>
        <v>1292</v>
      </c>
      <c r="D292" s="24" t="str">
        <f>IFERROR(__xludf.DUMMYFUNCTION("""COMPUTED_VALUE"""),"Amazon")</f>
        <v>Amazon</v>
      </c>
      <c r="F292" s="23">
        <f>IFERROR(__xludf.DUMMYFUNCTION("""COMPUTED_VALUE"""),44735.863699849535)</f>
        <v>44735.8637</v>
      </c>
      <c r="G292" s="24" t="str">
        <f>IFERROR(__xludf.DUMMYFUNCTION("""COMPUTED_VALUE"""),"Claire")</f>
        <v>Claire</v>
      </c>
      <c r="H292" s="24">
        <f>IFERROR(__xludf.DUMMYFUNCTION("""COMPUTED_VALUE"""),48.0)</f>
        <v>48</v>
      </c>
      <c r="I292" s="24" t="str">
        <f>IFERROR(__xludf.DUMMYFUNCTION("""COMPUTED_VALUE"""),"C3")</f>
        <v>C3</v>
      </c>
    </row>
    <row r="293">
      <c r="A293" s="23">
        <f>IFERROR(__xludf.DUMMYFUNCTION("""COMPUTED_VALUE"""),44733.72669603009)</f>
        <v>44733.7267</v>
      </c>
      <c r="B293" s="24" t="str">
        <f>IFERROR(__xludf.DUMMYFUNCTION("""COMPUTED_VALUE"""),"Claire")</f>
        <v>Claire</v>
      </c>
      <c r="C293" s="24">
        <f>IFERROR(__xludf.DUMMYFUNCTION("""COMPUTED_VALUE"""),750.0)</f>
        <v>750</v>
      </c>
      <c r="D293" s="24" t="str">
        <f>IFERROR(__xludf.DUMMYFUNCTION("""COMPUTED_VALUE"""),"Amazon")</f>
        <v>Amazon</v>
      </c>
      <c r="F293" s="23">
        <f>IFERROR(__xludf.DUMMYFUNCTION("""COMPUTED_VALUE"""),44735.864744976854)</f>
        <v>44735.86474</v>
      </c>
      <c r="G293" s="24" t="str">
        <f>IFERROR(__xludf.DUMMYFUNCTION("""COMPUTED_VALUE"""),"Claire")</f>
        <v>Claire</v>
      </c>
      <c r="H293" s="24">
        <f>IFERROR(__xludf.DUMMYFUNCTION("""COMPUTED_VALUE"""),-545.0)</f>
        <v>-545</v>
      </c>
      <c r="I293" s="24" t="str">
        <f>IFERROR(__xludf.DUMMYFUNCTION("""COMPUTED_VALUE"""),"L8")</f>
        <v>L8</v>
      </c>
    </row>
    <row r="294">
      <c r="A294" s="23">
        <f>IFERROR(__xludf.DUMMYFUNCTION("""COMPUTED_VALUE"""),44733.72651451389)</f>
        <v>44733.72651</v>
      </c>
      <c r="B294" s="24" t="str">
        <f>IFERROR(__xludf.DUMMYFUNCTION("""COMPUTED_VALUE"""),"Claire")</f>
        <v>Claire</v>
      </c>
      <c r="C294" s="24">
        <f>IFERROR(__xludf.DUMMYFUNCTION("""COMPUTED_VALUE"""),1522.0)</f>
        <v>1522</v>
      </c>
      <c r="D294" s="24" t="str">
        <f>IFERROR(__xludf.DUMMYFUNCTION("""COMPUTED_VALUE"""),"Amazon")</f>
        <v>Amazon</v>
      </c>
      <c r="F294" s="23">
        <f>IFERROR(__xludf.DUMMYFUNCTION("""COMPUTED_VALUE"""),44735.865879537036)</f>
        <v>44735.86588</v>
      </c>
      <c r="G294" s="24" t="str">
        <f>IFERROR(__xludf.DUMMYFUNCTION("""COMPUTED_VALUE"""),"Claire")</f>
        <v>Claire</v>
      </c>
      <c r="H294" s="24">
        <f>IFERROR(__xludf.DUMMYFUNCTION("""COMPUTED_VALUE"""),543.0)</f>
        <v>543</v>
      </c>
      <c r="I294" s="24" t="str">
        <f>IFERROR(__xludf.DUMMYFUNCTION("""COMPUTED_VALUE"""),"L8")</f>
        <v>L8</v>
      </c>
    </row>
    <row r="295">
      <c r="A295" s="23">
        <f>IFERROR(__xludf.DUMMYFUNCTION("""COMPUTED_VALUE"""),44733.7269122338)</f>
        <v>44733.72691</v>
      </c>
      <c r="B295" s="24" t="str">
        <f>IFERROR(__xludf.DUMMYFUNCTION("""COMPUTED_VALUE"""),"Claire")</f>
        <v>Claire</v>
      </c>
      <c r="C295" s="24">
        <f>IFERROR(__xludf.DUMMYFUNCTION("""COMPUTED_VALUE"""),987.0)</f>
        <v>987</v>
      </c>
      <c r="D295" s="24" t="str">
        <f>IFERROR(__xludf.DUMMYFUNCTION("""COMPUTED_VALUE"""),"Amazon")</f>
        <v>Amazon</v>
      </c>
      <c r="F295" s="23">
        <f>IFERROR(__xludf.DUMMYFUNCTION("""COMPUTED_VALUE"""),44735.86614731482)</f>
        <v>44735.86615</v>
      </c>
      <c r="G295" s="24" t="str">
        <f>IFERROR(__xludf.DUMMYFUNCTION("""COMPUTED_VALUE"""),"Claire")</f>
        <v>Claire</v>
      </c>
      <c r="H295" s="24">
        <f>IFERROR(__xludf.DUMMYFUNCTION("""COMPUTED_VALUE"""),106.0)</f>
        <v>106</v>
      </c>
      <c r="I295" s="24" t="str">
        <f>IFERROR(__xludf.DUMMYFUNCTION("""COMPUTED_VALUE"""),"N2")</f>
        <v>N2</v>
      </c>
    </row>
    <row r="296">
      <c r="A296" s="23">
        <f>IFERROR(__xludf.DUMMYFUNCTION("""COMPUTED_VALUE"""),44733.72706435185)</f>
        <v>44733.72706</v>
      </c>
      <c r="B296" s="24" t="str">
        <f>IFERROR(__xludf.DUMMYFUNCTION("""COMPUTED_VALUE"""),"Claire")</f>
        <v>Claire</v>
      </c>
      <c r="C296" s="24">
        <f>IFERROR(__xludf.DUMMYFUNCTION("""COMPUTED_VALUE"""),1014.0)</f>
        <v>1014</v>
      </c>
      <c r="D296" s="24" t="str">
        <f>IFERROR(__xludf.DUMMYFUNCTION("""COMPUTED_VALUE"""),"Amazon")</f>
        <v>Amazon</v>
      </c>
      <c r="F296" s="23">
        <f>IFERROR(__xludf.DUMMYFUNCTION("""COMPUTED_VALUE"""),44735.867122777774)</f>
        <v>44735.86712</v>
      </c>
      <c r="G296" s="24" t="str">
        <f>IFERROR(__xludf.DUMMYFUNCTION("""COMPUTED_VALUE"""),"Claire")</f>
        <v>Claire</v>
      </c>
      <c r="H296" s="24">
        <f>IFERROR(__xludf.DUMMYFUNCTION("""COMPUTED_VALUE"""),199.0)</f>
        <v>199</v>
      </c>
      <c r="I296" s="24" t="str">
        <f>IFERROR(__xludf.DUMMYFUNCTION("""COMPUTED_VALUE"""),"N5")</f>
        <v>N5</v>
      </c>
    </row>
    <row r="297">
      <c r="A297" s="23">
        <f>IFERROR(__xludf.DUMMYFUNCTION("""COMPUTED_VALUE"""),44733.72721310185)</f>
        <v>44733.72721</v>
      </c>
      <c r="B297" s="24" t="str">
        <f>IFERROR(__xludf.DUMMYFUNCTION("""COMPUTED_VALUE"""),"Claire")</f>
        <v>Claire</v>
      </c>
      <c r="C297" s="24">
        <f>IFERROR(__xludf.DUMMYFUNCTION("""COMPUTED_VALUE"""),1081.0)</f>
        <v>1081</v>
      </c>
      <c r="D297" s="24" t="str">
        <f>IFERROR(__xludf.DUMMYFUNCTION("""COMPUTED_VALUE"""),"Amazon")</f>
        <v>Amazon</v>
      </c>
      <c r="F297" s="23">
        <f>IFERROR(__xludf.DUMMYFUNCTION("""COMPUTED_VALUE"""),44735.86916564815)</f>
        <v>44735.86917</v>
      </c>
      <c r="G297" s="24" t="str">
        <f>IFERROR(__xludf.DUMMYFUNCTION("""COMPUTED_VALUE"""),"Claire")</f>
        <v>Claire</v>
      </c>
      <c r="H297" s="24">
        <f>IFERROR(__xludf.DUMMYFUNCTION("""COMPUTED_VALUE"""),92.0)</f>
        <v>92</v>
      </c>
      <c r="I297" s="24" t="str">
        <f>IFERROR(__xludf.DUMMYFUNCTION("""COMPUTED_VALUE"""),"P2")</f>
        <v>P2</v>
      </c>
    </row>
    <row r="298">
      <c r="A298" s="23">
        <f>IFERROR(__xludf.DUMMYFUNCTION("""COMPUTED_VALUE"""),44733.72750930556)</f>
        <v>44733.72751</v>
      </c>
      <c r="B298" s="24" t="str">
        <f>IFERROR(__xludf.DUMMYFUNCTION("""COMPUTED_VALUE"""),"Claire")</f>
        <v>Claire</v>
      </c>
      <c r="C298" s="24">
        <f>IFERROR(__xludf.DUMMYFUNCTION("""COMPUTED_VALUE"""),338.0)</f>
        <v>338</v>
      </c>
      <c r="D298" s="24" t="str">
        <f>IFERROR(__xludf.DUMMYFUNCTION("""COMPUTED_VALUE"""),"Amazon")</f>
        <v>Amazon</v>
      </c>
      <c r="F298" s="23">
        <f>IFERROR(__xludf.DUMMYFUNCTION("""COMPUTED_VALUE"""),44735.86944672454)</f>
        <v>44735.86945</v>
      </c>
      <c r="G298" s="24" t="str">
        <f>IFERROR(__xludf.DUMMYFUNCTION("""COMPUTED_VALUE"""),"Claire")</f>
        <v>Claire</v>
      </c>
      <c r="H298" s="24">
        <f>IFERROR(__xludf.DUMMYFUNCTION("""COMPUTED_VALUE"""),79.0)</f>
        <v>79</v>
      </c>
      <c r="I298" s="24" t="str">
        <f>IFERROR(__xludf.DUMMYFUNCTION("""COMPUTED_VALUE"""),"I3")</f>
        <v>I3</v>
      </c>
    </row>
    <row r="299">
      <c r="A299" s="23">
        <f>IFERROR(__xludf.DUMMYFUNCTION("""COMPUTED_VALUE"""),44733.72766675926)</f>
        <v>44733.72767</v>
      </c>
      <c r="B299" s="24" t="str">
        <f>IFERROR(__xludf.DUMMYFUNCTION("""COMPUTED_VALUE"""),"Claire")</f>
        <v>Claire</v>
      </c>
      <c r="C299" s="24">
        <f>IFERROR(__xludf.DUMMYFUNCTION("""COMPUTED_VALUE"""),788.0)</f>
        <v>788</v>
      </c>
      <c r="D299" s="24" t="str">
        <f>IFERROR(__xludf.DUMMYFUNCTION("""COMPUTED_VALUE"""),"Amazon")</f>
        <v>Amazon</v>
      </c>
      <c r="F299" s="23">
        <f>IFERROR(__xludf.DUMMYFUNCTION("""COMPUTED_VALUE"""),44735.8697460301)</f>
        <v>44735.86975</v>
      </c>
      <c r="G299" s="24" t="str">
        <f>IFERROR(__xludf.DUMMYFUNCTION("""COMPUTED_VALUE"""),"Claire")</f>
        <v>Claire</v>
      </c>
      <c r="H299" s="24">
        <f>IFERROR(__xludf.DUMMYFUNCTION("""COMPUTED_VALUE"""),40.0)</f>
        <v>40</v>
      </c>
      <c r="I299" s="24" t="str">
        <f>IFERROR(__xludf.DUMMYFUNCTION("""COMPUTED_VALUE"""),"M3")</f>
        <v>M3</v>
      </c>
    </row>
    <row r="300">
      <c r="A300" s="23">
        <f>IFERROR(__xludf.DUMMYFUNCTION("""COMPUTED_VALUE"""),44733.727835729165)</f>
        <v>44733.72784</v>
      </c>
      <c r="B300" s="24" t="str">
        <f>IFERROR(__xludf.DUMMYFUNCTION("""COMPUTED_VALUE"""),"Claire")</f>
        <v>Claire</v>
      </c>
      <c r="C300" s="24">
        <f>IFERROR(__xludf.DUMMYFUNCTION("""COMPUTED_VALUE"""),1213.0)</f>
        <v>1213</v>
      </c>
      <c r="D300" s="24" t="str">
        <f>IFERROR(__xludf.DUMMYFUNCTION("""COMPUTED_VALUE"""),"Amazon")</f>
        <v>Amazon</v>
      </c>
      <c r="F300" s="23">
        <f>IFERROR(__xludf.DUMMYFUNCTION("""COMPUTED_VALUE"""),44735.8701296875)</f>
        <v>44735.87013</v>
      </c>
      <c r="G300" s="24" t="str">
        <f>IFERROR(__xludf.DUMMYFUNCTION("""COMPUTED_VALUE"""),"Claire")</f>
        <v>Claire</v>
      </c>
      <c r="H300" s="24">
        <f>IFERROR(__xludf.DUMMYFUNCTION("""COMPUTED_VALUE"""),71.0)</f>
        <v>71</v>
      </c>
      <c r="I300" s="24" t="str">
        <f>IFERROR(__xludf.DUMMYFUNCTION("""COMPUTED_VALUE"""),"N3")</f>
        <v>N3</v>
      </c>
    </row>
    <row r="301">
      <c r="A301" s="23">
        <f>IFERROR(__xludf.DUMMYFUNCTION("""COMPUTED_VALUE"""),44733.72798222222)</f>
        <v>44733.72798</v>
      </c>
      <c r="B301" s="24" t="str">
        <f>IFERROR(__xludf.DUMMYFUNCTION("""COMPUTED_VALUE"""),"Claire")</f>
        <v>Claire</v>
      </c>
      <c r="C301" s="24">
        <f>IFERROR(__xludf.DUMMYFUNCTION("""COMPUTED_VALUE"""),813.0)</f>
        <v>813</v>
      </c>
      <c r="D301" s="24" t="str">
        <f>IFERROR(__xludf.DUMMYFUNCTION("""COMPUTED_VALUE"""),"Amazon")</f>
        <v>Amazon</v>
      </c>
      <c r="F301" s="23">
        <f>IFERROR(__xludf.DUMMYFUNCTION("""COMPUTED_VALUE"""),44736.65685533564)</f>
        <v>44736.65686</v>
      </c>
      <c r="G301" s="24" t="str">
        <f>IFERROR(__xludf.DUMMYFUNCTION("""COMPUTED_VALUE"""),"Claire")</f>
        <v>Claire</v>
      </c>
      <c r="H301" s="24">
        <f>IFERROR(__xludf.DUMMYFUNCTION("""COMPUTED_VALUE"""),1139.0)</f>
        <v>1139</v>
      </c>
      <c r="I301" s="24" t="str">
        <f>IFERROR(__xludf.DUMMYFUNCTION("""COMPUTED_VALUE"""),"Drinks")</f>
        <v>Drinks</v>
      </c>
    </row>
    <row r="302">
      <c r="A302" s="23">
        <f>IFERROR(__xludf.DUMMYFUNCTION("""COMPUTED_VALUE"""),44733.72828234954)</f>
        <v>44733.72828</v>
      </c>
      <c r="B302" s="24" t="str">
        <f>IFERROR(__xludf.DUMMYFUNCTION("""COMPUTED_VALUE"""),"Claire")</f>
        <v>Claire</v>
      </c>
      <c r="C302" s="24">
        <f>IFERROR(__xludf.DUMMYFUNCTION("""COMPUTED_VALUE"""),479.0)</f>
        <v>479</v>
      </c>
      <c r="D302" s="24" t="str">
        <f>IFERROR(__xludf.DUMMYFUNCTION("""COMPUTED_VALUE"""),"Amazon")</f>
        <v>Amazon</v>
      </c>
      <c r="F302" s="23">
        <f>IFERROR(__xludf.DUMMYFUNCTION("""COMPUTED_VALUE"""),44736.657337743054)</f>
        <v>44736.65734</v>
      </c>
      <c r="G302" s="24" t="str">
        <f>IFERROR(__xludf.DUMMYFUNCTION("""COMPUTED_VALUE"""),"Claire")</f>
        <v>Claire</v>
      </c>
      <c r="H302" s="24">
        <f>IFERROR(__xludf.DUMMYFUNCTION("""COMPUTED_VALUE"""),740.0)</f>
        <v>740</v>
      </c>
      <c r="I302" s="24" t="str">
        <f>IFERROR(__xludf.DUMMYFUNCTION("""COMPUTED_VALUE"""),"Frozen")</f>
        <v>Frozen</v>
      </c>
    </row>
    <row r="303">
      <c r="A303" s="23">
        <f>IFERROR(__xludf.DUMMYFUNCTION("""COMPUTED_VALUE"""),44733.7285434375)</f>
        <v>44733.72854</v>
      </c>
      <c r="B303" s="24" t="str">
        <f>IFERROR(__xludf.DUMMYFUNCTION("""COMPUTED_VALUE"""),"Claire")</f>
        <v>Claire</v>
      </c>
      <c r="C303" s="24">
        <f>IFERROR(__xludf.DUMMYFUNCTION("""COMPUTED_VALUE"""),273.0)</f>
        <v>273</v>
      </c>
      <c r="D303" s="24" t="str">
        <f>IFERROR(__xludf.DUMMYFUNCTION("""COMPUTED_VALUE"""),"Amazon")</f>
        <v>Amazon</v>
      </c>
      <c r="F303" s="23">
        <f>IFERROR(__xludf.DUMMYFUNCTION("""COMPUTED_VALUE"""),44736.65769037037)</f>
        <v>44736.65769</v>
      </c>
      <c r="G303" s="24" t="str">
        <f>IFERROR(__xludf.DUMMYFUNCTION("""COMPUTED_VALUE"""),"Claire")</f>
        <v>Claire</v>
      </c>
      <c r="H303" s="24">
        <f>IFERROR(__xludf.DUMMYFUNCTION("""COMPUTED_VALUE"""),1305.0)</f>
        <v>1305</v>
      </c>
      <c r="I303" s="24" t="str">
        <f>IFERROR(__xludf.DUMMYFUNCTION("""COMPUTED_VALUE"""),"Frozen")</f>
        <v>Frozen</v>
      </c>
    </row>
    <row r="304">
      <c r="A304" s="23">
        <f>IFERROR(__xludf.DUMMYFUNCTION("""COMPUTED_VALUE"""),44733.0)</f>
        <v>44733</v>
      </c>
      <c r="B304" s="24" t="str">
        <f>IFERROR(__xludf.DUMMYFUNCTION("""COMPUTED_VALUE"""),"Claire")</f>
        <v>Claire</v>
      </c>
      <c r="C304" s="24">
        <f>IFERROR(__xludf.DUMMYFUNCTION("""COMPUTED_VALUE"""),303.0)</f>
        <v>303</v>
      </c>
      <c r="D304" s="24" t="str">
        <f>IFERROR(__xludf.DUMMYFUNCTION("""COMPUTED_VALUE"""),"Amazon")</f>
        <v>Amazon</v>
      </c>
      <c r="F304" s="23">
        <f>IFERROR(__xludf.DUMMYFUNCTION("""COMPUTED_VALUE"""),44736.65807942129)</f>
        <v>44736.65808</v>
      </c>
      <c r="G304" s="24" t="str">
        <f>IFERROR(__xludf.DUMMYFUNCTION("""COMPUTED_VALUE"""),"Claire")</f>
        <v>Claire</v>
      </c>
      <c r="H304" s="24">
        <f>IFERROR(__xludf.DUMMYFUNCTION("""COMPUTED_VALUE"""),31.0)</f>
        <v>31</v>
      </c>
      <c r="I304" s="24" t="str">
        <f>IFERROR(__xludf.DUMMYFUNCTION("""COMPUTED_VALUE"""),"Snacks")</f>
        <v>Snacks</v>
      </c>
    </row>
    <row r="305">
      <c r="A305" s="23">
        <f>IFERROR(__xludf.DUMMYFUNCTION("""COMPUTED_VALUE"""),44733.0)</f>
        <v>44733</v>
      </c>
      <c r="B305" s="24" t="str">
        <f>IFERROR(__xludf.DUMMYFUNCTION("""COMPUTED_VALUE"""),"Claire")</f>
        <v>Claire</v>
      </c>
      <c r="C305" s="24">
        <f>IFERROR(__xludf.DUMMYFUNCTION("""COMPUTED_VALUE"""),301.0)</f>
        <v>301</v>
      </c>
      <c r="D305" s="24" t="str">
        <f>IFERROR(__xludf.DUMMYFUNCTION("""COMPUTED_VALUE"""),"Amazon")</f>
        <v>Amazon</v>
      </c>
      <c r="F305" s="23">
        <f>IFERROR(__xludf.DUMMYFUNCTION("""COMPUTED_VALUE"""),44736.675863969904)</f>
        <v>44736.67586</v>
      </c>
      <c r="G305" s="24" t="str">
        <f>IFERROR(__xludf.DUMMYFUNCTION("""COMPUTED_VALUE"""),"Claire")</f>
        <v>Claire</v>
      </c>
      <c r="H305" s="24">
        <f>IFERROR(__xludf.DUMMYFUNCTION("""COMPUTED_VALUE"""),1139.0)</f>
        <v>1139</v>
      </c>
      <c r="I305" s="24" t="str">
        <f>IFERROR(__xludf.DUMMYFUNCTION("""COMPUTED_VALUE"""),"XX")</f>
        <v>XX</v>
      </c>
    </row>
    <row r="306">
      <c r="A306" s="23">
        <f>IFERROR(__xludf.DUMMYFUNCTION("""COMPUTED_VALUE"""),44733.0)</f>
        <v>44733</v>
      </c>
      <c r="B306" s="24" t="str">
        <f>IFERROR(__xludf.DUMMYFUNCTION("""COMPUTED_VALUE"""),"Claire")</f>
        <v>Claire</v>
      </c>
      <c r="C306" s="24">
        <f>IFERROR(__xludf.DUMMYFUNCTION("""COMPUTED_VALUE"""),281.0)</f>
        <v>281</v>
      </c>
      <c r="D306" s="24" t="str">
        <f>IFERROR(__xludf.DUMMYFUNCTION("""COMPUTED_VALUE"""),"Amazon")</f>
        <v>Amazon</v>
      </c>
      <c r="F306" s="23">
        <f>IFERROR(__xludf.DUMMYFUNCTION("""COMPUTED_VALUE"""),44736.676042754625)</f>
        <v>44736.67604</v>
      </c>
      <c r="G306" s="24" t="str">
        <f>IFERROR(__xludf.DUMMYFUNCTION("""COMPUTED_VALUE"""),"Claire")</f>
        <v>Claire</v>
      </c>
      <c r="H306" s="24">
        <f>IFERROR(__xludf.DUMMYFUNCTION("""COMPUTED_VALUE"""),-31.0)</f>
        <v>-31</v>
      </c>
      <c r="I306" s="24" t="str">
        <f>IFERROR(__xludf.DUMMYFUNCTION("""COMPUTED_VALUE"""),"F3")</f>
        <v>F3</v>
      </c>
    </row>
    <row r="307">
      <c r="A307" s="23">
        <f>IFERROR(__xludf.DUMMYFUNCTION("""COMPUTED_VALUE"""),44733.0)</f>
        <v>44733</v>
      </c>
      <c r="B307" s="24" t="str">
        <f>IFERROR(__xludf.DUMMYFUNCTION("""COMPUTED_VALUE"""),"Claire")</f>
        <v>Claire</v>
      </c>
      <c r="C307" s="24">
        <f>IFERROR(__xludf.DUMMYFUNCTION("""COMPUTED_VALUE"""),892.0)</f>
        <v>892</v>
      </c>
      <c r="D307" s="24" t="str">
        <f>IFERROR(__xludf.DUMMYFUNCTION("""COMPUTED_VALUE"""),"Amazon")</f>
        <v>Amazon</v>
      </c>
      <c r="F307" s="23">
        <f>IFERROR(__xludf.DUMMYFUNCTION("""COMPUTED_VALUE"""),44736.71603539352)</f>
        <v>44736.71604</v>
      </c>
      <c r="G307" s="24" t="str">
        <f>IFERROR(__xludf.DUMMYFUNCTION("""COMPUTED_VALUE"""),"Yulia")</f>
        <v>Yulia</v>
      </c>
      <c r="H307" s="24">
        <f>IFERROR(__xludf.DUMMYFUNCTION("""COMPUTED_VALUE"""),53.0)</f>
        <v>53</v>
      </c>
      <c r="I307" s="24"/>
    </row>
    <row r="308">
      <c r="A308" s="23">
        <f>IFERROR(__xludf.DUMMYFUNCTION("""COMPUTED_VALUE"""),44733.0)</f>
        <v>44733</v>
      </c>
      <c r="B308" s="24" t="str">
        <f>IFERROR(__xludf.DUMMYFUNCTION("""COMPUTED_VALUE"""),"Claire")</f>
        <v>Claire</v>
      </c>
      <c r="C308" s="24">
        <f>IFERROR(__xludf.DUMMYFUNCTION("""COMPUTED_VALUE"""),867.0)</f>
        <v>867</v>
      </c>
      <c r="D308" s="24" t="str">
        <f>IFERROR(__xludf.DUMMYFUNCTION("""COMPUTED_VALUE"""),"Amazon")</f>
        <v>Amazon</v>
      </c>
      <c r="F308" s="23">
        <f>IFERROR(__xludf.DUMMYFUNCTION("""COMPUTED_VALUE"""),44736.72101954861)</f>
        <v>44736.72102</v>
      </c>
      <c r="G308" s="24" t="str">
        <f>IFERROR(__xludf.DUMMYFUNCTION("""COMPUTED_VALUE"""),"Sunita Pathik")</f>
        <v>Sunita Pathik</v>
      </c>
      <c r="H308" s="24">
        <f>IFERROR(__xludf.DUMMYFUNCTION("""COMPUTED_VALUE"""),7.0)</f>
        <v>7</v>
      </c>
      <c r="I308" s="24"/>
    </row>
    <row r="309">
      <c r="A309" s="23">
        <f>IFERROR(__xludf.DUMMYFUNCTION("""COMPUTED_VALUE"""),44733.0)</f>
        <v>44733</v>
      </c>
      <c r="B309" s="24" t="str">
        <f>IFERROR(__xludf.DUMMYFUNCTION("""COMPUTED_VALUE"""),"Claire")</f>
        <v>Claire</v>
      </c>
      <c r="C309" s="24">
        <f>IFERROR(__xludf.DUMMYFUNCTION("""COMPUTED_VALUE"""),901.0)</f>
        <v>901</v>
      </c>
      <c r="D309" s="24" t="str">
        <f>IFERROR(__xludf.DUMMYFUNCTION("""COMPUTED_VALUE"""),"Amazon")</f>
        <v>Amazon</v>
      </c>
      <c r="F309" s="23">
        <f>IFERROR(__xludf.DUMMYFUNCTION("""COMPUTED_VALUE"""),44736.72199289352)</f>
        <v>44736.72199</v>
      </c>
      <c r="G309" s="24" t="str">
        <f>IFERROR(__xludf.DUMMYFUNCTION("""COMPUTED_VALUE"""),"Sunita Pathik")</f>
        <v>Sunita Pathik</v>
      </c>
      <c r="H309" s="24">
        <f>IFERROR(__xludf.DUMMYFUNCTION("""COMPUTED_VALUE"""),89.0)</f>
        <v>89</v>
      </c>
      <c r="I309" s="24" t="str">
        <f>IFERROR(__xludf.DUMMYFUNCTION("""COMPUTED_VALUE"""),"Produce")</f>
        <v>Produce</v>
      </c>
    </row>
    <row r="310">
      <c r="A310" s="23">
        <f>IFERROR(__xludf.DUMMYFUNCTION("""COMPUTED_VALUE"""),44733.0)</f>
        <v>44733</v>
      </c>
      <c r="B310" s="24" t="str">
        <f>IFERROR(__xludf.DUMMYFUNCTION("""COMPUTED_VALUE"""),"Claire")</f>
        <v>Claire</v>
      </c>
      <c r="C310" s="24">
        <f>IFERROR(__xludf.DUMMYFUNCTION("""COMPUTED_VALUE"""),1305.0)</f>
        <v>1305</v>
      </c>
      <c r="D310" s="24" t="str">
        <f>IFERROR(__xludf.DUMMYFUNCTION("""COMPUTED_VALUE"""),"Amazon")</f>
        <v>Amazon</v>
      </c>
      <c r="F310" s="23">
        <f>IFERROR(__xludf.DUMMYFUNCTION("""COMPUTED_VALUE"""),44736.72282167824)</f>
        <v>44736.72282</v>
      </c>
      <c r="G310" s="24" t="str">
        <f>IFERROR(__xludf.DUMMYFUNCTION("""COMPUTED_VALUE"""),"Beth Torres")</f>
        <v>Beth Torres</v>
      </c>
      <c r="H310" s="24">
        <f>IFERROR(__xludf.DUMMYFUNCTION("""COMPUTED_VALUE"""),14.0)</f>
        <v>14</v>
      </c>
      <c r="I310" s="24"/>
    </row>
    <row r="311">
      <c r="A311" s="23">
        <f>IFERROR(__xludf.DUMMYFUNCTION("""COMPUTED_VALUE"""),44734.0)</f>
        <v>44734</v>
      </c>
      <c r="B311" s="24" t="str">
        <f>IFERROR(__xludf.DUMMYFUNCTION("""COMPUTED_VALUE"""),"Claire")</f>
        <v>Claire</v>
      </c>
      <c r="C311" s="24">
        <f>IFERROR(__xludf.DUMMYFUNCTION("""COMPUTED_VALUE"""),72.0)</f>
        <v>72</v>
      </c>
      <c r="D311" s="24" t="str">
        <f>IFERROR(__xludf.DUMMYFUNCTION("""COMPUTED_VALUE"""),"Amazon")</f>
        <v>Amazon</v>
      </c>
      <c r="F311" s="23">
        <f>IFERROR(__xludf.DUMMYFUNCTION("""COMPUTED_VALUE"""),44736.722988587964)</f>
        <v>44736.72299</v>
      </c>
      <c r="G311" s="24" t="str">
        <f>IFERROR(__xludf.DUMMYFUNCTION("""COMPUTED_VALUE"""),"Beth Torres")</f>
        <v>Beth Torres</v>
      </c>
      <c r="H311" s="24">
        <f>IFERROR(__xludf.DUMMYFUNCTION("""COMPUTED_VALUE"""),33.0)</f>
        <v>33</v>
      </c>
      <c r="I311" s="24"/>
    </row>
    <row r="312">
      <c r="A312" s="23">
        <f>IFERROR(__xludf.DUMMYFUNCTION("""COMPUTED_VALUE"""),44735.0)</f>
        <v>44735</v>
      </c>
      <c r="B312" s="24" t="str">
        <f>IFERROR(__xludf.DUMMYFUNCTION("""COMPUTED_VALUE"""),"Claire")</f>
        <v>Claire</v>
      </c>
      <c r="C312" s="24">
        <f>IFERROR(__xludf.DUMMYFUNCTION("""COMPUTED_VALUE"""),322.0)</f>
        <v>322</v>
      </c>
      <c r="D312" s="24" t="str">
        <f>IFERROR(__xludf.DUMMYFUNCTION("""COMPUTED_VALUE"""),"Amazon")</f>
        <v>Amazon</v>
      </c>
      <c r="F312" s="23">
        <f>IFERROR(__xludf.DUMMYFUNCTION("""COMPUTED_VALUE"""),44736.73970798611)</f>
        <v>44736.73971</v>
      </c>
      <c r="G312" s="24" t="str">
        <f>IFERROR(__xludf.DUMMYFUNCTION("""COMPUTED_VALUE"""),"Lynnett expire")</f>
        <v>Lynnett expire</v>
      </c>
      <c r="H312" s="24">
        <f>IFERROR(__xludf.DUMMYFUNCTION("""COMPUTED_VALUE"""),22.0)</f>
        <v>22</v>
      </c>
      <c r="I312" s="24"/>
    </row>
    <row r="313">
      <c r="A313" s="23">
        <f>IFERROR(__xludf.DUMMYFUNCTION("""COMPUTED_VALUE"""),44737.44653596065)</f>
        <v>44737.44654</v>
      </c>
      <c r="B313" s="24" t="str">
        <f>IFERROR(__xludf.DUMMYFUNCTION("""COMPUTED_VALUE"""),"Jc")</f>
        <v>Jc</v>
      </c>
      <c r="C313" s="24">
        <f>IFERROR(__xludf.DUMMYFUNCTION("""COMPUTED_VALUE"""),621.0)</f>
        <v>621</v>
      </c>
      <c r="D313" s="24" t="str">
        <f>IFERROR(__xludf.DUMMYFUNCTION("""COMPUTED_VALUE"""),"Amazon")</f>
        <v>Amazon</v>
      </c>
      <c r="F313" s="23">
        <f>IFERROR(__xludf.DUMMYFUNCTION("""COMPUTED_VALUE"""),44736.739853969906)</f>
        <v>44736.73985</v>
      </c>
      <c r="G313" s="24" t="str">
        <f>IFERROR(__xludf.DUMMYFUNCTION("""COMPUTED_VALUE"""),"Lynnette")</f>
        <v>Lynnette</v>
      </c>
      <c r="H313" s="24">
        <f>IFERROR(__xludf.DUMMYFUNCTION("""COMPUTED_VALUE"""),4.0)</f>
        <v>4</v>
      </c>
      <c r="I313" s="24"/>
    </row>
    <row r="314">
      <c r="A314" s="23">
        <f>IFERROR(__xludf.DUMMYFUNCTION("""COMPUTED_VALUE"""),44737.44684402778)</f>
        <v>44737.44684</v>
      </c>
      <c r="B314" s="24" t="str">
        <f>IFERROR(__xludf.DUMMYFUNCTION("""COMPUTED_VALUE"""),"JC")</f>
        <v>JC</v>
      </c>
      <c r="C314" s="24">
        <f>IFERROR(__xludf.DUMMYFUNCTION("""COMPUTED_VALUE"""),113.0)</f>
        <v>113</v>
      </c>
      <c r="D314" s="24" t="str">
        <f>IFERROR(__xludf.DUMMYFUNCTION("""COMPUTED_VALUE"""),"Amazon")</f>
        <v>Amazon</v>
      </c>
      <c r="F314" s="23">
        <f>IFERROR(__xludf.DUMMYFUNCTION("""COMPUTED_VALUE"""),44736.740019675926)</f>
        <v>44736.74002</v>
      </c>
      <c r="G314" s="24" t="str">
        <f>IFERROR(__xludf.DUMMYFUNCTION("""COMPUTED_VALUE"""),"Juanita expired")</f>
        <v>Juanita expired</v>
      </c>
      <c r="H314" s="24">
        <f>IFERROR(__xludf.DUMMYFUNCTION("""COMPUTED_VALUE"""),24.0)</f>
        <v>24</v>
      </c>
      <c r="I314" s="24"/>
    </row>
    <row r="315">
      <c r="A315" s="23">
        <f>IFERROR(__xludf.DUMMYFUNCTION("""COMPUTED_VALUE"""),44737.447061770836)</f>
        <v>44737.44706</v>
      </c>
      <c r="B315" s="24" t="str">
        <f>IFERROR(__xludf.DUMMYFUNCTION("""COMPUTED_VALUE"""),"JC")</f>
        <v>JC</v>
      </c>
      <c r="C315" s="24">
        <f>IFERROR(__xludf.DUMMYFUNCTION("""COMPUTED_VALUE"""),484.0)</f>
        <v>484</v>
      </c>
      <c r="D315" s="24" t="str">
        <f>IFERROR(__xludf.DUMMYFUNCTION("""COMPUTED_VALUE"""),"Amazon")</f>
        <v>Amazon</v>
      </c>
      <c r="F315" s="23">
        <f>IFERROR(__xludf.DUMMYFUNCTION("""COMPUTED_VALUE"""),44736.785793993055)</f>
        <v>44736.78579</v>
      </c>
      <c r="G315" s="24" t="str">
        <f>IFERROR(__xludf.DUMMYFUNCTION("""COMPUTED_VALUE"""),"Juanita ")</f>
        <v>Juanita </v>
      </c>
      <c r="H315" s="24">
        <f>IFERROR(__xludf.DUMMYFUNCTION("""COMPUTED_VALUE"""),15.0)</f>
        <v>15</v>
      </c>
      <c r="I315" s="24"/>
    </row>
    <row r="316">
      <c r="A316" s="23">
        <f>IFERROR(__xludf.DUMMYFUNCTION("""COMPUTED_VALUE"""),44737.44814769676)</f>
        <v>44737.44815</v>
      </c>
      <c r="B316" s="24" t="str">
        <f>IFERROR(__xludf.DUMMYFUNCTION("""COMPUTED_VALUE"""),"JC")</f>
        <v>JC</v>
      </c>
      <c r="C316" s="24">
        <f>IFERROR(__xludf.DUMMYFUNCTION("""COMPUTED_VALUE"""),928.0)</f>
        <v>928</v>
      </c>
      <c r="D316" s="24" t="str">
        <f>IFERROR(__xludf.DUMMYFUNCTION("""COMPUTED_VALUE"""),"Amazon")</f>
        <v>Amazon</v>
      </c>
      <c r="F316" s="23">
        <f>IFERROR(__xludf.DUMMYFUNCTION("""COMPUTED_VALUE"""),44737.0)</f>
        <v>44737</v>
      </c>
      <c r="G316" s="24" t="str">
        <f>IFERROR(__xludf.DUMMYFUNCTION("""COMPUTED_VALUE"""),"Claire")</f>
        <v>Claire</v>
      </c>
      <c r="H316" s="24">
        <f>IFERROR(__xludf.DUMMYFUNCTION("""COMPUTED_VALUE"""),-254.0)</f>
        <v>-254</v>
      </c>
      <c r="I316" s="24" t="str">
        <f>IFERROR(__xludf.DUMMYFUNCTION("""COMPUTED_VALUE"""),"XX")</f>
        <v>XX</v>
      </c>
    </row>
    <row r="317">
      <c r="A317" s="23">
        <f>IFERROR(__xludf.DUMMYFUNCTION("""COMPUTED_VALUE"""),44737.44842241898)</f>
        <v>44737.44842</v>
      </c>
      <c r="B317" s="24" t="str">
        <f>IFERROR(__xludf.DUMMYFUNCTION("""COMPUTED_VALUE"""),"JC")</f>
        <v>JC</v>
      </c>
      <c r="C317" s="24">
        <f>IFERROR(__xludf.DUMMYFUNCTION("""COMPUTED_VALUE"""),405.0)</f>
        <v>405</v>
      </c>
      <c r="D317" s="24" t="str">
        <f>IFERROR(__xludf.DUMMYFUNCTION("""COMPUTED_VALUE"""),"Amazon")</f>
        <v>Amazon</v>
      </c>
      <c r="F317" s="23">
        <f>IFERROR(__xludf.DUMMYFUNCTION("""COMPUTED_VALUE"""),44737.0)</f>
        <v>44737</v>
      </c>
      <c r="G317" s="24" t="str">
        <f>IFERROR(__xludf.DUMMYFUNCTION("""COMPUTED_VALUE"""),"Claire")</f>
        <v>Claire</v>
      </c>
      <c r="H317" s="24">
        <f>IFERROR(__xludf.DUMMYFUNCTION("""COMPUTED_VALUE"""),323.0)</f>
        <v>323</v>
      </c>
      <c r="I317" s="24" t="str">
        <f>IFERROR(__xludf.DUMMYFUNCTION("""COMPUTED_VALUE"""),"XX")</f>
        <v>XX</v>
      </c>
    </row>
    <row r="318">
      <c r="A318" s="23">
        <f>IFERROR(__xludf.DUMMYFUNCTION("""COMPUTED_VALUE"""),44737.44868988426)</f>
        <v>44737.44869</v>
      </c>
      <c r="B318" s="24" t="str">
        <f>IFERROR(__xludf.DUMMYFUNCTION("""COMPUTED_VALUE"""),"JC")</f>
        <v>JC</v>
      </c>
      <c r="C318" s="24">
        <f>IFERROR(__xludf.DUMMYFUNCTION("""COMPUTED_VALUE"""),307.0)</f>
        <v>307</v>
      </c>
      <c r="D318" s="24" t="str">
        <f>IFERROR(__xludf.DUMMYFUNCTION("""COMPUTED_VALUE"""),"Amazon")</f>
        <v>Amazon</v>
      </c>
      <c r="F318" s="23">
        <f>IFERROR(__xludf.DUMMYFUNCTION("""COMPUTED_VALUE"""),44737.0)</f>
        <v>44737</v>
      </c>
      <c r="G318" s="24" t="str">
        <f>IFERROR(__xludf.DUMMYFUNCTION("""COMPUTED_VALUE"""),"Claire")</f>
        <v>Claire</v>
      </c>
      <c r="H318" s="24">
        <f>IFERROR(__xludf.DUMMYFUNCTION("""COMPUTED_VALUE"""),-48.0)</f>
        <v>-48</v>
      </c>
      <c r="I318" s="24" t="str">
        <f>IFERROR(__xludf.DUMMYFUNCTION("""COMPUTED_VALUE"""),"XX")</f>
        <v>XX</v>
      </c>
    </row>
    <row r="319">
      <c r="A319" s="23">
        <f>IFERROR(__xludf.DUMMYFUNCTION("""COMPUTED_VALUE"""),44737.44892510417)</f>
        <v>44737.44893</v>
      </c>
      <c r="B319" s="24" t="str">
        <f>IFERROR(__xludf.DUMMYFUNCTION("""COMPUTED_VALUE"""),"JC")</f>
        <v>JC</v>
      </c>
      <c r="C319" s="24">
        <f>IFERROR(__xludf.DUMMYFUNCTION("""COMPUTED_VALUE"""),840.0)</f>
        <v>840</v>
      </c>
      <c r="D319" s="24" t="str">
        <f>IFERROR(__xludf.DUMMYFUNCTION("""COMPUTED_VALUE"""),"Amazon")</f>
        <v>Amazon</v>
      </c>
      <c r="F319" s="23">
        <f>IFERROR(__xludf.DUMMYFUNCTION("""COMPUTED_VALUE"""),44737.0)</f>
        <v>44737</v>
      </c>
      <c r="G319" s="24" t="str">
        <f>IFERROR(__xludf.DUMMYFUNCTION("""COMPUTED_VALUE"""),"Claire")</f>
        <v>Claire</v>
      </c>
      <c r="H319" s="24">
        <f>IFERROR(__xludf.DUMMYFUNCTION("""COMPUTED_VALUE"""),229.0)</f>
        <v>229</v>
      </c>
      <c r="I319" s="24" t="str">
        <f>IFERROR(__xludf.DUMMYFUNCTION("""COMPUTED_VALUE"""),"N4")</f>
        <v>N4</v>
      </c>
    </row>
    <row r="320">
      <c r="A320" s="23">
        <f>IFERROR(__xludf.DUMMYFUNCTION("""COMPUTED_VALUE"""),44737.44909486111)</f>
        <v>44737.44909</v>
      </c>
      <c r="B320" s="24" t="str">
        <f>IFERROR(__xludf.DUMMYFUNCTION("""COMPUTED_VALUE"""),"JC")</f>
        <v>JC</v>
      </c>
      <c r="C320" s="24">
        <f>IFERROR(__xludf.DUMMYFUNCTION("""COMPUTED_VALUE"""),895.0)</f>
        <v>895</v>
      </c>
      <c r="D320" s="24" t="str">
        <f>IFERROR(__xludf.DUMMYFUNCTION("""COMPUTED_VALUE"""),"Amazon")</f>
        <v>Amazon</v>
      </c>
      <c r="F320" s="23">
        <f>IFERROR(__xludf.DUMMYFUNCTION("""COMPUTED_VALUE"""),44737.0)</f>
        <v>44737</v>
      </c>
      <c r="G320" s="24" t="str">
        <f>IFERROR(__xludf.DUMMYFUNCTION("""COMPUTED_VALUE"""),"Claire")</f>
        <v>Claire</v>
      </c>
      <c r="H320" s="24">
        <f>IFERROR(__xludf.DUMMYFUNCTION("""COMPUTED_VALUE"""),-305.0)</f>
        <v>-305</v>
      </c>
      <c r="I320" s="24" t="str">
        <f>IFERROR(__xludf.DUMMYFUNCTION("""COMPUTED_VALUE"""),"E3")</f>
        <v>E3</v>
      </c>
    </row>
    <row r="321">
      <c r="A321" s="23">
        <f>IFERROR(__xludf.DUMMYFUNCTION("""COMPUTED_VALUE"""),44737.44932982639)</f>
        <v>44737.44933</v>
      </c>
      <c r="B321" s="24" t="str">
        <f>IFERROR(__xludf.DUMMYFUNCTION("""COMPUTED_VALUE"""),"JC")</f>
        <v>JC</v>
      </c>
      <c r="C321" s="24">
        <f>IFERROR(__xludf.DUMMYFUNCTION("""COMPUTED_VALUE"""),998.0)</f>
        <v>998</v>
      </c>
      <c r="D321" s="24" t="str">
        <f>IFERROR(__xludf.DUMMYFUNCTION("""COMPUTED_VALUE"""),"Amazon")</f>
        <v>Amazon</v>
      </c>
      <c r="F321" s="23">
        <f>IFERROR(__xludf.DUMMYFUNCTION("""COMPUTED_VALUE"""),44737.0)</f>
        <v>44737</v>
      </c>
      <c r="G321" s="24" t="str">
        <f>IFERROR(__xludf.DUMMYFUNCTION("""COMPUTED_VALUE"""),"Claire")</f>
        <v>Claire</v>
      </c>
      <c r="H321" s="24">
        <f>IFERROR(__xludf.DUMMYFUNCTION("""COMPUTED_VALUE"""),-372.0)</f>
        <v>-372</v>
      </c>
      <c r="I321" s="24" t="str">
        <f>IFERROR(__xludf.DUMMYFUNCTION("""COMPUTED_VALUE"""),"C3")</f>
        <v>C3</v>
      </c>
    </row>
    <row r="322">
      <c r="A322" s="23">
        <f>IFERROR(__xludf.DUMMYFUNCTION("""COMPUTED_VALUE"""),44737.69070788194)</f>
        <v>44737.69071</v>
      </c>
      <c r="B322" s="24" t="str">
        <f>IFERROR(__xludf.DUMMYFUNCTION("""COMPUTED_VALUE"""),"Claire")</f>
        <v>Claire</v>
      </c>
      <c r="C322" s="24">
        <f>IFERROR(__xludf.DUMMYFUNCTION("""COMPUTED_VALUE"""),878.0)</f>
        <v>878</v>
      </c>
      <c r="D322" s="24" t="str">
        <f>IFERROR(__xludf.DUMMYFUNCTION("""COMPUTED_VALUE"""),"Amazon")</f>
        <v>Amazon</v>
      </c>
      <c r="F322" s="23">
        <f>IFERROR(__xludf.DUMMYFUNCTION("""COMPUTED_VALUE"""),44737.0)</f>
        <v>44737</v>
      </c>
      <c r="G322" s="24" t="str">
        <f>IFERROR(__xludf.DUMMYFUNCTION("""COMPUTED_VALUE"""),"Claire")</f>
        <v>Claire</v>
      </c>
      <c r="H322" s="24">
        <f>IFERROR(__xludf.DUMMYFUNCTION("""COMPUTED_VALUE"""),-788.0)</f>
        <v>-788</v>
      </c>
      <c r="I322" s="24" t="str">
        <f>IFERROR(__xludf.DUMMYFUNCTION("""COMPUTED_VALUE"""),"XX Frozen")</f>
        <v>XX Frozen</v>
      </c>
    </row>
    <row r="323">
      <c r="A323" s="23">
        <f>IFERROR(__xludf.DUMMYFUNCTION("""COMPUTED_VALUE"""),44737.69103436343)</f>
        <v>44737.69103</v>
      </c>
      <c r="B323" s="24" t="str">
        <f>IFERROR(__xludf.DUMMYFUNCTION("""COMPUTED_VALUE"""),"Claire")</f>
        <v>Claire</v>
      </c>
      <c r="C323" s="24">
        <f>IFERROR(__xludf.DUMMYFUNCTION("""COMPUTED_VALUE"""),569.0)</f>
        <v>569</v>
      </c>
      <c r="D323" s="24" t="str">
        <f>IFERROR(__xludf.DUMMYFUNCTION("""COMPUTED_VALUE"""),"Amazon")</f>
        <v>Amazon</v>
      </c>
      <c r="F323" s="23">
        <f>IFERROR(__xludf.DUMMYFUNCTION("""COMPUTED_VALUE"""),44737.0)</f>
        <v>44737</v>
      </c>
      <c r="G323" s="24" t="str">
        <f>IFERROR(__xludf.DUMMYFUNCTION("""COMPUTED_VALUE"""),"Claire")</f>
        <v>Claire</v>
      </c>
      <c r="H323" s="24">
        <f>IFERROR(__xludf.DUMMYFUNCTION("""COMPUTED_VALUE"""),-832.0)</f>
        <v>-832</v>
      </c>
      <c r="I323" s="24" t="str">
        <f>IFERROR(__xludf.DUMMYFUNCTION("""COMPUTED_VALUE"""),"XX Frozen")</f>
        <v>XX Frozen</v>
      </c>
    </row>
    <row r="324">
      <c r="A324" s="23">
        <f>IFERROR(__xludf.DUMMYFUNCTION("""COMPUTED_VALUE"""),44737.69124579861)</f>
        <v>44737.69125</v>
      </c>
      <c r="B324" s="24" t="str">
        <f>IFERROR(__xludf.DUMMYFUNCTION("""COMPUTED_VALUE"""),"Claire")</f>
        <v>Claire</v>
      </c>
      <c r="C324" s="24">
        <f>IFERROR(__xludf.DUMMYFUNCTION("""COMPUTED_VALUE"""),1666.0)</f>
        <v>1666</v>
      </c>
      <c r="D324" s="24" t="str">
        <f>IFERROR(__xludf.DUMMYFUNCTION("""COMPUTED_VALUE"""),"Amazon")</f>
        <v>Amazon</v>
      </c>
      <c r="F324" s="23">
        <f>IFERROR(__xludf.DUMMYFUNCTION("""COMPUTED_VALUE"""),44737.0)</f>
        <v>44737</v>
      </c>
      <c r="G324" s="24" t="str">
        <f>IFERROR(__xludf.DUMMYFUNCTION("""COMPUTED_VALUE"""),"Claire")</f>
        <v>Claire</v>
      </c>
      <c r="H324" s="24">
        <f>IFERROR(__xludf.DUMMYFUNCTION("""COMPUTED_VALUE"""),227.0)</f>
        <v>227</v>
      </c>
      <c r="I324" s="24" t="str">
        <f>IFERROR(__xludf.DUMMYFUNCTION("""COMPUTED_VALUE"""),"XX")</f>
        <v>XX</v>
      </c>
    </row>
    <row r="325">
      <c r="A325" s="23">
        <f>IFERROR(__xludf.DUMMYFUNCTION("""COMPUTED_VALUE"""),44737.69141290509)</f>
        <v>44737.69141</v>
      </c>
      <c r="B325" s="24" t="str">
        <f>IFERROR(__xludf.DUMMYFUNCTION("""COMPUTED_VALUE"""),"Claire")</f>
        <v>Claire</v>
      </c>
      <c r="C325" s="24">
        <f>IFERROR(__xludf.DUMMYFUNCTION("""COMPUTED_VALUE"""),452.0)</f>
        <v>452</v>
      </c>
      <c r="D325" s="24" t="str">
        <f>IFERROR(__xludf.DUMMYFUNCTION("""COMPUTED_VALUE"""),"Amazon")</f>
        <v>Amazon</v>
      </c>
      <c r="F325" s="23">
        <f>IFERROR(__xludf.DUMMYFUNCTION("""COMPUTED_VALUE"""),44737.0)</f>
        <v>44737</v>
      </c>
      <c r="G325" s="24" t="str">
        <f>IFERROR(__xludf.DUMMYFUNCTION("""COMPUTED_VALUE"""),"Claire")</f>
        <v>Claire</v>
      </c>
      <c r="H325" s="24">
        <f>IFERROR(__xludf.DUMMYFUNCTION("""COMPUTED_VALUE"""),446.0)</f>
        <v>446</v>
      </c>
      <c r="I325" s="24" t="str">
        <f>IFERROR(__xludf.DUMMYFUNCTION("""COMPUTED_VALUE"""),"XX")</f>
        <v>XX</v>
      </c>
    </row>
    <row r="326">
      <c r="A326" s="23">
        <f>IFERROR(__xludf.DUMMYFUNCTION("""COMPUTED_VALUE"""),44738.63615769676)</f>
        <v>44738.63616</v>
      </c>
      <c r="B326" s="24" t="str">
        <f>IFERROR(__xludf.DUMMYFUNCTION("""COMPUTED_VALUE"""),"Dorja ")</f>
        <v>Dorja </v>
      </c>
      <c r="C326" s="24">
        <f>IFERROR(__xludf.DUMMYFUNCTION("""COMPUTED_VALUE"""),744.0)</f>
        <v>744</v>
      </c>
      <c r="D326" s="24" t="str">
        <f>IFERROR(__xludf.DUMMYFUNCTION("""COMPUTED_VALUE"""),"Amazon")</f>
        <v>Amazon</v>
      </c>
      <c r="F326" s="23">
        <f>IFERROR(__xludf.DUMMYFUNCTION("""COMPUTED_VALUE"""),44737.0)</f>
        <v>44737</v>
      </c>
      <c r="G326" s="24" t="str">
        <f>IFERROR(__xludf.DUMMYFUNCTION("""COMPUTED_VALUE"""),"Claire")</f>
        <v>Claire</v>
      </c>
      <c r="H326" s="24">
        <f>IFERROR(__xludf.DUMMYFUNCTION("""COMPUTED_VALUE"""),1278.0)</f>
        <v>1278</v>
      </c>
      <c r="I326" s="24" t="str">
        <f>IFERROR(__xludf.DUMMYFUNCTION("""COMPUTED_VALUE"""),"XX")</f>
        <v>XX</v>
      </c>
    </row>
    <row r="327">
      <c r="A327" s="23">
        <f>IFERROR(__xludf.DUMMYFUNCTION("""COMPUTED_VALUE"""),44738.63742653935)</f>
        <v>44738.63743</v>
      </c>
      <c r="B327" s="24" t="str">
        <f>IFERROR(__xludf.DUMMYFUNCTION("""COMPUTED_VALUE"""),"Dorja ")</f>
        <v>Dorja </v>
      </c>
      <c r="C327" s="24">
        <f>IFERROR(__xludf.DUMMYFUNCTION("""COMPUTED_VALUE"""),336.0)</f>
        <v>336</v>
      </c>
      <c r="D327" s="24" t="str">
        <f>IFERROR(__xludf.DUMMYFUNCTION("""COMPUTED_VALUE"""),"Amazon")</f>
        <v>Amazon</v>
      </c>
      <c r="F327" s="23">
        <f>IFERROR(__xludf.DUMMYFUNCTION("""COMPUTED_VALUE"""),44737.0)</f>
        <v>44737</v>
      </c>
      <c r="G327" s="24" t="str">
        <f>IFERROR(__xludf.DUMMYFUNCTION("""COMPUTED_VALUE"""),"Claire")</f>
        <v>Claire</v>
      </c>
      <c r="H327" s="24">
        <f>IFERROR(__xludf.DUMMYFUNCTION("""COMPUTED_VALUE"""),262.0)</f>
        <v>262</v>
      </c>
      <c r="I327" s="24" t="str">
        <f>IFERROR(__xludf.DUMMYFUNCTION("""COMPUTED_VALUE"""),"XX")</f>
        <v>XX</v>
      </c>
    </row>
    <row r="328">
      <c r="A328" s="23">
        <f>IFERROR(__xludf.DUMMYFUNCTION("""COMPUTED_VALUE"""),44738.64018905092)</f>
        <v>44738.64019</v>
      </c>
      <c r="B328" s="24" t="str">
        <f>IFERROR(__xludf.DUMMYFUNCTION("""COMPUTED_VALUE"""),"Dorja ")</f>
        <v>Dorja </v>
      </c>
      <c r="C328" s="24">
        <f>IFERROR(__xludf.DUMMYFUNCTION("""COMPUTED_VALUE"""),255.0)</f>
        <v>255</v>
      </c>
      <c r="D328" s="24" t="str">
        <f>IFERROR(__xludf.DUMMYFUNCTION("""COMPUTED_VALUE"""),"Amazon")</f>
        <v>Amazon</v>
      </c>
      <c r="F328" s="23">
        <f>IFERROR(__xludf.DUMMYFUNCTION("""COMPUTED_VALUE"""),44737.0)</f>
        <v>44737</v>
      </c>
      <c r="G328" s="24" t="str">
        <f>IFERROR(__xludf.DUMMYFUNCTION("""COMPUTED_VALUE"""),"Claire")</f>
        <v>Claire</v>
      </c>
      <c r="H328" s="24">
        <f>IFERROR(__xludf.DUMMYFUNCTION("""COMPUTED_VALUE"""),428.0)</f>
        <v>428</v>
      </c>
      <c r="I328" s="24" t="str">
        <f>IFERROR(__xludf.DUMMYFUNCTION("""COMPUTED_VALUE"""),"XX")</f>
        <v>XX</v>
      </c>
    </row>
    <row r="329">
      <c r="A329" s="23">
        <f>IFERROR(__xludf.DUMMYFUNCTION("""COMPUTED_VALUE"""),44738.64551857639)</f>
        <v>44738.64552</v>
      </c>
      <c r="B329" s="24" t="str">
        <f>IFERROR(__xludf.DUMMYFUNCTION("""COMPUTED_VALUE"""),"Dorja ")</f>
        <v>Dorja </v>
      </c>
      <c r="C329" s="24">
        <f>IFERROR(__xludf.DUMMYFUNCTION("""COMPUTED_VALUE"""),325.0)</f>
        <v>325</v>
      </c>
      <c r="D329" s="24" t="str">
        <f>IFERROR(__xludf.DUMMYFUNCTION("""COMPUTED_VALUE"""),"Amazon")</f>
        <v>Amazon</v>
      </c>
      <c r="F329" s="23">
        <f>IFERROR(__xludf.DUMMYFUNCTION("""COMPUTED_VALUE"""),44737.0)</f>
        <v>44737</v>
      </c>
      <c r="G329" s="24" t="str">
        <f>IFERROR(__xludf.DUMMYFUNCTION("""COMPUTED_VALUE"""),"Claire")</f>
        <v>Claire</v>
      </c>
      <c r="H329" s="24">
        <f>IFERROR(__xludf.DUMMYFUNCTION("""COMPUTED_VALUE"""),251.0)</f>
        <v>251</v>
      </c>
      <c r="I329" s="24" t="str">
        <f>IFERROR(__xludf.DUMMYFUNCTION("""COMPUTED_VALUE"""),"XX")</f>
        <v>XX</v>
      </c>
    </row>
    <row r="330">
      <c r="A330" s="23">
        <f>IFERROR(__xludf.DUMMYFUNCTION("""COMPUTED_VALUE"""),44738.724018402776)</f>
        <v>44738.72402</v>
      </c>
      <c r="B330" s="24" t="str">
        <f>IFERROR(__xludf.DUMMYFUNCTION("""COMPUTED_VALUE"""),"Ausar")</f>
        <v>Ausar</v>
      </c>
      <c r="C330" s="24">
        <f>IFERROR(__xludf.DUMMYFUNCTION("""COMPUTED_VALUE"""),163.0)</f>
        <v>163</v>
      </c>
      <c r="D330" s="24" t="str">
        <f>IFERROR(__xludf.DUMMYFUNCTION("""COMPUTED_VALUE"""),"Sandtown quakers")</f>
        <v>Sandtown quakers</v>
      </c>
      <c r="F330" s="23">
        <f>IFERROR(__xludf.DUMMYFUNCTION("""COMPUTED_VALUE"""),44737.0)</f>
        <v>44737</v>
      </c>
      <c r="G330" s="24" t="str">
        <f>IFERROR(__xludf.DUMMYFUNCTION("""COMPUTED_VALUE"""),"Claire")</f>
        <v>Claire</v>
      </c>
      <c r="H330" s="24">
        <f>IFERROR(__xludf.DUMMYFUNCTION("""COMPUTED_VALUE"""),-227.0)</f>
        <v>-227</v>
      </c>
      <c r="I330" s="24" t="str">
        <f>IFERROR(__xludf.DUMMYFUNCTION("""COMPUTED_VALUE"""),"Snacks")</f>
        <v>Snacks</v>
      </c>
    </row>
    <row r="331">
      <c r="A331" s="23">
        <f>IFERROR(__xludf.DUMMYFUNCTION("""COMPUTED_VALUE"""),44740.74271730324)</f>
        <v>44740.74272</v>
      </c>
      <c r="B331" s="24" t="str">
        <f>IFERROR(__xludf.DUMMYFUNCTION("""COMPUTED_VALUE"""),"Dorja ")</f>
        <v>Dorja </v>
      </c>
      <c r="C331" s="24">
        <f>IFERROR(__xludf.DUMMYFUNCTION("""COMPUTED_VALUE"""),1073.0)</f>
        <v>1073</v>
      </c>
      <c r="D331" s="24" t="str">
        <f>IFERROR(__xludf.DUMMYFUNCTION("""COMPUTED_VALUE"""),"Amazon")</f>
        <v>Amazon</v>
      </c>
      <c r="F331" s="23">
        <f>IFERROR(__xludf.DUMMYFUNCTION("""COMPUTED_VALUE"""),44737.0)</f>
        <v>44737</v>
      </c>
      <c r="G331" s="24" t="str">
        <f>IFERROR(__xludf.DUMMYFUNCTION("""COMPUTED_VALUE"""),"Claire")</f>
        <v>Claire</v>
      </c>
      <c r="H331" s="24">
        <f>IFERROR(__xludf.DUMMYFUNCTION("""COMPUTED_VALUE"""),-262.0)</f>
        <v>-262</v>
      </c>
      <c r="I331" s="24" t="str">
        <f>IFERROR(__xludf.DUMMYFUNCTION("""COMPUTED_VALUE"""),"Snacks")</f>
        <v>Snacks</v>
      </c>
    </row>
    <row r="332">
      <c r="A332" s="23">
        <f>IFERROR(__xludf.DUMMYFUNCTION("""COMPUTED_VALUE"""),44740.75246431713)</f>
        <v>44740.75246</v>
      </c>
      <c r="B332" s="24" t="str">
        <f>IFERROR(__xludf.DUMMYFUNCTION("""COMPUTED_VALUE"""),"Dorja ")</f>
        <v>Dorja </v>
      </c>
      <c r="C332" s="24">
        <f>IFERROR(__xludf.DUMMYFUNCTION("""COMPUTED_VALUE"""),835.0)</f>
        <v>835</v>
      </c>
      <c r="D332" s="24" t="str">
        <f>IFERROR(__xludf.DUMMYFUNCTION("""COMPUTED_VALUE"""),"Amazon")</f>
        <v>Amazon</v>
      </c>
      <c r="F332" s="23">
        <f>IFERROR(__xludf.DUMMYFUNCTION("""COMPUTED_VALUE"""),44737.0)</f>
        <v>44737</v>
      </c>
      <c r="G332" s="24" t="str">
        <f>IFERROR(__xludf.DUMMYFUNCTION("""COMPUTED_VALUE"""),"Claire")</f>
        <v>Claire</v>
      </c>
      <c r="H332" s="24">
        <f>IFERROR(__xludf.DUMMYFUNCTION("""COMPUTED_VALUE"""),-446.0)</f>
        <v>-446</v>
      </c>
      <c r="I332" s="24" t="str">
        <f>IFERROR(__xludf.DUMMYFUNCTION("""COMPUTED_VALUE"""),"Cleaning")</f>
        <v>Cleaning</v>
      </c>
    </row>
    <row r="333">
      <c r="A333" s="23">
        <f>IFERROR(__xludf.DUMMYFUNCTION("""COMPUTED_VALUE"""),44740.75367857639)</f>
        <v>44740.75368</v>
      </c>
      <c r="B333" s="24" t="str">
        <f>IFERROR(__xludf.DUMMYFUNCTION("""COMPUTED_VALUE"""),"Dorja ")</f>
        <v>Dorja </v>
      </c>
      <c r="C333" s="24">
        <f>IFERROR(__xludf.DUMMYFUNCTION("""COMPUTED_VALUE"""),150.0)</f>
        <v>150</v>
      </c>
      <c r="D333" s="24" t="str">
        <f>IFERROR(__xludf.DUMMYFUNCTION("""COMPUTED_VALUE"""),"Amazon")</f>
        <v>Amazon</v>
      </c>
      <c r="F333" s="23">
        <f>IFERROR(__xludf.DUMMYFUNCTION("""COMPUTED_VALUE"""),44737.0)</f>
        <v>44737</v>
      </c>
      <c r="G333" s="24" t="str">
        <f>IFERROR(__xludf.DUMMYFUNCTION("""COMPUTED_VALUE"""),"Claire")</f>
        <v>Claire</v>
      </c>
      <c r="H333" s="24">
        <f>IFERROR(__xludf.DUMMYFUNCTION("""COMPUTED_VALUE"""),-1278.0)</f>
        <v>-1278</v>
      </c>
      <c r="I333" s="24" t="str">
        <f>IFERROR(__xludf.DUMMYFUNCTION("""COMPUTED_VALUE"""),"Drinks")</f>
        <v>Drinks</v>
      </c>
    </row>
    <row r="334">
      <c r="A334" s="23">
        <f>IFERROR(__xludf.DUMMYFUNCTION("""COMPUTED_VALUE"""),44740.75487773148)</f>
        <v>44740.75488</v>
      </c>
      <c r="B334" s="24" t="str">
        <f>IFERROR(__xludf.DUMMYFUNCTION("""COMPUTED_VALUE"""),"Dorja")</f>
        <v>Dorja</v>
      </c>
      <c r="C334" s="24">
        <f>IFERROR(__xludf.DUMMYFUNCTION("""COMPUTED_VALUE"""),797.0)</f>
        <v>797</v>
      </c>
      <c r="D334" s="24" t="str">
        <f>IFERROR(__xludf.DUMMYFUNCTION("""COMPUTED_VALUE"""),"Amazon")</f>
        <v>Amazon</v>
      </c>
      <c r="F334" s="23">
        <f>IFERROR(__xludf.DUMMYFUNCTION("""COMPUTED_VALUE"""),44737.0)</f>
        <v>44737</v>
      </c>
      <c r="G334" s="24" t="str">
        <f>IFERROR(__xludf.DUMMYFUNCTION("""COMPUTED_VALUE"""),"Claire")</f>
        <v>Claire</v>
      </c>
      <c r="H334" s="24">
        <f>IFERROR(__xludf.DUMMYFUNCTION("""COMPUTED_VALUE"""),-428.0)</f>
        <v>-428</v>
      </c>
      <c r="I334" s="24" t="str">
        <f>IFERROR(__xludf.DUMMYFUNCTION("""COMPUTED_VALUE"""),"Assorted/Unsorted")</f>
        <v>Assorted/Unsorted</v>
      </c>
    </row>
    <row r="335">
      <c r="A335" s="23">
        <f>IFERROR(__xludf.DUMMYFUNCTION("""COMPUTED_VALUE"""),44741.83356417824)</f>
        <v>44741.83356</v>
      </c>
      <c r="B335" s="24" t="str">
        <f>IFERROR(__xludf.DUMMYFUNCTION("""COMPUTED_VALUE"""),"Claire")</f>
        <v>Claire</v>
      </c>
      <c r="C335" s="24">
        <f>IFERROR(__xludf.DUMMYFUNCTION("""COMPUTED_VALUE"""),846.0)</f>
        <v>846</v>
      </c>
      <c r="D335" s="24" t="str">
        <f>IFERROR(__xludf.DUMMYFUNCTION("""COMPUTED_VALUE"""),"Amazon")</f>
        <v>Amazon</v>
      </c>
      <c r="F335" s="23">
        <f>IFERROR(__xludf.DUMMYFUNCTION("""COMPUTED_VALUE"""),44737.0)</f>
        <v>44737</v>
      </c>
      <c r="G335" s="24" t="str">
        <f>IFERROR(__xludf.DUMMYFUNCTION("""COMPUTED_VALUE"""),"Claire")</f>
        <v>Claire</v>
      </c>
      <c r="H335" s="24">
        <f>IFERROR(__xludf.DUMMYFUNCTION("""COMPUTED_VALUE"""),-251.0)</f>
        <v>-251</v>
      </c>
      <c r="I335" s="24" t="str">
        <f>IFERROR(__xludf.DUMMYFUNCTION("""COMPUTED_VALUE"""),"Pet Supplies")</f>
        <v>Pet Supplies</v>
      </c>
    </row>
    <row r="336">
      <c r="A336" s="23">
        <f>IFERROR(__xludf.DUMMYFUNCTION("""COMPUTED_VALUE"""),44741.83376159722)</f>
        <v>44741.83376</v>
      </c>
      <c r="B336" s="24" t="str">
        <f>IFERROR(__xludf.DUMMYFUNCTION("""COMPUTED_VALUE"""),"Claire")</f>
        <v>Claire</v>
      </c>
      <c r="C336" s="24">
        <f>IFERROR(__xludf.DUMMYFUNCTION("""COMPUTED_VALUE"""),1015.0)</f>
        <v>1015</v>
      </c>
      <c r="D336" s="24" t="str">
        <f>IFERROR(__xludf.DUMMYFUNCTION("""COMPUTED_VALUE"""),"Amazon")</f>
        <v>Amazon</v>
      </c>
      <c r="F336" s="23">
        <f>IFERROR(__xludf.DUMMYFUNCTION("""COMPUTED_VALUE"""),44737.44653596065)</f>
        <v>44737.44654</v>
      </c>
      <c r="G336" s="24" t="str">
        <f>IFERROR(__xludf.DUMMYFUNCTION("""COMPUTED_VALUE"""),"Jc")</f>
        <v>Jc</v>
      </c>
      <c r="H336" s="24">
        <f>IFERROR(__xludf.DUMMYFUNCTION("""COMPUTED_VALUE"""),621.0)</f>
        <v>621</v>
      </c>
      <c r="I336" s="24" t="str">
        <f>IFERROR(__xludf.DUMMYFUNCTION("""COMPUTED_VALUE"""),"Amazon")</f>
        <v>Amazon</v>
      </c>
    </row>
    <row r="337">
      <c r="A337" s="23">
        <f>IFERROR(__xludf.DUMMYFUNCTION("""COMPUTED_VALUE"""),44741.83395339121)</f>
        <v>44741.83395</v>
      </c>
      <c r="B337" s="24" t="str">
        <f>IFERROR(__xludf.DUMMYFUNCTION("""COMPUTED_VALUE"""),"Claire")</f>
        <v>Claire</v>
      </c>
      <c r="C337" s="24">
        <f>IFERROR(__xludf.DUMMYFUNCTION("""COMPUTED_VALUE"""),632.0)</f>
        <v>632</v>
      </c>
      <c r="D337" s="24" t="str">
        <f>IFERROR(__xludf.DUMMYFUNCTION("""COMPUTED_VALUE"""),"Amazon")</f>
        <v>Amazon</v>
      </c>
      <c r="F337" s="23">
        <f>IFERROR(__xludf.DUMMYFUNCTION("""COMPUTED_VALUE"""),44737.44684402778)</f>
        <v>44737.44684</v>
      </c>
      <c r="G337" s="24" t="str">
        <f>IFERROR(__xludf.DUMMYFUNCTION("""COMPUTED_VALUE"""),"JC")</f>
        <v>JC</v>
      </c>
      <c r="H337" s="24">
        <f>IFERROR(__xludf.DUMMYFUNCTION("""COMPUTED_VALUE"""),113.0)</f>
        <v>113</v>
      </c>
      <c r="I337" s="24" t="str">
        <f>IFERROR(__xludf.DUMMYFUNCTION("""COMPUTED_VALUE"""),"Amazon")</f>
        <v>Amazon</v>
      </c>
    </row>
    <row r="338">
      <c r="A338" s="23">
        <f>IFERROR(__xludf.DUMMYFUNCTION("""COMPUTED_VALUE"""),44741.834115578706)</f>
        <v>44741.83412</v>
      </c>
      <c r="B338" s="24" t="str">
        <f>IFERROR(__xludf.DUMMYFUNCTION("""COMPUTED_VALUE"""),"Claire")</f>
        <v>Claire</v>
      </c>
      <c r="C338" s="24">
        <f>IFERROR(__xludf.DUMMYFUNCTION("""COMPUTED_VALUE"""),1157.0)</f>
        <v>1157</v>
      </c>
      <c r="D338" s="24" t="str">
        <f>IFERROR(__xludf.DUMMYFUNCTION("""COMPUTED_VALUE"""),"Amazon")</f>
        <v>Amazon</v>
      </c>
      <c r="F338" s="23">
        <f>IFERROR(__xludf.DUMMYFUNCTION("""COMPUTED_VALUE"""),44737.447061770836)</f>
        <v>44737.44706</v>
      </c>
      <c r="G338" s="24" t="str">
        <f>IFERROR(__xludf.DUMMYFUNCTION("""COMPUTED_VALUE"""),"JC")</f>
        <v>JC</v>
      </c>
      <c r="H338" s="24">
        <f>IFERROR(__xludf.DUMMYFUNCTION("""COMPUTED_VALUE"""),484.0)</f>
        <v>484</v>
      </c>
      <c r="I338" s="24" t="str">
        <f>IFERROR(__xludf.DUMMYFUNCTION("""COMPUTED_VALUE"""),"Amazon")</f>
        <v>Amazon</v>
      </c>
    </row>
    <row r="339">
      <c r="A339" s="23">
        <f>IFERROR(__xludf.DUMMYFUNCTION("""COMPUTED_VALUE"""),44741.834304814816)</f>
        <v>44741.8343</v>
      </c>
      <c r="B339" s="24" t="str">
        <f>IFERROR(__xludf.DUMMYFUNCTION("""COMPUTED_VALUE"""),"Claire")</f>
        <v>Claire</v>
      </c>
      <c r="C339" s="24">
        <f>IFERROR(__xludf.DUMMYFUNCTION("""COMPUTED_VALUE"""),590.0)</f>
        <v>590</v>
      </c>
      <c r="D339" s="24" t="str">
        <f>IFERROR(__xludf.DUMMYFUNCTION("""COMPUTED_VALUE"""),"Amazon")</f>
        <v>Amazon</v>
      </c>
      <c r="F339" s="23">
        <f>IFERROR(__xludf.DUMMYFUNCTION("""COMPUTED_VALUE"""),44737.44814769676)</f>
        <v>44737.44815</v>
      </c>
      <c r="G339" s="24" t="str">
        <f>IFERROR(__xludf.DUMMYFUNCTION("""COMPUTED_VALUE"""),"JC")</f>
        <v>JC</v>
      </c>
      <c r="H339" s="24">
        <f>IFERROR(__xludf.DUMMYFUNCTION("""COMPUTED_VALUE"""),928.0)</f>
        <v>928</v>
      </c>
      <c r="I339" s="24" t="str">
        <f>IFERROR(__xludf.DUMMYFUNCTION("""COMPUTED_VALUE"""),"Amazon")</f>
        <v>Amazon</v>
      </c>
    </row>
    <row r="340">
      <c r="A340" s="23">
        <f>IFERROR(__xludf.DUMMYFUNCTION("""COMPUTED_VALUE"""),44741.834503287035)</f>
        <v>44741.8345</v>
      </c>
      <c r="B340" s="24" t="str">
        <f>IFERROR(__xludf.DUMMYFUNCTION("""COMPUTED_VALUE"""),"Claire")</f>
        <v>Claire</v>
      </c>
      <c r="C340" s="24">
        <f>IFERROR(__xludf.DUMMYFUNCTION("""COMPUTED_VALUE"""),733.0)</f>
        <v>733</v>
      </c>
      <c r="D340" s="24" t="str">
        <f>IFERROR(__xludf.DUMMYFUNCTION("""COMPUTED_VALUE"""),"Amazon")</f>
        <v>Amazon</v>
      </c>
      <c r="F340" s="23">
        <f>IFERROR(__xludf.DUMMYFUNCTION("""COMPUTED_VALUE"""),44737.44842241898)</f>
        <v>44737.44842</v>
      </c>
      <c r="G340" s="24" t="str">
        <f>IFERROR(__xludf.DUMMYFUNCTION("""COMPUTED_VALUE"""),"JC")</f>
        <v>JC</v>
      </c>
      <c r="H340" s="24">
        <f>IFERROR(__xludf.DUMMYFUNCTION("""COMPUTED_VALUE"""),405.0)</f>
        <v>405</v>
      </c>
      <c r="I340" s="24" t="str">
        <f>IFERROR(__xludf.DUMMYFUNCTION("""COMPUTED_VALUE"""),"Amazon")</f>
        <v>Amazon</v>
      </c>
    </row>
    <row r="341">
      <c r="A341" s="23">
        <f>IFERROR(__xludf.DUMMYFUNCTION("""COMPUTED_VALUE"""),44741.83465677083)</f>
        <v>44741.83466</v>
      </c>
      <c r="B341" s="24" t="str">
        <f>IFERROR(__xludf.DUMMYFUNCTION("""COMPUTED_VALUE"""),"Claire")</f>
        <v>Claire</v>
      </c>
      <c r="C341" s="24">
        <f>IFERROR(__xludf.DUMMYFUNCTION("""COMPUTED_VALUE"""),872.0)</f>
        <v>872</v>
      </c>
      <c r="D341" s="24" t="str">
        <f>IFERROR(__xludf.DUMMYFUNCTION("""COMPUTED_VALUE"""),"Amazon")</f>
        <v>Amazon</v>
      </c>
      <c r="F341" s="23">
        <f>IFERROR(__xludf.DUMMYFUNCTION("""COMPUTED_VALUE"""),44737.44868988426)</f>
        <v>44737.44869</v>
      </c>
      <c r="G341" s="24" t="str">
        <f>IFERROR(__xludf.DUMMYFUNCTION("""COMPUTED_VALUE"""),"JC")</f>
        <v>JC</v>
      </c>
      <c r="H341" s="24">
        <f>IFERROR(__xludf.DUMMYFUNCTION("""COMPUTED_VALUE"""),307.0)</f>
        <v>307</v>
      </c>
      <c r="I341" s="24" t="str">
        <f>IFERROR(__xludf.DUMMYFUNCTION("""COMPUTED_VALUE"""),"Amazon")</f>
        <v>Amazon</v>
      </c>
    </row>
    <row r="342">
      <c r="A342" s="23">
        <f>IFERROR(__xludf.DUMMYFUNCTION("""COMPUTED_VALUE"""),44742.84105068287)</f>
        <v>44742.84105</v>
      </c>
      <c r="B342" s="24" t="str">
        <f>IFERROR(__xludf.DUMMYFUNCTION("""COMPUTED_VALUE"""),"Seth Crawford")</f>
        <v>Seth Crawford</v>
      </c>
      <c r="C342" s="24">
        <f>IFERROR(__xludf.DUMMYFUNCTION("""COMPUTED_VALUE"""),642.0)</f>
        <v>642</v>
      </c>
      <c r="D342" s="24" t="str">
        <f>IFERROR(__xludf.DUMMYFUNCTION("""COMPUTED_VALUE"""),"Amazon")</f>
        <v>Amazon</v>
      </c>
      <c r="F342" s="23">
        <f>IFERROR(__xludf.DUMMYFUNCTION("""COMPUTED_VALUE"""),44737.44892510417)</f>
        <v>44737.44893</v>
      </c>
      <c r="G342" s="24" t="str">
        <f>IFERROR(__xludf.DUMMYFUNCTION("""COMPUTED_VALUE"""),"JC")</f>
        <v>JC</v>
      </c>
      <c r="H342" s="24">
        <f>IFERROR(__xludf.DUMMYFUNCTION("""COMPUTED_VALUE"""),840.0)</f>
        <v>840</v>
      </c>
      <c r="I342" s="24" t="str">
        <f>IFERROR(__xludf.DUMMYFUNCTION("""COMPUTED_VALUE"""),"Amazon")</f>
        <v>Amazon</v>
      </c>
    </row>
    <row r="343">
      <c r="A343" s="23">
        <f>IFERROR(__xludf.DUMMYFUNCTION("""COMPUTED_VALUE"""),44742.84243320602)</f>
        <v>44742.84243</v>
      </c>
      <c r="B343" s="24" t="str">
        <f>IFERROR(__xludf.DUMMYFUNCTION("""COMPUTED_VALUE"""),"Seth Crawford")</f>
        <v>Seth Crawford</v>
      </c>
      <c r="C343" s="24">
        <f>IFERROR(__xludf.DUMMYFUNCTION("""COMPUTED_VALUE"""),768.0)</f>
        <v>768</v>
      </c>
      <c r="D343" s="24" t="str">
        <f>IFERROR(__xludf.DUMMYFUNCTION("""COMPUTED_VALUE"""),"Amazon")</f>
        <v>Amazon</v>
      </c>
      <c r="F343" s="23">
        <f>IFERROR(__xludf.DUMMYFUNCTION("""COMPUTED_VALUE"""),44737.44909486111)</f>
        <v>44737.44909</v>
      </c>
      <c r="G343" s="24" t="str">
        <f>IFERROR(__xludf.DUMMYFUNCTION("""COMPUTED_VALUE"""),"JC")</f>
        <v>JC</v>
      </c>
      <c r="H343" s="24">
        <f>IFERROR(__xludf.DUMMYFUNCTION("""COMPUTED_VALUE"""),895.0)</f>
        <v>895</v>
      </c>
      <c r="I343" s="24" t="str">
        <f>IFERROR(__xludf.DUMMYFUNCTION("""COMPUTED_VALUE"""),"Amazon")</f>
        <v>Amazon</v>
      </c>
    </row>
    <row r="344">
      <c r="A344" s="23">
        <f>IFERROR(__xludf.DUMMYFUNCTION("""COMPUTED_VALUE"""),44742.84440153935)</f>
        <v>44742.8444</v>
      </c>
      <c r="B344" s="24" t="str">
        <f>IFERROR(__xludf.DUMMYFUNCTION("""COMPUTED_VALUE"""),"Seth Crawford")</f>
        <v>Seth Crawford</v>
      </c>
      <c r="C344" s="24">
        <f>IFERROR(__xludf.DUMMYFUNCTION("""COMPUTED_VALUE"""),348.0)</f>
        <v>348</v>
      </c>
      <c r="D344" s="24" t="str">
        <f>IFERROR(__xludf.DUMMYFUNCTION("""COMPUTED_VALUE"""),"Amazon")</f>
        <v>Amazon</v>
      </c>
      <c r="F344" s="23">
        <f>IFERROR(__xludf.DUMMYFUNCTION("""COMPUTED_VALUE"""),44737.44932982639)</f>
        <v>44737.44933</v>
      </c>
      <c r="G344" s="24" t="str">
        <f>IFERROR(__xludf.DUMMYFUNCTION("""COMPUTED_VALUE"""),"JC")</f>
        <v>JC</v>
      </c>
      <c r="H344" s="24">
        <f>IFERROR(__xludf.DUMMYFUNCTION("""COMPUTED_VALUE"""),998.0)</f>
        <v>998</v>
      </c>
      <c r="I344" s="24" t="str">
        <f>IFERROR(__xludf.DUMMYFUNCTION("""COMPUTED_VALUE"""),"Amazon")</f>
        <v>Amazon</v>
      </c>
    </row>
    <row r="345">
      <c r="A345" s="23">
        <f>IFERROR(__xludf.DUMMYFUNCTION("""COMPUTED_VALUE"""),44742.84711153935)</f>
        <v>44742.84711</v>
      </c>
      <c r="B345" s="24" t="str">
        <f>IFERROR(__xludf.DUMMYFUNCTION("""COMPUTED_VALUE"""),"Seth Crawford")</f>
        <v>Seth Crawford</v>
      </c>
      <c r="C345" s="24">
        <f>IFERROR(__xludf.DUMMYFUNCTION("""COMPUTED_VALUE"""),746.0)</f>
        <v>746</v>
      </c>
      <c r="D345" s="24" t="str">
        <f>IFERROR(__xludf.DUMMYFUNCTION("""COMPUTED_VALUE"""),"Amazon")</f>
        <v>Amazon</v>
      </c>
      <c r="F345" s="23">
        <f>IFERROR(__xludf.DUMMYFUNCTION("""COMPUTED_VALUE"""),44737.5461808449)</f>
        <v>44737.54618</v>
      </c>
      <c r="G345" s="24" t="str">
        <f>IFERROR(__xludf.DUMMYFUNCTION("""COMPUTED_VALUE"""),"Emily")</f>
        <v>Emily</v>
      </c>
      <c r="H345" s="24">
        <f>IFERROR(__xludf.DUMMYFUNCTION("""COMPUTED_VALUE"""),199.0)</f>
        <v>199</v>
      </c>
      <c r="I345" s="24" t="str">
        <f>IFERROR(__xludf.DUMMYFUNCTION("""COMPUTED_VALUE"""),"Toilet paper")</f>
        <v>Toilet paper</v>
      </c>
    </row>
    <row r="346">
      <c r="A346" s="23">
        <f>IFERROR(__xludf.DUMMYFUNCTION("""COMPUTED_VALUE"""),44742.84883965278)</f>
        <v>44742.84884</v>
      </c>
      <c r="B346" s="24" t="str">
        <f>IFERROR(__xludf.DUMMYFUNCTION("""COMPUTED_VALUE"""),"Seth Crawford")</f>
        <v>Seth Crawford</v>
      </c>
      <c r="C346" s="24">
        <f>IFERROR(__xludf.DUMMYFUNCTION("""COMPUTED_VALUE"""),710.0)</f>
        <v>710</v>
      </c>
      <c r="D346" s="24" t="str">
        <f>IFERROR(__xludf.DUMMYFUNCTION("""COMPUTED_VALUE"""),"Amazon")</f>
        <v>Amazon</v>
      </c>
      <c r="F346" s="23">
        <f>IFERROR(__xludf.DUMMYFUNCTION("""COMPUTED_VALUE"""),44737.546720729166)</f>
        <v>44737.54672</v>
      </c>
      <c r="G346" s="24" t="str">
        <f>IFERROR(__xludf.DUMMYFUNCTION("""COMPUTED_VALUE"""),"Emily")</f>
        <v>Emily</v>
      </c>
      <c r="H346" s="24">
        <f>IFERROR(__xludf.DUMMYFUNCTION("""COMPUTED_VALUE"""),181.0)</f>
        <v>181</v>
      </c>
      <c r="I346" s="24" t="str">
        <f>IFERROR(__xludf.DUMMYFUNCTION("""COMPUTED_VALUE"""),"Toilet paper")</f>
        <v>Toilet paper</v>
      </c>
    </row>
    <row r="347">
      <c r="A347" s="23">
        <f>IFERROR(__xludf.DUMMYFUNCTION("""COMPUTED_VALUE"""),44742.85027241898)</f>
        <v>44742.85027</v>
      </c>
      <c r="B347" s="24" t="str">
        <f>IFERROR(__xludf.DUMMYFUNCTION("""COMPUTED_VALUE"""),"Seth Crawford")</f>
        <v>Seth Crawford</v>
      </c>
      <c r="C347" s="24">
        <f>IFERROR(__xludf.DUMMYFUNCTION("""COMPUTED_VALUE"""),687.0)</f>
        <v>687</v>
      </c>
      <c r="D347" s="24" t="str">
        <f>IFERROR(__xludf.DUMMYFUNCTION("""COMPUTED_VALUE"""),"Amazon")</f>
        <v>Amazon</v>
      </c>
      <c r="F347" s="23">
        <f>IFERROR(__xludf.DUMMYFUNCTION("""COMPUTED_VALUE"""),44737.54714565972)</f>
        <v>44737.54715</v>
      </c>
      <c r="G347" s="24" t="str">
        <f>IFERROR(__xludf.DUMMYFUNCTION("""COMPUTED_VALUE"""),"Emily")</f>
        <v>Emily</v>
      </c>
      <c r="H347" s="24">
        <f>IFERROR(__xludf.DUMMYFUNCTION("""COMPUTED_VALUE"""),372.0)</f>
        <v>372</v>
      </c>
      <c r="I347" s="24" t="str">
        <f>IFERROR(__xludf.DUMMYFUNCTION("""COMPUTED_VALUE"""),"Dry goods")</f>
        <v>Dry goods</v>
      </c>
    </row>
    <row r="348">
      <c r="A348" s="23">
        <f>IFERROR(__xludf.DUMMYFUNCTION("""COMPUTED_VALUE"""),44742.8529836574)</f>
        <v>44742.85298</v>
      </c>
      <c r="B348" s="24" t="str">
        <f>IFERROR(__xludf.DUMMYFUNCTION("""COMPUTED_VALUE"""),"Seth Crawford")</f>
        <v>Seth Crawford</v>
      </c>
      <c r="C348" s="24">
        <f>IFERROR(__xludf.DUMMYFUNCTION("""COMPUTED_VALUE"""),687.0)</f>
        <v>687</v>
      </c>
      <c r="D348" s="24" t="str">
        <f>IFERROR(__xludf.DUMMYFUNCTION("""COMPUTED_VALUE"""),"Amazon")</f>
        <v>Amazon</v>
      </c>
      <c r="F348" s="23">
        <f>IFERROR(__xludf.DUMMYFUNCTION("""COMPUTED_VALUE"""),44737.54752760417)</f>
        <v>44737.54753</v>
      </c>
      <c r="G348" s="24" t="str">
        <f>IFERROR(__xludf.DUMMYFUNCTION("""COMPUTED_VALUE"""),"Emily")</f>
        <v>Emily</v>
      </c>
      <c r="H348" s="24">
        <f>IFERROR(__xludf.DUMMYFUNCTION("""COMPUTED_VALUE"""),596.0)</f>
        <v>596</v>
      </c>
      <c r="I348" s="24" t="str">
        <f>IFERROR(__xludf.DUMMYFUNCTION("""COMPUTED_VALUE"""),"Dry goods")</f>
        <v>Dry goods</v>
      </c>
    </row>
    <row r="349">
      <c r="A349" s="23">
        <f>IFERROR(__xludf.DUMMYFUNCTION("""COMPUTED_VALUE"""),44742.0)</f>
        <v>44742</v>
      </c>
      <c r="B349" s="24" t="str">
        <f>IFERROR(__xludf.DUMMYFUNCTION("""COMPUTED_VALUE"""),"Claire")</f>
        <v>Claire</v>
      </c>
      <c r="C349" s="24">
        <f>IFERROR(__xludf.DUMMYFUNCTION("""COMPUTED_VALUE"""),22.0)</f>
        <v>22</v>
      </c>
      <c r="D349" s="24" t="str">
        <f>IFERROR(__xludf.DUMMYFUNCTION("""COMPUTED_VALUE"""),"Donation/Missy")</f>
        <v>Donation/Missy</v>
      </c>
      <c r="F349" s="23">
        <f>IFERROR(__xludf.DUMMYFUNCTION("""COMPUTED_VALUE"""),44737.54813292824)</f>
        <v>44737.54813</v>
      </c>
      <c r="G349" s="24" t="str">
        <f>IFERROR(__xludf.DUMMYFUNCTION("""COMPUTED_VALUE"""),"Emily")</f>
        <v>Emily</v>
      </c>
      <c r="H349" s="24">
        <f>IFERROR(__xludf.DUMMYFUNCTION("""COMPUTED_VALUE"""),1305.0)</f>
        <v>1305</v>
      </c>
      <c r="I349" s="24" t="str">
        <f>IFERROR(__xludf.DUMMYFUNCTION("""COMPUTED_VALUE"""),"Pet supply ")</f>
        <v>Pet supply </v>
      </c>
    </row>
    <row r="350">
      <c r="A350" s="23">
        <f>IFERROR(__xludf.DUMMYFUNCTION("""COMPUTED_VALUE"""),44742.85325167824)</f>
        <v>44742.85325</v>
      </c>
      <c r="B350" s="24" t="str">
        <f>IFERROR(__xludf.DUMMYFUNCTION("""COMPUTED_VALUE"""),"Seth Crawford")</f>
        <v>Seth Crawford</v>
      </c>
      <c r="C350" s="24">
        <f>IFERROR(__xludf.DUMMYFUNCTION("""COMPUTED_VALUE"""),1032.0)</f>
        <v>1032</v>
      </c>
      <c r="D350" s="24" t="str">
        <f>IFERROR(__xludf.DUMMYFUNCTION("""COMPUTED_VALUE"""),"Amazon")</f>
        <v>Amazon</v>
      </c>
      <c r="F350" s="23">
        <f>IFERROR(__xludf.DUMMYFUNCTION("""COMPUTED_VALUE"""),44737.54837835648)</f>
        <v>44737.54838</v>
      </c>
      <c r="G350" s="24" t="str">
        <f>IFERROR(__xludf.DUMMYFUNCTION("""COMPUTED_VALUE"""),"Emily")</f>
        <v>Emily</v>
      </c>
      <c r="H350" s="24">
        <f>IFERROR(__xludf.DUMMYFUNCTION("""COMPUTED_VALUE"""),580.0)</f>
        <v>580</v>
      </c>
      <c r="I350" s="24" t="str">
        <f>IFERROR(__xludf.DUMMYFUNCTION("""COMPUTED_VALUE"""),"Snacks")</f>
        <v>Snacks</v>
      </c>
    </row>
    <row r="351">
      <c r="A351" s="23">
        <f>IFERROR(__xludf.DUMMYFUNCTION("""COMPUTED_VALUE"""),44744.768094907406)</f>
        <v>44744.76809</v>
      </c>
      <c r="B351" s="24" t="str">
        <f>IFERROR(__xludf.DUMMYFUNCTION("""COMPUTED_VALUE"""),"Claire")</f>
        <v>Claire</v>
      </c>
      <c r="C351" s="24">
        <f>IFERROR(__xludf.DUMMYFUNCTION("""COMPUTED_VALUE"""),390.0)</f>
        <v>390</v>
      </c>
      <c r="D351" s="24" t="str">
        <f>IFERROR(__xludf.DUMMYFUNCTION("""COMPUTED_VALUE"""),"Amazon")</f>
        <v>Amazon</v>
      </c>
      <c r="F351" s="23">
        <f>IFERROR(__xludf.DUMMYFUNCTION("""COMPUTED_VALUE"""),44737.54860011574)</f>
        <v>44737.5486</v>
      </c>
      <c r="G351" s="24" t="str">
        <f>IFERROR(__xludf.DUMMYFUNCTION("""COMPUTED_VALUE"""),"Emily")</f>
        <v>Emily</v>
      </c>
      <c r="H351" s="24">
        <f>IFERROR(__xludf.DUMMYFUNCTION("""COMPUTED_VALUE"""),296.0)</f>
        <v>296</v>
      </c>
      <c r="I351" s="24" t="str">
        <f>IFERROR(__xludf.DUMMYFUNCTION("""COMPUTED_VALUE"""),"Snacks")</f>
        <v>Snacks</v>
      </c>
    </row>
    <row r="352">
      <c r="A352" s="23">
        <f>IFERROR(__xludf.DUMMYFUNCTION("""COMPUTED_VALUE"""),44744.768552974536)</f>
        <v>44744.76855</v>
      </c>
      <c r="B352" s="24" t="str">
        <f>IFERROR(__xludf.DUMMYFUNCTION("""COMPUTED_VALUE"""),"Claire")</f>
        <v>Claire</v>
      </c>
      <c r="C352" s="24">
        <f>IFERROR(__xludf.DUMMYFUNCTION("""COMPUTED_VALUE"""),460.0)</f>
        <v>460</v>
      </c>
      <c r="D352" s="24" t="str">
        <f>IFERROR(__xludf.DUMMYFUNCTION("""COMPUTED_VALUE"""),"Amazon")</f>
        <v>Amazon</v>
      </c>
      <c r="F352" s="23">
        <f>IFERROR(__xludf.DUMMYFUNCTION("""COMPUTED_VALUE"""),44737.549061122685)</f>
        <v>44737.54906</v>
      </c>
      <c r="G352" s="24" t="str">
        <f>IFERROR(__xludf.DUMMYFUNCTION("""COMPUTED_VALUE"""),"Emily")</f>
        <v>Emily</v>
      </c>
      <c r="H352" s="24">
        <f>IFERROR(__xludf.DUMMYFUNCTION("""COMPUTED_VALUE"""),1485.0)</f>
        <v>1485</v>
      </c>
      <c r="I352" s="24" t="str">
        <f>IFERROR(__xludf.DUMMYFUNCTION("""COMPUTED_VALUE"""),"Drinks")</f>
        <v>Drinks</v>
      </c>
    </row>
    <row r="353">
      <c r="A353" s="23">
        <f>IFERROR(__xludf.DUMMYFUNCTION("""COMPUTED_VALUE"""),44744.76873844907)</f>
        <v>44744.76874</v>
      </c>
      <c r="B353" s="24" t="str">
        <f>IFERROR(__xludf.DUMMYFUNCTION("""COMPUTED_VALUE"""),"Claire")</f>
        <v>Claire</v>
      </c>
      <c r="C353" s="24">
        <f>IFERROR(__xludf.DUMMYFUNCTION("""COMPUTED_VALUE"""),528.0)</f>
        <v>528</v>
      </c>
      <c r="D353" s="24" t="str">
        <f>IFERROR(__xludf.DUMMYFUNCTION("""COMPUTED_VALUE"""),"Amazon")</f>
        <v>Amazon</v>
      </c>
      <c r="F353" s="23">
        <f>IFERROR(__xludf.DUMMYFUNCTION("""COMPUTED_VALUE"""),44737.549908379624)</f>
        <v>44737.54991</v>
      </c>
      <c r="G353" s="24" t="str">
        <f>IFERROR(__xludf.DUMMYFUNCTION("""COMPUTED_VALUE"""),"Emily")</f>
        <v>Emily</v>
      </c>
      <c r="H353" s="24">
        <f>IFERROR(__xludf.DUMMYFUNCTION("""COMPUTED_VALUE"""),1728.0)</f>
        <v>1728</v>
      </c>
      <c r="I353" s="24" t="str">
        <f>IFERROR(__xludf.DUMMYFUNCTION("""COMPUTED_VALUE"""),"Drinks")</f>
        <v>Drinks</v>
      </c>
    </row>
    <row r="354">
      <c r="A354" s="23">
        <f>IFERROR(__xludf.DUMMYFUNCTION("""COMPUTED_VALUE"""),44744.769014201396)</f>
        <v>44744.76901</v>
      </c>
      <c r="B354" s="24" t="str">
        <f>IFERROR(__xludf.DUMMYFUNCTION("""COMPUTED_VALUE"""),"Claire")</f>
        <v>Claire</v>
      </c>
      <c r="C354" s="24">
        <f>IFERROR(__xludf.DUMMYFUNCTION("""COMPUTED_VALUE"""),755.0)</f>
        <v>755</v>
      </c>
      <c r="D354" s="24" t="str">
        <f>IFERROR(__xludf.DUMMYFUNCTION("""COMPUTED_VALUE"""),"Amazon")</f>
        <v>Amazon</v>
      </c>
      <c r="F354" s="23">
        <f>IFERROR(__xludf.DUMMYFUNCTION("""COMPUTED_VALUE"""),44737.55023880787)</f>
        <v>44737.55024</v>
      </c>
      <c r="G354" s="24" t="str">
        <f>IFERROR(__xludf.DUMMYFUNCTION("""COMPUTED_VALUE"""),"Emily")</f>
        <v>Emily</v>
      </c>
      <c r="H354" s="24">
        <f>IFERROR(__xludf.DUMMYFUNCTION("""COMPUTED_VALUE"""),1224.0)</f>
        <v>1224</v>
      </c>
      <c r="I354" s="24" t="str">
        <f>IFERROR(__xludf.DUMMYFUNCTION("""COMPUTED_VALUE"""),"Cleaning")</f>
        <v>Cleaning</v>
      </c>
    </row>
    <row r="355">
      <c r="A355" s="23">
        <f>IFERROR(__xludf.DUMMYFUNCTION("""COMPUTED_VALUE"""),44744.769282407404)</f>
        <v>44744.76928</v>
      </c>
      <c r="B355" s="24" t="str">
        <f>IFERROR(__xludf.DUMMYFUNCTION("""COMPUTED_VALUE"""),"Claire")</f>
        <v>Claire</v>
      </c>
      <c r="C355" s="24">
        <f>IFERROR(__xludf.DUMMYFUNCTION("""COMPUTED_VALUE"""),950.0)</f>
        <v>950</v>
      </c>
      <c r="D355" s="24" t="str">
        <f>IFERROR(__xludf.DUMMYFUNCTION("""COMPUTED_VALUE"""),"Amazon")</f>
        <v>Amazon</v>
      </c>
      <c r="F355" s="23">
        <f>IFERROR(__xludf.DUMMYFUNCTION("""COMPUTED_VALUE"""),44737.55061708333)</f>
        <v>44737.55062</v>
      </c>
      <c r="G355" s="24" t="str">
        <f>IFERROR(__xludf.DUMMYFUNCTION("""COMPUTED_VALUE"""),"Emily")</f>
        <v>Emily</v>
      </c>
      <c r="H355" s="24">
        <f>IFERROR(__xludf.DUMMYFUNCTION("""COMPUTED_VALUE"""),244.0)</f>
        <v>244</v>
      </c>
      <c r="I355" s="24" t="str">
        <f>IFERROR(__xludf.DUMMYFUNCTION("""COMPUTED_VALUE"""),"Toilet paper")</f>
        <v>Toilet paper</v>
      </c>
    </row>
    <row r="356">
      <c r="A356" s="23">
        <f>IFERROR(__xludf.DUMMYFUNCTION("""COMPUTED_VALUE"""),44744.76946684028)</f>
        <v>44744.76947</v>
      </c>
      <c r="B356" s="24" t="str">
        <f>IFERROR(__xludf.DUMMYFUNCTION("""COMPUTED_VALUE"""),"Claire")</f>
        <v>Claire</v>
      </c>
      <c r="C356" s="24">
        <f>IFERROR(__xludf.DUMMYFUNCTION("""COMPUTED_VALUE"""),799.0)</f>
        <v>799</v>
      </c>
      <c r="D356" s="24" t="str">
        <f>IFERROR(__xludf.DUMMYFUNCTION("""COMPUTED_VALUE"""),"Amazon")</f>
        <v>Amazon</v>
      </c>
      <c r="F356" s="23">
        <f>IFERROR(__xludf.DUMMYFUNCTION("""COMPUTED_VALUE"""),44737.550869942126)</f>
        <v>44737.55087</v>
      </c>
      <c r="G356" s="24" t="str">
        <f>IFERROR(__xludf.DUMMYFUNCTION("""COMPUTED_VALUE"""),"Emily")</f>
        <v>Emily</v>
      </c>
      <c r="H356" s="24">
        <f>IFERROR(__xludf.DUMMYFUNCTION("""COMPUTED_VALUE"""),900.0)</f>
        <v>900</v>
      </c>
      <c r="I356" s="24" t="str">
        <f>IFERROR(__xludf.DUMMYFUNCTION("""COMPUTED_VALUE"""),"Dry goods")</f>
        <v>Dry goods</v>
      </c>
    </row>
    <row r="357">
      <c r="A357" s="23">
        <f>IFERROR(__xludf.DUMMYFUNCTION("""COMPUTED_VALUE"""),44744.76988262731)</f>
        <v>44744.76988</v>
      </c>
      <c r="B357" s="24" t="str">
        <f>IFERROR(__xludf.DUMMYFUNCTION("""COMPUTED_VALUE"""),"Claire")</f>
        <v>Claire</v>
      </c>
      <c r="C357" s="24">
        <f>IFERROR(__xludf.DUMMYFUNCTION("""COMPUTED_VALUE"""),1056.0)</f>
        <v>1056</v>
      </c>
      <c r="D357" s="24" t="str">
        <f>IFERROR(__xludf.DUMMYFUNCTION("""COMPUTED_VALUE"""),"Amazon")</f>
        <v>Amazon</v>
      </c>
      <c r="F357" s="23">
        <f>IFERROR(__xludf.DUMMYFUNCTION("""COMPUTED_VALUE"""),44737.551375069444)</f>
        <v>44737.55138</v>
      </c>
      <c r="G357" s="24" t="str">
        <f>IFERROR(__xludf.DUMMYFUNCTION("""COMPUTED_VALUE"""),"Emily")</f>
        <v>Emily</v>
      </c>
      <c r="H357" s="24">
        <f>IFERROR(__xludf.DUMMYFUNCTION("""COMPUTED_VALUE"""),-199.0)</f>
        <v>-199</v>
      </c>
      <c r="I357" s="24" t="str">
        <f>IFERROR(__xludf.DUMMYFUNCTION("""COMPUTED_VALUE"""),"B2")</f>
        <v>B2</v>
      </c>
    </row>
    <row r="358">
      <c r="A358" s="23">
        <f>IFERROR(__xludf.DUMMYFUNCTION("""COMPUTED_VALUE"""),44744.77006700231)</f>
        <v>44744.77007</v>
      </c>
      <c r="B358" s="24" t="str">
        <f>IFERROR(__xludf.DUMMYFUNCTION("""COMPUTED_VALUE"""),"Claire")</f>
        <v>Claire</v>
      </c>
      <c r="C358" s="24">
        <f>IFERROR(__xludf.DUMMYFUNCTION("""COMPUTED_VALUE"""),526.0)</f>
        <v>526</v>
      </c>
      <c r="D358" s="24" t="str">
        <f>IFERROR(__xludf.DUMMYFUNCTION("""COMPUTED_VALUE"""),"Amazon")</f>
        <v>Amazon</v>
      </c>
      <c r="F358" s="23">
        <f>IFERROR(__xludf.DUMMYFUNCTION("""COMPUTED_VALUE"""),44737.55166452547)</f>
        <v>44737.55166</v>
      </c>
      <c r="G358" s="24" t="str">
        <f>IFERROR(__xludf.DUMMYFUNCTION("""COMPUTED_VALUE"""),"Emily Stucke")</f>
        <v>Emily Stucke</v>
      </c>
      <c r="H358" s="24">
        <f>IFERROR(__xludf.DUMMYFUNCTION("""COMPUTED_VALUE"""),-181.0)</f>
        <v>-181</v>
      </c>
      <c r="I358" s="24" t="str">
        <f>IFERROR(__xludf.DUMMYFUNCTION("""COMPUTED_VALUE"""),"B1")</f>
        <v>B1</v>
      </c>
    </row>
    <row r="359">
      <c r="A359" s="23">
        <f>IFERROR(__xludf.DUMMYFUNCTION("""COMPUTED_VALUE"""),44744.77040659723)</f>
        <v>44744.77041</v>
      </c>
      <c r="B359" s="24" t="str">
        <f>IFERROR(__xludf.DUMMYFUNCTION("""COMPUTED_VALUE"""),"Claire")</f>
        <v>Claire</v>
      </c>
      <c r="C359" s="24">
        <f>IFERROR(__xludf.DUMMYFUNCTION("""COMPUTED_VALUE"""),64.0)</f>
        <v>64</v>
      </c>
      <c r="D359" s="24" t="str">
        <f>IFERROR(__xludf.DUMMYFUNCTION("""COMPUTED_VALUE"""),"Amazon")</f>
        <v>Amazon</v>
      </c>
      <c r="F359" s="23">
        <f>IFERROR(__xludf.DUMMYFUNCTION("""COMPUTED_VALUE"""),44737.55205559028)</f>
        <v>44737.55206</v>
      </c>
      <c r="G359" s="24" t="str">
        <f>IFERROR(__xludf.DUMMYFUNCTION("""COMPUTED_VALUE"""),"Emily ")</f>
        <v>Emily </v>
      </c>
      <c r="H359" s="24">
        <f>IFERROR(__xludf.DUMMYFUNCTION("""COMPUTED_VALUE"""),-372.0)</f>
        <v>-372</v>
      </c>
      <c r="I359" s="24" t="str">
        <f>IFERROR(__xludf.DUMMYFUNCTION("""COMPUTED_VALUE"""),"Xx")</f>
        <v>Xx</v>
      </c>
    </row>
    <row r="360">
      <c r="A360" s="23">
        <f>IFERROR(__xludf.DUMMYFUNCTION("""COMPUTED_VALUE"""),44744.77072136574)</f>
        <v>44744.77072</v>
      </c>
      <c r="B360" s="24" t="str">
        <f>IFERROR(__xludf.DUMMYFUNCTION("""COMPUTED_VALUE"""),"Claire")</f>
        <v>Claire</v>
      </c>
      <c r="C360" s="24">
        <f>IFERROR(__xludf.DUMMYFUNCTION("""COMPUTED_VALUE"""),681.0)</f>
        <v>681</v>
      </c>
      <c r="D360" s="24" t="str">
        <f>IFERROR(__xludf.DUMMYFUNCTION("""COMPUTED_VALUE"""),"Amazon")</f>
        <v>Amazon</v>
      </c>
      <c r="F360" s="23">
        <f>IFERROR(__xludf.DUMMYFUNCTION("""COMPUTED_VALUE"""),44737.55257693287)</f>
        <v>44737.55258</v>
      </c>
      <c r="G360" s="24" t="str">
        <f>IFERROR(__xludf.DUMMYFUNCTION("""COMPUTED_VALUE"""),"Emily Stucke")</f>
        <v>Emily Stucke</v>
      </c>
      <c r="H360" s="24">
        <f>IFERROR(__xludf.DUMMYFUNCTION("""COMPUTED_VALUE"""),-596.0)</f>
        <v>-596</v>
      </c>
      <c r="I360" s="24" t="str">
        <f>IFERROR(__xludf.DUMMYFUNCTION("""COMPUTED_VALUE"""),"E3")</f>
        <v>E3</v>
      </c>
    </row>
    <row r="361">
      <c r="A361" s="23">
        <f>IFERROR(__xludf.DUMMYFUNCTION("""COMPUTED_VALUE"""),44744.77091017361)</f>
        <v>44744.77091</v>
      </c>
      <c r="B361" s="24" t="str">
        <f>IFERROR(__xludf.DUMMYFUNCTION("""COMPUTED_VALUE"""),"Claire")</f>
        <v>Claire</v>
      </c>
      <c r="C361" s="24">
        <f>IFERROR(__xludf.DUMMYFUNCTION("""COMPUTED_VALUE"""),421.0)</f>
        <v>421</v>
      </c>
      <c r="D361" s="24" t="str">
        <f>IFERROR(__xludf.DUMMYFUNCTION("""COMPUTED_VALUE"""),"Amazon")</f>
        <v>Amazon</v>
      </c>
      <c r="F361" s="23">
        <f>IFERROR(__xludf.DUMMYFUNCTION("""COMPUTED_VALUE"""),44737.553314490746)</f>
        <v>44737.55331</v>
      </c>
      <c r="G361" s="24" t="str">
        <f>IFERROR(__xludf.DUMMYFUNCTION("""COMPUTED_VALUE"""),"Emily")</f>
        <v>Emily</v>
      </c>
      <c r="H361" s="24">
        <f>IFERROR(__xludf.DUMMYFUNCTION("""COMPUTED_VALUE"""),-1305.0)</f>
        <v>-1305</v>
      </c>
      <c r="I361" s="24" t="str">
        <f>IFERROR(__xludf.DUMMYFUNCTION("""COMPUTED_VALUE"""),"I2")</f>
        <v>I2</v>
      </c>
    </row>
    <row r="362">
      <c r="A362" s="23">
        <f>IFERROR(__xludf.DUMMYFUNCTION("""COMPUTED_VALUE"""),44744.7710816088)</f>
        <v>44744.77108</v>
      </c>
      <c r="B362" s="24" t="str">
        <f>IFERROR(__xludf.DUMMYFUNCTION("""COMPUTED_VALUE"""),"Claire")</f>
        <v>Claire</v>
      </c>
      <c r="C362" s="24">
        <f>IFERROR(__xludf.DUMMYFUNCTION("""COMPUTED_VALUE"""),639.0)</f>
        <v>639</v>
      </c>
      <c r="D362" s="24" t="str">
        <f>IFERROR(__xludf.DUMMYFUNCTION("""COMPUTED_VALUE"""),"Amazon")</f>
        <v>Amazon</v>
      </c>
      <c r="F362" s="23">
        <f>IFERROR(__xludf.DUMMYFUNCTION("""COMPUTED_VALUE"""),44737.55367837963)</f>
        <v>44737.55368</v>
      </c>
      <c r="G362" s="24" t="str">
        <f>IFERROR(__xludf.DUMMYFUNCTION("""COMPUTED_VALUE"""),"Emily Stucke ")</f>
        <v>Emily Stucke </v>
      </c>
      <c r="H362" s="24">
        <f>IFERROR(__xludf.DUMMYFUNCTION("""COMPUTED_VALUE"""),-580.0)</f>
        <v>-580</v>
      </c>
      <c r="I362" s="24" t="str">
        <f>IFERROR(__xludf.DUMMYFUNCTION("""COMPUTED_VALUE"""),"I2")</f>
        <v>I2</v>
      </c>
    </row>
    <row r="363">
      <c r="A363" s="23">
        <f>IFERROR(__xludf.DUMMYFUNCTION("""COMPUTED_VALUE"""),44744.771255231484)</f>
        <v>44744.77126</v>
      </c>
      <c r="B363" s="24" t="str">
        <f>IFERROR(__xludf.DUMMYFUNCTION("""COMPUTED_VALUE"""),"Claire")</f>
        <v>Claire</v>
      </c>
      <c r="C363" s="24">
        <f>IFERROR(__xludf.DUMMYFUNCTION("""COMPUTED_VALUE"""),882.0)</f>
        <v>882</v>
      </c>
      <c r="D363" s="24" t="str">
        <f>IFERROR(__xludf.DUMMYFUNCTION("""COMPUTED_VALUE"""),"Amazon")</f>
        <v>Amazon</v>
      </c>
      <c r="F363" s="23">
        <f>IFERROR(__xludf.DUMMYFUNCTION("""COMPUTED_VALUE"""),44737.55399487268)</f>
        <v>44737.55399</v>
      </c>
      <c r="G363" s="24" t="str">
        <f>IFERROR(__xludf.DUMMYFUNCTION("""COMPUTED_VALUE"""),"Emily Stucke")</f>
        <v>Emily Stucke</v>
      </c>
      <c r="H363" s="24">
        <f>IFERROR(__xludf.DUMMYFUNCTION("""COMPUTED_VALUE"""),-296.0)</f>
        <v>-296</v>
      </c>
      <c r="I363" s="24" t="str">
        <f>IFERROR(__xludf.DUMMYFUNCTION("""COMPUTED_VALUE"""),"F6")</f>
        <v>F6</v>
      </c>
    </row>
    <row r="364">
      <c r="A364" s="23">
        <f>IFERROR(__xludf.DUMMYFUNCTION("""COMPUTED_VALUE"""),44744.771440856486)</f>
        <v>44744.77144</v>
      </c>
      <c r="B364" s="24" t="str">
        <f>IFERROR(__xludf.DUMMYFUNCTION("""COMPUTED_VALUE"""),"Claire")</f>
        <v>Claire</v>
      </c>
      <c r="C364" s="24">
        <f>IFERROR(__xludf.DUMMYFUNCTION("""COMPUTED_VALUE"""),944.0)</f>
        <v>944</v>
      </c>
      <c r="D364" s="24" t="str">
        <f>IFERROR(__xludf.DUMMYFUNCTION("""COMPUTED_VALUE"""),"Amazon")</f>
        <v>Amazon</v>
      </c>
      <c r="F364" s="23">
        <f>IFERROR(__xludf.DUMMYFUNCTION("""COMPUTED_VALUE"""),44737.554285150465)</f>
        <v>44737.55429</v>
      </c>
      <c r="G364" s="24" t="str">
        <f>IFERROR(__xludf.DUMMYFUNCTION("""COMPUTED_VALUE"""),"Emily Stucke")</f>
        <v>Emily Stucke</v>
      </c>
      <c r="H364" s="24">
        <f>IFERROR(__xludf.DUMMYFUNCTION("""COMPUTED_VALUE"""),-1485.0)</f>
        <v>-1485</v>
      </c>
      <c r="I364" s="24" t="str">
        <f>IFERROR(__xludf.DUMMYFUNCTION("""COMPUTED_VALUE"""),"Xx")</f>
        <v>Xx</v>
      </c>
    </row>
    <row r="365">
      <c r="A365" s="23">
        <f>IFERROR(__xludf.DUMMYFUNCTION("""COMPUTED_VALUE"""),44744.771565393516)</f>
        <v>44744.77157</v>
      </c>
      <c r="B365" s="24" t="str">
        <f>IFERROR(__xludf.DUMMYFUNCTION("""COMPUTED_VALUE"""),"Claire")</f>
        <v>Claire</v>
      </c>
      <c r="C365" s="24">
        <f>IFERROR(__xludf.DUMMYFUNCTION("""COMPUTED_VALUE"""),1080.0)</f>
        <v>1080</v>
      </c>
      <c r="D365" s="24" t="str">
        <f>IFERROR(__xludf.DUMMYFUNCTION("""COMPUTED_VALUE"""),"Amazon")</f>
        <v>Amazon</v>
      </c>
      <c r="F365" s="23">
        <f>IFERROR(__xludf.DUMMYFUNCTION("""COMPUTED_VALUE"""),44737.55460122685)</f>
        <v>44737.5546</v>
      </c>
      <c r="G365" s="24" t="str">
        <f>IFERROR(__xludf.DUMMYFUNCTION("""COMPUTED_VALUE"""),"Emily Stucke")</f>
        <v>Emily Stucke</v>
      </c>
      <c r="H365" s="24">
        <f>IFERROR(__xludf.DUMMYFUNCTION("""COMPUTED_VALUE"""),-1728.0)</f>
        <v>-1728</v>
      </c>
      <c r="I365" s="24" t="str">
        <f>IFERROR(__xludf.DUMMYFUNCTION("""COMPUTED_VALUE"""),"Xx")</f>
        <v>Xx</v>
      </c>
    </row>
    <row r="366">
      <c r="A366" s="23">
        <f>IFERROR(__xludf.DUMMYFUNCTION("""COMPUTED_VALUE"""),44745.697990162036)</f>
        <v>44745.69799</v>
      </c>
      <c r="B366" s="24" t="str">
        <f>IFERROR(__xludf.DUMMYFUNCTION("""COMPUTED_VALUE"""),"Zoe")</f>
        <v>Zoe</v>
      </c>
      <c r="C366" s="24">
        <f>IFERROR(__xludf.DUMMYFUNCTION("""COMPUTED_VALUE"""),15.0)</f>
        <v>15</v>
      </c>
      <c r="D366" s="24" t="str">
        <f>IFERROR(__xludf.DUMMYFUNCTION("""COMPUTED_VALUE"""),"Ausar’s Food donations")</f>
        <v>Ausar’s Food donations</v>
      </c>
      <c r="F366" s="23">
        <f>IFERROR(__xludf.DUMMYFUNCTION("""COMPUTED_VALUE"""),44737.55510738426)</f>
        <v>44737.55511</v>
      </c>
      <c r="G366" s="24" t="str">
        <f>IFERROR(__xludf.DUMMYFUNCTION("""COMPUTED_VALUE"""),"Emily Stucke")</f>
        <v>Emily Stucke</v>
      </c>
      <c r="H366" s="24">
        <f>IFERROR(__xludf.DUMMYFUNCTION("""COMPUTED_VALUE"""),-1224.0)</f>
        <v>-1224</v>
      </c>
      <c r="I366" s="24" t="str">
        <f>IFERROR(__xludf.DUMMYFUNCTION("""COMPUTED_VALUE"""),"H6")</f>
        <v>H6</v>
      </c>
    </row>
    <row r="367">
      <c r="A367" s="23">
        <f>IFERROR(__xludf.DUMMYFUNCTION("""COMPUTED_VALUE"""),44745.69853001158)</f>
        <v>44745.69853</v>
      </c>
      <c r="B367" s="24" t="str">
        <f>IFERROR(__xludf.DUMMYFUNCTION("""COMPUTED_VALUE"""),"Zoe")</f>
        <v>Zoe</v>
      </c>
      <c r="C367" s="24">
        <f>IFERROR(__xludf.DUMMYFUNCTION("""COMPUTED_VALUE"""),817.0)</f>
        <v>817</v>
      </c>
      <c r="D367" s="24" t="str">
        <f>IFERROR(__xludf.DUMMYFUNCTION("""COMPUTED_VALUE"""),"Amazon")</f>
        <v>Amazon</v>
      </c>
      <c r="F367" s="23">
        <f>IFERROR(__xludf.DUMMYFUNCTION("""COMPUTED_VALUE"""),44737.55538115741)</f>
        <v>44737.55538</v>
      </c>
      <c r="G367" s="24" t="str">
        <f>IFERROR(__xludf.DUMMYFUNCTION("""COMPUTED_VALUE"""),"Emily Stucke")</f>
        <v>Emily Stucke</v>
      </c>
      <c r="H367" s="24">
        <f>IFERROR(__xludf.DUMMYFUNCTION("""COMPUTED_VALUE"""),-244.0)</f>
        <v>-244</v>
      </c>
      <c r="I367" s="24" t="str">
        <f>IFERROR(__xludf.DUMMYFUNCTION("""COMPUTED_VALUE"""),"E2")</f>
        <v>E2</v>
      </c>
    </row>
    <row r="368">
      <c r="A368" s="23">
        <f>IFERROR(__xludf.DUMMYFUNCTION("""COMPUTED_VALUE"""),44745.69905445602)</f>
        <v>44745.69905</v>
      </c>
      <c r="B368" s="24" t="str">
        <f>IFERROR(__xludf.DUMMYFUNCTION("""COMPUTED_VALUE"""),"Zoe")</f>
        <v>Zoe</v>
      </c>
      <c r="C368" s="24">
        <f>IFERROR(__xludf.DUMMYFUNCTION("""COMPUTED_VALUE"""),713.0)</f>
        <v>713</v>
      </c>
      <c r="D368" s="24" t="str">
        <f>IFERROR(__xludf.DUMMYFUNCTION("""COMPUTED_VALUE"""),"Amazon")</f>
        <v>Amazon</v>
      </c>
      <c r="F368" s="23">
        <f>IFERROR(__xludf.DUMMYFUNCTION("""COMPUTED_VALUE"""),44737.55573817129)</f>
        <v>44737.55574</v>
      </c>
      <c r="G368" s="24" t="str">
        <f>IFERROR(__xludf.DUMMYFUNCTION("""COMPUTED_VALUE"""),"Emily Stucke")</f>
        <v>Emily Stucke</v>
      </c>
      <c r="H368" s="24">
        <f>IFERROR(__xludf.DUMMYFUNCTION("""COMPUTED_VALUE"""),-900.0)</f>
        <v>-900</v>
      </c>
      <c r="I368" s="24" t="str">
        <f>IFERROR(__xludf.DUMMYFUNCTION("""COMPUTED_VALUE"""),"I4")</f>
        <v>I4</v>
      </c>
    </row>
    <row r="369">
      <c r="A369" s="23">
        <f>IFERROR(__xludf.DUMMYFUNCTION("""COMPUTED_VALUE"""),44745.69936011574)</f>
        <v>44745.69936</v>
      </c>
      <c r="B369" s="24" t="str">
        <f>IFERROR(__xludf.DUMMYFUNCTION("""COMPUTED_VALUE"""),"Zoe")</f>
        <v>Zoe</v>
      </c>
      <c r="C369" s="24">
        <f>IFERROR(__xludf.DUMMYFUNCTION("""COMPUTED_VALUE"""),832.0)</f>
        <v>832</v>
      </c>
      <c r="D369" s="24" t="str">
        <f>IFERROR(__xludf.DUMMYFUNCTION("""COMPUTED_VALUE"""),"Amazon")</f>
        <v>Amazon</v>
      </c>
      <c r="F369" s="23">
        <f>IFERROR(__xludf.DUMMYFUNCTION("""COMPUTED_VALUE"""),44737.55610212962)</f>
        <v>44737.5561</v>
      </c>
      <c r="G369" s="24" t="str">
        <f>IFERROR(__xludf.DUMMYFUNCTION("""COMPUTED_VALUE"""),"Emily Stucke")</f>
        <v>Emily Stucke</v>
      </c>
      <c r="H369" s="24">
        <f>IFERROR(__xludf.DUMMYFUNCTION("""COMPUTED_VALUE"""),-788.0)</f>
        <v>-788</v>
      </c>
      <c r="I369" s="24" t="str">
        <f>IFERROR(__xludf.DUMMYFUNCTION("""COMPUTED_VALUE"""),"Xx")</f>
        <v>Xx</v>
      </c>
    </row>
    <row r="370">
      <c r="A370" s="23">
        <f>IFERROR(__xludf.DUMMYFUNCTION("""COMPUTED_VALUE"""),44745.70239712963)</f>
        <v>44745.7024</v>
      </c>
      <c r="B370" s="24" t="str">
        <f>IFERROR(__xludf.DUMMYFUNCTION("""COMPUTED_VALUE"""),"Zoe")</f>
        <v>Zoe</v>
      </c>
      <c r="C370" s="24">
        <f>IFERROR(__xludf.DUMMYFUNCTION("""COMPUTED_VALUE"""),1141.0)</f>
        <v>1141</v>
      </c>
      <c r="D370" s="24" t="str">
        <f>IFERROR(__xludf.DUMMYFUNCTION("""COMPUTED_VALUE"""),"Amazon")</f>
        <v>Amazon</v>
      </c>
      <c r="F370" s="23">
        <f>IFERROR(__xludf.DUMMYFUNCTION("""COMPUTED_VALUE"""),44737.55642876157)</f>
        <v>44737.55643</v>
      </c>
      <c r="G370" s="24" t="str">
        <f>IFERROR(__xludf.DUMMYFUNCTION("""COMPUTED_VALUE"""),"Emily Stucke")</f>
        <v>Emily Stucke</v>
      </c>
      <c r="H370" s="24">
        <f>IFERROR(__xludf.DUMMYFUNCTION("""COMPUTED_VALUE"""),-832.0)</f>
        <v>-832</v>
      </c>
      <c r="I370" s="24" t="str">
        <f>IFERROR(__xludf.DUMMYFUNCTION("""COMPUTED_VALUE"""),"Xx")</f>
        <v>Xx</v>
      </c>
    </row>
    <row r="371">
      <c r="A371" s="23">
        <f>IFERROR(__xludf.DUMMYFUNCTION("""COMPUTED_VALUE"""),44745.70264769676)</f>
        <v>44745.70265</v>
      </c>
      <c r="B371" s="24" t="str">
        <f>IFERROR(__xludf.DUMMYFUNCTION("""COMPUTED_VALUE"""),"Zoe")</f>
        <v>Zoe</v>
      </c>
      <c r="C371" s="24">
        <f>IFERROR(__xludf.DUMMYFUNCTION("""COMPUTED_VALUE"""),690.0)</f>
        <v>690</v>
      </c>
      <c r="D371" s="24" t="str">
        <f>IFERROR(__xludf.DUMMYFUNCTION("""COMPUTED_VALUE"""),"Amazon")</f>
        <v>Amazon</v>
      </c>
      <c r="F371" s="23">
        <f>IFERROR(__xludf.DUMMYFUNCTION("""COMPUTED_VALUE"""),44737.556723981485)</f>
        <v>44737.55672</v>
      </c>
      <c r="G371" s="24" t="str">
        <f>IFERROR(__xludf.DUMMYFUNCTION("""COMPUTED_VALUE"""),"Emily Stucke")</f>
        <v>Emily Stucke</v>
      </c>
      <c r="H371" s="24">
        <f>IFERROR(__xludf.DUMMYFUNCTION("""COMPUTED_VALUE"""),-470.0)</f>
        <v>-470</v>
      </c>
      <c r="I371" s="24" t="str">
        <f>IFERROR(__xludf.DUMMYFUNCTION("""COMPUTED_VALUE"""),"Xx")</f>
        <v>Xx</v>
      </c>
    </row>
    <row r="372">
      <c r="A372" s="23">
        <f>IFERROR(__xludf.DUMMYFUNCTION("""COMPUTED_VALUE"""),44748.771788356484)</f>
        <v>44748.77179</v>
      </c>
      <c r="B372" s="24" t="str">
        <f>IFERROR(__xludf.DUMMYFUNCTION("""COMPUTED_VALUE"""),"Claire")</f>
        <v>Claire</v>
      </c>
      <c r="C372" s="24">
        <f>IFERROR(__xludf.DUMMYFUNCTION("""COMPUTED_VALUE"""),235.0)</f>
        <v>235</v>
      </c>
      <c r="D372" s="24" t="str">
        <f>IFERROR(__xludf.DUMMYFUNCTION("""COMPUTED_VALUE"""),"Amazon")</f>
        <v>Amazon</v>
      </c>
      <c r="F372" s="23">
        <f>IFERROR(__xludf.DUMMYFUNCTION("""COMPUTED_VALUE"""),44737.55718783565)</f>
        <v>44737.55719</v>
      </c>
      <c r="G372" s="24" t="str">
        <f>IFERROR(__xludf.DUMMYFUNCTION("""COMPUTED_VALUE"""),"Emily Stucke")</f>
        <v>Emily Stucke</v>
      </c>
      <c r="H372" s="24">
        <f>IFERROR(__xludf.DUMMYFUNCTION("""COMPUTED_VALUE"""),788.0)</f>
        <v>788</v>
      </c>
      <c r="I372" s="24" t="str">
        <f>IFERROR(__xludf.DUMMYFUNCTION("""COMPUTED_VALUE"""),"Frozen")</f>
        <v>Frozen</v>
      </c>
    </row>
    <row r="373">
      <c r="A373" s="23">
        <f>IFERROR(__xludf.DUMMYFUNCTION("""COMPUTED_VALUE"""),44748.772032361114)</f>
        <v>44748.77203</v>
      </c>
      <c r="B373" s="24" t="str">
        <f>IFERROR(__xludf.DUMMYFUNCTION("""COMPUTED_VALUE"""),"Claire")</f>
        <v>Claire</v>
      </c>
      <c r="C373" s="24">
        <f>IFERROR(__xludf.DUMMYFUNCTION("""COMPUTED_VALUE"""),839.0)</f>
        <v>839</v>
      </c>
      <c r="D373" s="24" t="str">
        <f>IFERROR(__xludf.DUMMYFUNCTION("""COMPUTED_VALUE"""),"Amazon")</f>
        <v>Amazon</v>
      </c>
      <c r="F373" s="23">
        <f>IFERROR(__xludf.DUMMYFUNCTION("""COMPUTED_VALUE"""),44737.55743832176)</f>
        <v>44737.55744</v>
      </c>
      <c r="G373" s="24" t="str">
        <f>IFERROR(__xludf.DUMMYFUNCTION("""COMPUTED_VALUE"""),"Emily Stucke")</f>
        <v>Emily Stucke</v>
      </c>
      <c r="H373" s="24">
        <f>IFERROR(__xludf.DUMMYFUNCTION("""COMPUTED_VALUE"""),832.0)</f>
        <v>832</v>
      </c>
      <c r="I373" s="24" t="str">
        <f>IFERROR(__xludf.DUMMYFUNCTION("""COMPUTED_VALUE"""),"Frozen")</f>
        <v>Frozen</v>
      </c>
    </row>
    <row r="374">
      <c r="A374" s="23">
        <f>IFERROR(__xludf.DUMMYFUNCTION("""COMPUTED_VALUE"""),44748.77227306712)</f>
        <v>44748.77227</v>
      </c>
      <c r="B374" s="24" t="str">
        <f>IFERROR(__xludf.DUMMYFUNCTION("""COMPUTED_VALUE"""),"Claire")</f>
        <v>Claire</v>
      </c>
      <c r="C374" s="24">
        <f>IFERROR(__xludf.DUMMYFUNCTION("""COMPUTED_VALUE"""),796.0)</f>
        <v>796</v>
      </c>
      <c r="D374" s="24" t="str">
        <f>IFERROR(__xludf.DUMMYFUNCTION("""COMPUTED_VALUE"""),"Amazon")</f>
        <v>Amazon</v>
      </c>
      <c r="F374" s="23">
        <f>IFERROR(__xludf.DUMMYFUNCTION("""COMPUTED_VALUE"""),44737.558014282404)</f>
        <v>44737.55801</v>
      </c>
      <c r="G374" s="24" t="str">
        <f>IFERROR(__xludf.DUMMYFUNCTION("""COMPUTED_VALUE"""),"Emily Stucke")</f>
        <v>Emily Stucke</v>
      </c>
      <c r="H374" s="24">
        <f>IFERROR(__xludf.DUMMYFUNCTION("""COMPUTED_VALUE"""),470.0)</f>
        <v>470</v>
      </c>
      <c r="I374" s="24" t="str">
        <f>IFERROR(__xludf.DUMMYFUNCTION("""COMPUTED_VALUE"""),"Frozen")</f>
        <v>Frozen</v>
      </c>
    </row>
    <row r="375">
      <c r="A375" s="23">
        <f>IFERROR(__xludf.DUMMYFUNCTION("""COMPUTED_VALUE"""),44748.77250958333)</f>
        <v>44748.77251</v>
      </c>
      <c r="B375" s="24" t="str">
        <f>IFERROR(__xludf.DUMMYFUNCTION("""COMPUTED_VALUE"""),"Claire")</f>
        <v>Claire</v>
      </c>
      <c r="C375" s="24">
        <f>IFERROR(__xludf.DUMMYFUNCTION("""COMPUTED_VALUE"""),868.0)</f>
        <v>868</v>
      </c>
      <c r="D375" s="24" t="str">
        <f>IFERROR(__xludf.DUMMYFUNCTION("""COMPUTED_VALUE"""),"Amazon")</f>
        <v>Amazon</v>
      </c>
      <c r="F375" s="23">
        <f>IFERROR(__xludf.DUMMYFUNCTION("""COMPUTED_VALUE"""),44737.55876443287)</f>
        <v>44737.55876</v>
      </c>
      <c r="G375" s="24" t="str">
        <f>IFERROR(__xludf.DUMMYFUNCTION("""COMPUTED_VALUE"""),"Emily Stucke")</f>
        <v>Emily Stucke</v>
      </c>
      <c r="H375" s="24">
        <f>IFERROR(__xludf.DUMMYFUNCTION("""COMPUTED_VALUE"""),389.0)</f>
        <v>389</v>
      </c>
      <c r="I375" s="24" t="str">
        <f>IFERROR(__xludf.DUMMYFUNCTION("""COMPUTED_VALUE"""),"Produce")</f>
        <v>Produce</v>
      </c>
    </row>
    <row r="376">
      <c r="A376" s="23">
        <f>IFERROR(__xludf.DUMMYFUNCTION("""COMPUTED_VALUE"""),44748.772690185186)</f>
        <v>44748.77269</v>
      </c>
      <c r="B376" s="24" t="str">
        <f>IFERROR(__xludf.DUMMYFUNCTION("""COMPUTED_VALUE"""),"Claire")</f>
        <v>Claire</v>
      </c>
      <c r="C376" s="24">
        <f>IFERROR(__xludf.DUMMYFUNCTION("""COMPUTED_VALUE"""),410.0)</f>
        <v>410</v>
      </c>
      <c r="D376" s="24" t="str">
        <f>IFERROR(__xludf.DUMMYFUNCTION("""COMPUTED_VALUE"""),"Amazon")</f>
        <v>Amazon</v>
      </c>
      <c r="F376" s="23">
        <f>IFERROR(__xludf.DUMMYFUNCTION("""COMPUTED_VALUE"""),44737.558971956016)</f>
        <v>44737.55897</v>
      </c>
      <c r="G376" s="24" t="str">
        <f>IFERROR(__xludf.DUMMYFUNCTION("""COMPUTED_VALUE"""),"Emily Stucke")</f>
        <v>Emily Stucke</v>
      </c>
      <c r="H376" s="24">
        <f>IFERROR(__xludf.DUMMYFUNCTION("""COMPUTED_VALUE"""),-389.0)</f>
        <v>-389</v>
      </c>
      <c r="I376" s="24" t="str">
        <f>IFERROR(__xludf.DUMMYFUNCTION("""COMPUTED_VALUE"""),"Xx")</f>
        <v>Xx</v>
      </c>
    </row>
    <row r="377">
      <c r="A377" s="23">
        <f>IFERROR(__xludf.DUMMYFUNCTION("""COMPUTED_VALUE"""),44748.77286753472)</f>
        <v>44748.77287</v>
      </c>
      <c r="B377" s="24" t="str">
        <f>IFERROR(__xludf.DUMMYFUNCTION("""COMPUTED_VALUE"""),"Claire")</f>
        <v>Claire</v>
      </c>
      <c r="C377" s="24">
        <f>IFERROR(__xludf.DUMMYFUNCTION("""COMPUTED_VALUE"""),926.0)</f>
        <v>926</v>
      </c>
      <c r="D377" s="24" t="str">
        <f>IFERROR(__xludf.DUMMYFUNCTION("""COMPUTED_VALUE"""),"Amazon")</f>
        <v>Amazon</v>
      </c>
      <c r="F377" s="23">
        <f>IFERROR(__xludf.DUMMYFUNCTION("""COMPUTED_VALUE"""),44737.55970071759)</f>
        <v>44737.5597</v>
      </c>
      <c r="G377" s="24" t="str">
        <f>IFERROR(__xludf.DUMMYFUNCTION("""COMPUTED_VALUE"""),"Emily Stucke")</f>
        <v>Emily Stucke</v>
      </c>
      <c r="H377" s="24">
        <f>IFERROR(__xludf.DUMMYFUNCTION("""COMPUTED_VALUE"""),-398.0)</f>
        <v>-398</v>
      </c>
      <c r="I377" s="24" t="str">
        <f>IFERROR(__xludf.DUMMYFUNCTION("""COMPUTED_VALUE"""),"Xx")</f>
        <v>Xx</v>
      </c>
    </row>
    <row r="378">
      <c r="A378" s="23">
        <f>IFERROR(__xludf.DUMMYFUNCTION("""COMPUTED_VALUE"""),44748.773069814815)</f>
        <v>44748.77307</v>
      </c>
      <c r="B378" s="24" t="str">
        <f>IFERROR(__xludf.DUMMYFUNCTION("""COMPUTED_VALUE"""),"Claire")</f>
        <v>Claire</v>
      </c>
      <c r="C378" s="24">
        <f>IFERROR(__xludf.DUMMYFUNCTION("""COMPUTED_VALUE"""),513.0)</f>
        <v>513</v>
      </c>
      <c r="D378" s="24" t="str">
        <f>IFERROR(__xludf.DUMMYFUNCTION("""COMPUTED_VALUE"""),"Amazon")</f>
        <v>Amazon</v>
      </c>
      <c r="F378" s="23">
        <f>IFERROR(__xludf.DUMMYFUNCTION("""COMPUTED_VALUE"""),44737.559926828704)</f>
        <v>44737.55993</v>
      </c>
      <c r="G378" s="24" t="str">
        <f>IFERROR(__xludf.DUMMYFUNCTION("""COMPUTED_VALUE"""),"Emily Stucke")</f>
        <v>Emily Stucke</v>
      </c>
      <c r="H378" s="24">
        <f>IFERROR(__xludf.DUMMYFUNCTION("""COMPUTED_VALUE"""),398.0)</f>
        <v>398</v>
      </c>
      <c r="I378" s="24" t="str">
        <f>IFERROR(__xludf.DUMMYFUNCTION("""COMPUTED_VALUE"""),"Produce")</f>
        <v>Produce</v>
      </c>
    </row>
    <row r="379">
      <c r="A379" s="23">
        <f>IFERROR(__xludf.DUMMYFUNCTION("""COMPUTED_VALUE"""),44748.773562291666)</f>
        <v>44748.77356</v>
      </c>
      <c r="B379" s="24" t="str">
        <f>IFERROR(__xludf.DUMMYFUNCTION("""COMPUTED_VALUE"""),"Claire")</f>
        <v>Claire</v>
      </c>
      <c r="C379" s="24">
        <f>IFERROR(__xludf.DUMMYFUNCTION("""COMPUTED_VALUE"""),503.0)</f>
        <v>503</v>
      </c>
      <c r="D379" s="24" t="str">
        <f>IFERROR(__xludf.DUMMYFUNCTION("""COMPUTED_VALUE"""),"Amazon")</f>
        <v>Amazon</v>
      </c>
      <c r="F379" s="23">
        <f>IFERROR(__xludf.DUMMYFUNCTION("""COMPUTED_VALUE"""),44737.69070788194)</f>
        <v>44737.69071</v>
      </c>
      <c r="G379" s="24" t="str">
        <f>IFERROR(__xludf.DUMMYFUNCTION("""COMPUTED_VALUE"""),"Claire")</f>
        <v>Claire</v>
      </c>
      <c r="H379" s="24">
        <f>IFERROR(__xludf.DUMMYFUNCTION("""COMPUTED_VALUE"""),878.0)</f>
        <v>878</v>
      </c>
      <c r="I379" s="24" t="str">
        <f>IFERROR(__xludf.DUMMYFUNCTION("""COMPUTED_VALUE"""),"Amazon")</f>
        <v>Amazon</v>
      </c>
    </row>
    <row r="380">
      <c r="A380" s="23">
        <f>IFERROR(__xludf.DUMMYFUNCTION("""COMPUTED_VALUE"""),44748.77375050926)</f>
        <v>44748.77375</v>
      </c>
      <c r="B380" s="24" t="str">
        <f>IFERROR(__xludf.DUMMYFUNCTION("""COMPUTED_VALUE"""),"Claire")</f>
        <v>Claire</v>
      </c>
      <c r="C380" s="24">
        <f>IFERROR(__xludf.DUMMYFUNCTION("""COMPUTED_VALUE"""),907.0)</f>
        <v>907</v>
      </c>
      <c r="D380" s="24" t="str">
        <f>IFERROR(__xludf.DUMMYFUNCTION("""COMPUTED_VALUE"""),"Amazon")</f>
        <v>Amazon</v>
      </c>
      <c r="F380" s="23">
        <f>IFERROR(__xludf.DUMMYFUNCTION("""COMPUTED_VALUE"""),44737.69103436343)</f>
        <v>44737.69103</v>
      </c>
      <c r="G380" s="24" t="str">
        <f>IFERROR(__xludf.DUMMYFUNCTION("""COMPUTED_VALUE"""),"Claire")</f>
        <v>Claire</v>
      </c>
      <c r="H380" s="24">
        <f>IFERROR(__xludf.DUMMYFUNCTION("""COMPUTED_VALUE"""),569.0)</f>
        <v>569</v>
      </c>
      <c r="I380" s="24" t="str">
        <f>IFERROR(__xludf.DUMMYFUNCTION("""COMPUTED_VALUE"""),"Amazon")</f>
        <v>Amazon</v>
      </c>
    </row>
    <row r="381">
      <c r="A381" s="23">
        <f>IFERROR(__xludf.DUMMYFUNCTION("""COMPUTED_VALUE"""),44748.77392975694)</f>
        <v>44748.77393</v>
      </c>
      <c r="B381" s="24" t="str">
        <f>IFERROR(__xludf.DUMMYFUNCTION("""COMPUTED_VALUE"""),"Claire")</f>
        <v>Claire</v>
      </c>
      <c r="C381" s="24">
        <f>IFERROR(__xludf.DUMMYFUNCTION("""COMPUTED_VALUE"""),358.0)</f>
        <v>358</v>
      </c>
      <c r="D381" s="24" t="str">
        <f>IFERROR(__xludf.DUMMYFUNCTION("""COMPUTED_VALUE"""),"Amazon")</f>
        <v>Amazon</v>
      </c>
      <c r="F381" s="23">
        <f>IFERROR(__xludf.DUMMYFUNCTION("""COMPUTED_VALUE"""),44737.69124579861)</f>
        <v>44737.69125</v>
      </c>
      <c r="G381" s="24" t="str">
        <f>IFERROR(__xludf.DUMMYFUNCTION("""COMPUTED_VALUE"""),"Claire")</f>
        <v>Claire</v>
      </c>
      <c r="H381" s="24">
        <f>IFERROR(__xludf.DUMMYFUNCTION("""COMPUTED_VALUE"""),1666.0)</f>
        <v>1666</v>
      </c>
      <c r="I381" s="24" t="str">
        <f>IFERROR(__xludf.DUMMYFUNCTION("""COMPUTED_VALUE"""),"Amazon")</f>
        <v>Amazon</v>
      </c>
    </row>
    <row r="382">
      <c r="A382" s="23">
        <f>IFERROR(__xludf.DUMMYFUNCTION("""COMPUTED_VALUE"""),44748.774097615744)</f>
        <v>44748.7741</v>
      </c>
      <c r="B382" s="24" t="str">
        <f>IFERROR(__xludf.DUMMYFUNCTION("""COMPUTED_VALUE"""),"Claire")</f>
        <v>Claire</v>
      </c>
      <c r="C382" s="24">
        <f>IFERROR(__xludf.DUMMYFUNCTION("""COMPUTED_VALUE"""),543.0)</f>
        <v>543</v>
      </c>
      <c r="D382" s="24" t="str">
        <f>IFERROR(__xludf.DUMMYFUNCTION("""COMPUTED_VALUE"""),"Amazon")</f>
        <v>Amazon</v>
      </c>
      <c r="F382" s="23">
        <f>IFERROR(__xludf.DUMMYFUNCTION("""COMPUTED_VALUE"""),44737.69141290509)</f>
        <v>44737.69141</v>
      </c>
      <c r="G382" s="24" t="str">
        <f>IFERROR(__xludf.DUMMYFUNCTION("""COMPUTED_VALUE"""),"Claire")</f>
        <v>Claire</v>
      </c>
      <c r="H382" s="24">
        <f>IFERROR(__xludf.DUMMYFUNCTION("""COMPUTED_VALUE"""),452.0)</f>
        <v>452</v>
      </c>
      <c r="I382" s="24" t="str">
        <f>IFERROR(__xludf.DUMMYFUNCTION("""COMPUTED_VALUE"""),"Amazon")</f>
        <v>Amazon</v>
      </c>
    </row>
    <row r="383">
      <c r="A383" s="23">
        <f>IFERROR(__xludf.DUMMYFUNCTION("""COMPUTED_VALUE"""),44748.77426626157)</f>
        <v>44748.77427</v>
      </c>
      <c r="B383" s="24" t="str">
        <f>IFERROR(__xludf.DUMMYFUNCTION("""COMPUTED_VALUE"""),"Claire")</f>
        <v>Claire</v>
      </c>
      <c r="C383" s="24">
        <f>IFERROR(__xludf.DUMMYFUNCTION("""COMPUTED_VALUE"""),712.0)</f>
        <v>712</v>
      </c>
      <c r="D383" s="24" t="str">
        <f>IFERROR(__xludf.DUMMYFUNCTION("""COMPUTED_VALUE"""),"Amazon")</f>
        <v>Amazon</v>
      </c>
      <c r="F383" s="23">
        <f>IFERROR(__xludf.DUMMYFUNCTION("""COMPUTED_VALUE"""),44737.69432971064)</f>
        <v>44737.69433</v>
      </c>
      <c r="G383" s="24" t="str">
        <f>IFERROR(__xludf.DUMMYFUNCTION("""COMPUTED_VALUE"""),"Claire")</f>
        <v>Claire</v>
      </c>
      <c r="H383" s="24">
        <f>IFERROR(__xludf.DUMMYFUNCTION("""COMPUTED_VALUE"""),48.0)</f>
        <v>48</v>
      </c>
      <c r="I383" s="24" t="str">
        <f>IFERROR(__xludf.DUMMYFUNCTION("""COMPUTED_VALUE"""),"Meat")</f>
        <v>Meat</v>
      </c>
    </row>
    <row r="384">
      <c r="A384" s="23">
        <f>IFERROR(__xludf.DUMMYFUNCTION("""COMPUTED_VALUE"""),44752.0)</f>
        <v>44752</v>
      </c>
      <c r="B384" s="24" t="str">
        <f>IFERROR(__xludf.DUMMYFUNCTION("""COMPUTED_VALUE"""),"Claire")</f>
        <v>Claire</v>
      </c>
      <c r="C384" s="24">
        <f>IFERROR(__xludf.DUMMYFUNCTION("""COMPUTED_VALUE"""),35.0)</f>
        <v>35</v>
      </c>
      <c r="D384" s="24" t="str">
        <f>IFERROR(__xludf.DUMMYFUNCTION("""COMPUTED_VALUE"""),"Ausar’s Food donations")</f>
        <v>Ausar’s Food donations</v>
      </c>
      <c r="F384" s="23">
        <f>IFERROR(__xludf.DUMMYFUNCTION("""COMPUTED_VALUE"""),44737.69459554398)</f>
        <v>44737.6946</v>
      </c>
      <c r="G384" s="24" t="str">
        <f>IFERROR(__xludf.DUMMYFUNCTION("""COMPUTED_VALUE"""),"Claire")</f>
        <v>Claire</v>
      </c>
      <c r="H384" s="24">
        <f>IFERROR(__xludf.DUMMYFUNCTION("""COMPUTED_VALUE"""),-323.0)</f>
        <v>-323</v>
      </c>
      <c r="I384" s="24" t="str">
        <f>IFERROR(__xludf.DUMMYFUNCTION("""COMPUTED_VALUE"""),"Frozen")</f>
        <v>Frozen</v>
      </c>
    </row>
    <row r="385">
      <c r="A385" s="23">
        <f>IFERROR(__xludf.DUMMYFUNCTION("""COMPUTED_VALUE"""),44752.64483253472)</f>
        <v>44752.64483</v>
      </c>
      <c r="B385" s="24" t="str">
        <f>IFERROR(__xludf.DUMMYFUNCTION("""COMPUTED_VALUE"""),"Ausar")</f>
        <v>Ausar</v>
      </c>
      <c r="C385" s="24">
        <f>IFERROR(__xludf.DUMMYFUNCTION("""COMPUTED_VALUE"""),832.0)</f>
        <v>832</v>
      </c>
      <c r="D385" s="24" t="str">
        <f>IFERROR(__xludf.DUMMYFUNCTION("""COMPUTED_VALUE"""),"Amazon")</f>
        <v>Amazon</v>
      </c>
      <c r="F385" s="23">
        <f>IFERROR(__xludf.DUMMYFUNCTION("""COMPUTED_VALUE"""),44737.694915775464)</f>
        <v>44737.69492</v>
      </c>
      <c r="G385" s="24" t="str">
        <f>IFERROR(__xludf.DUMMYFUNCTION("""COMPUTED_VALUE"""),"Claire")</f>
        <v>Claire</v>
      </c>
      <c r="H385" s="24">
        <f>IFERROR(__xludf.DUMMYFUNCTION("""COMPUTED_VALUE"""),254.0)</f>
        <v>254</v>
      </c>
      <c r="I385" s="24" t="str">
        <f>IFERROR(__xludf.DUMMYFUNCTION("""COMPUTED_VALUE"""),"Meat")</f>
        <v>Meat</v>
      </c>
    </row>
    <row r="386">
      <c r="A386" s="23">
        <f>IFERROR(__xludf.DUMMYFUNCTION("""COMPUTED_VALUE"""),44752.645127881944)</f>
        <v>44752.64513</v>
      </c>
      <c r="B386" s="24" t="str">
        <f>IFERROR(__xludf.DUMMYFUNCTION("""COMPUTED_VALUE"""),"Ausar")</f>
        <v>Ausar</v>
      </c>
      <c r="C386" s="24">
        <f>IFERROR(__xludf.DUMMYFUNCTION("""COMPUTED_VALUE"""),888.0)</f>
        <v>888</v>
      </c>
      <c r="D386" s="24" t="str">
        <f>IFERROR(__xludf.DUMMYFUNCTION("""COMPUTED_VALUE"""),"Amazon")</f>
        <v>Amazon</v>
      </c>
      <c r="F386" s="23">
        <f>IFERROR(__xludf.DUMMYFUNCTION("""COMPUTED_VALUE"""),44737.709305787044)</f>
        <v>44737.70931</v>
      </c>
      <c r="G386" s="24" t="str">
        <f>IFERROR(__xludf.DUMMYFUNCTION("""COMPUTED_VALUE"""),"Cybil Bailey")</f>
        <v>Cybil Bailey</v>
      </c>
      <c r="H386" s="24">
        <f>IFERROR(__xludf.DUMMYFUNCTION("""COMPUTED_VALUE"""),5.0)</f>
        <v>5</v>
      </c>
      <c r="I386" s="24"/>
    </row>
    <row r="387">
      <c r="A387" s="23">
        <f>IFERROR(__xludf.DUMMYFUNCTION("""COMPUTED_VALUE"""),44752.6453833912)</f>
        <v>44752.64538</v>
      </c>
      <c r="B387" s="24" t="str">
        <f>IFERROR(__xludf.DUMMYFUNCTION("""COMPUTED_VALUE"""),"Amazon ")</f>
        <v>Amazon </v>
      </c>
      <c r="C387" s="24">
        <f>IFERROR(__xludf.DUMMYFUNCTION("""COMPUTED_VALUE"""),954.0)</f>
        <v>954</v>
      </c>
      <c r="D387" s="24" t="str">
        <f>IFERROR(__xludf.DUMMYFUNCTION("""COMPUTED_VALUE"""),"Amazon")</f>
        <v>Amazon</v>
      </c>
      <c r="F387" s="23">
        <f>IFERROR(__xludf.DUMMYFUNCTION("""COMPUTED_VALUE"""),44737.7094657176)</f>
        <v>44737.70947</v>
      </c>
      <c r="G387" s="24" t="str">
        <f>IFERROR(__xludf.DUMMYFUNCTION("""COMPUTED_VALUE"""),"Cybil Bailey")</f>
        <v>Cybil Bailey</v>
      </c>
      <c r="H387" s="24">
        <f>IFERROR(__xludf.DUMMYFUNCTION("""COMPUTED_VALUE"""),3.0)</f>
        <v>3</v>
      </c>
      <c r="I387" s="24"/>
    </row>
    <row r="388">
      <c r="A388" s="23">
        <f>IFERROR(__xludf.DUMMYFUNCTION("""COMPUTED_VALUE"""),44754.66051446759)</f>
        <v>44754.66051</v>
      </c>
      <c r="B388" s="24" t="str">
        <f>IFERROR(__xludf.DUMMYFUNCTION("""COMPUTED_VALUE"""),"Jean")</f>
        <v>Jean</v>
      </c>
      <c r="C388" s="24">
        <f>IFERROR(__xludf.DUMMYFUNCTION("""COMPUTED_VALUE"""),669.0)</f>
        <v>669</v>
      </c>
      <c r="D388" s="24" t="str">
        <f>IFERROR(__xludf.DUMMYFUNCTION("""COMPUTED_VALUE"""),"First fruits farm")</f>
        <v>First fruits farm</v>
      </c>
      <c r="F388" s="23">
        <f>IFERROR(__xludf.DUMMYFUNCTION("""COMPUTED_VALUE"""),44737.710152060194)</f>
        <v>44737.71015</v>
      </c>
      <c r="G388" s="24" t="str">
        <f>IFERROR(__xludf.DUMMYFUNCTION("""COMPUTED_VALUE"""),"nathan ")</f>
        <v>nathan </v>
      </c>
      <c r="H388" s="24">
        <f>IFERROR(__xludf.DUMMYFUNCTION("""COMPUTED_VALUE"""),18.0)</f>
        <v>18</v>
      </c>
      <c r="I388" s="24"/>
    </row>
    <row r="389">
      <c r="A389" s="23">
        <f>IFERROR(__xludf.DUMMYFUNCTION("""COMPUTED_VALUE"""),44754.661282766196)</f>
        <v>44754.66128</v>
      </c>
      <c r="B389" s="24" t="str">
        <f>IFERROR(__xludf.DUMMYFUNCTION("""COMPUTED_VALUE"""),"Jean")</f>
        <v>Jean</v>
      </c>
      <c r="C389" s="24">
        <f>IFERROR(__xludf.DUMMYFUNCTION("""COMPUTED_VALUE"""),538.0)</f>
        <v>538</v>
      </c>
      <c r="D389" s="24" t="str">
        <f>IFERROR(__xludf.DUMMYFUNCTION("""COMPUTED_VALUE"""),"First fruits farm")</f>
        <v>First fruits farm</v>
      </c>
      <c r="F389" s="23">
        <f>IFERROR(__xludf.DUMMYFUNCTION("""COMPUTED_VALUE"""),44737.71193099538)</f>
        <v>44737.71193</v>
      </c>
      <c r="G389" s="24" t="str">
        <f>IFERROR(__xludf.DUMMYFUNCTION("""COMPUTED_VALUE"""),"Emily Stucke")</f>
        <v>Emily Stucke</v>
      </c>
      <c r="H389" s="24">
        <f>IFERROR(__xludf.DUMMYFUNCTION("""COMPUTED_VALUE"""),7.0)</f>
        <v>7</v>
      </c>
      <c r="I389" s="24"/>
    </row>
    <row r="390">
      <c r="A390" s="23">
        <f>IFERROR(__xludf.DUMMYFUNCTION("""COMPUTED_VALUE"""),44754.66954859954)</f>
        <v>44754.66955</v>
      </c>
      <c r="B390" s="24" t="str">
        <f>IFERROR(__xludf.DUMMYFUNCTION("""COMPUTED_VALUE"""),"Jean")</f>
        <v>Jean</v>
      </c>
      <c r="C390" s="24">
        <f>IFERROR(__xludf.DUMMYFUNCTION("""COMPUTED_VALUE"""),359.0)</f>
        <v>359</v>
      </c>
      <c r="D390" s="24" t="str">
        <f>IFERROR(__xludf.DUMMYFUNCTION("""COMPUTED_VALUE"""),"Walmart")</f>
        <v>Walmart</v>
      </c>
      <c r="F390" s="23">
        <f>IFERROR(__xludf.DUMMYFUNCTION("""COMPUTED_VALUE"""),44737.72144284722)</f>
        <v>44737.72144</v>
      </c>
      <c r="G390" s="24" t="str">
        <f>IFERROR(__xludf.DUMMYFUNCTION("""COMPUTED_VALUE"""),"Brandon ")</f>
        <v>Brandon </v>
      </c>
      <c r="H390" s="24">
        <f>IFERROR(__xludf.DUMMYFUNCTION("""COMPUTED_VALUE"""),23.5)</f>
        <v>23.5</v>
      </c>
      <c r="I390" s="24"/>
    </row>
    <row r="391">
      <c r="A391" s="23">
        <f>IFERROR(__xludf.DUMMYFUNCTION("""COMPUTED_VALUE"""),44754.68111594908)</f>
        <v>44754.68112</v>
      </c>
      <c r="B391" s="24" t="str">
        <f>IFERROR(__xludf.DUMMYFUNCTION("""COMPUTED_VALUE"""),"Jean")</f>
        <v>Jean</v>
      </c>
      <c r="C391" s="24">
        <f>IFERROR(__xludf.DUMMYFUNCTION("""COMPUTED_VALUE"""),41.0)</f>
        <v>41</v>
      </c>
      <c r="D391" s="24" t="str">
        <f>IFERROR(__xludf.DUMMYFUNCTION("""COMPUTED_VALUE"""),"Walmart")</f>
        <v>Walmart</v>
      </c>
      <c r="F391" s="23">
        <f>IFERROR(__xludf.DUMMYFUNCTION("""COMPUTED_VALUE"""),44737.72275651621)</f>
        <v>44737.72276</v>
      </c>
      <c r="G391" s="24" t="str">
        <f>IFERROR(__xludf.DUMMYFUNCTION("""COMPUTED_VALUE"""),"Deborah claridy")</f>
        <v>Deborah claridy</v>
      </c>
      <c r="H391" s="24">
        <f>IFERROR(__xludf.DUMMYFUNCTION("""COMPUTED_VALUE"""),6.0)</f>
        <v>6</v>
      </c>
      <c r="I391" s="24"/>
    </row>
    <row r="392">
      <c r="A392" s="23">
        <f>IFERROR(__xludf.DUMMYFUNCTION("""COMPUTED_VALUE"""),44754.68290486111)</f>
        <v>44754.6829</v>
      </c>
      <c r="B392" s="24" t="str">
        <f>IFERROR(__xludf.DUMMYFUNCTION("""COMPUTED_VALUE"""),"Jean")</f>
        <v>Jean</v>
      </c>
      <c r="C392" s="24">
        <f>IFERROR(__xludf.DUMMYFUNCTION("""COMPUTED_VALUE"""),1208.0)</f>
        <v>1208</v>
      </c>
      <c r="D392" s="24" t="str">
        <f>IFERROR(__xludf.DUMMYFUNCTION("""COMPUTED_VALUE"""),"Walmart")</f>
        <v>Walmart</v>
      </c>
      <c r="F392" s="23">
        <f>IFERROR(__xludf.DUMMYFUNCTION("""COMPUTED_VALUE"""),44737.7228628588)</f>
        <v>44737.72286</v>
      </c>
      <c r="G392" s="24" t="str">
        <f>IFERROR(__xludf.DUMMYFUNCTION("""COMPUTED_VALUE"""),"Thomas aloisi")</f>
        <v>Thomas aloisi</v>
      </c>
      <c r="H392" s="24">
        <f>IFERROR(__xludf.DUMMYFUNCTION("""COMPUTED_VALUE"""),19.0)</f>
        <v>19</v>
      </c>
      <c r="I392" s="24"/>
    </row>
    <row r="393">
      <c r="A393" s="23">
        <f>IFERROR(__xludf.DUMMYFUNCTION("""COMPUTED_VALUE"""),44754.68641702546)</f>
        <v>44754.68642</v>
      </c>
      <c r="B393" s="24" t="str">
        <f>IFERROR(__xludf.DUMMYFUNCTION("""COMPUTED_VALUE"""),"Jean")</f>
        <v>Jean</v>
      </c>
      <c r="C393" s="24">
        <f>IFERROR(__xludf.DUMMYFUNCTION("""COMPUTED_VALUE"""),179.0)</f>
        <v>179</v>
      </c>
      <c r="D393" s="24" t="str">
        <f>IFERROR(__xludf.DUMMYFUNCTION("""COMPUTED_VALUE"""),"Walmart")</f>
        <v>Walmart</v>
      </c>
      <c r="F393" s="23">
        <f>IFERROR(__xludf.DUMMYFUNCTION("""COMPUTED_VALUE"""),44737.723116851856)</f>
        <v>44737.72312</v>
      </c>
      <c r="G393" s="24" t="str">
        <f>IFERROR(__xludf.DUMMYFUNCTION("""COMPUTED_VALUE"""),"Deborah claridy")</f>
        <v>Deborah claridy</v>
      </c>
      <c r="H393" s="24">
        <f>IFERROR(__xludf.DUMMYFUNCTION("""COMPUTED_VALUE"""),8.0)</f>
        <v>8</v>
      </c>
      <c r="I393" s="24"/>
    </row>
    <row r="394">
      <c r="A394" s="23">
        <f>IFERROR(__xludf.DUMMYFUNCTION("""COMPUTED_VALUE"""),44754.692717210644)</f>
        <v>44754.69272</v>
      </c>
      <c r="B394" s="24" t="str">
        <f>IFERROR(__xludf.DUMMYFUNCTION("""COMPUTED_VALUE"""),"Jean")</f>
        <v>Jean</v>
      </c>
      <c r="C394" s="24">
        <f>IFERROR(__xludf.DUMMYFUNCTION("""COMPUTED_VALUE"""),79.0)</f>
        <v>79</v>
      </c>
      <c r="D394" s="24" t="str">
        <f>IFERROR(__xludf.DUMMYFUNCTION("""COMPUTED_VALUE"""),"Walmart")</f>
        <v>Walmart</v>
      </c>
      <c r="F394" s="23">
        <f>IFERROR(__xludf.DUMMYFUNCTION("""COMPUTED_VALUE"""),44737.7231205787)</f>
        <v>44737.72312</v>
      </c>
      <c r="G394" s="24" t="str">
        <f>IFERROR(__xludf.DUMMYFUNCTION("""COMPUTED_VALUE"""),"Expired")</f>
        <v>Expired</v>
      </c>
      <c r="H394" s="24">
        <f>IFERROR(__xludf.DUMMYFUNCTION("""COMPUTED_VALUE"""),3.0)</f>
        <v>3</v>
      </c>
      <c r="I394" s="24"/>
    </row>
    <row r="395">
      <c r="A395" s="23">
        <f>IFERROR(__xludf.DUMMYFUNCTION("""COMPUTED_VALUE"""),44756.60052291667)</f>
        <v>44756.60052</v>
      </c>
      <c r="B395" s="24" t="str">
        <f>IFERROR(__xludf.DUMMYFUNCTION("""COMPUTED_VALUE"""),"JC")</f>
        <v>JC</v>
      </c>
      <c r="C395" s="24">
        <f>IFERROR(__xludf.DUMMYFUNCTION("""COMPUTED_VALUE"""),10.0)</f>
        <v>10</v>
      </c>
      <c r="D395" s="24" t="str">
        <f>IFERROR(__xludf.DUMMYFUNCTION("""COMPUTED_VALUE"""),"UTZ")</f>
        <v>UTZ</v>
      </c>
      <c r="F395" s="23">
        <f>IFERROR(__xludf.DUMMYFUNCTION("""COMPUTED_VALUE"""),44737.72728090278)</f>
        <v>44737.72728</v>
      </c>
      <c r="G395" s="24" t="str">
        <f>IFERROR(__xludf.DUMMYFUNCTION("""COMPUTED_VALUE"""),"Vincent Faulk")</f>
        <v>Vincent Faulk</v>
      </c>
      <c r="H395" s="24">
        <f>IFERROR(__xludf.DUMMYFUNCTION("""COMPUTED_VALUE"""),36.0)</f>
        <v>36</v>
      </c>
      <c r="I395" s="24"/>
    </row>
    <row r="396">
      <c r="A396" s="23">
        <f>IFERROR(__xludf.DUMMYFUNCTION("""COMPUTED_VALUE"""),44757.711343414354)</f>
        <v>44757.71134</v>
      </c>
      <c r="B396" s="24" t="str">
        <f>IFERROR(__xludf.DUMMYFUNCTION("""COMPUTED_VALUE"""),"Claire")</f>
        <v>Claire</v>
      </c>
      <c r="C396" s="24">
        <f>IFERROR(__xludf.DUMMYFUNCTION("""COMPUTED_VALUE"""),1457.0)</f>
        <v>1457</v>
      </c>
      <c r="D396" s="24" t="str">
        <f>IFERROR(__xludf.DUMMYFUNCTION("""COMPUTED_VALUE"""),"Walmart")</f>
        <v>Walmart</v>
      </c>
      <c r="F396" s="23">
        <f>IFERROR(__xludf.DUMMYFUNCTION("""COMPUTED_VALUE"""),44737.72871527778)</f>
        <v>44737.72872</v>
      </c>
      <c r="G396" s="24" t="str">
        <f>IFERROR(__xludf.DUMMYFUNCTION("""COMPUTED_VALUE"""),"Dean Chien")</f>
        <v>Dean Chien</v>
      </c>
      <c r="H396" s="24">
        <f>IFERROR(__xludf.DUMMYFUNCTION("""COMPUTED_VALUE"""),20.0)</f>
        <v>20</v>
      </c>
      <c r="I396" s="24"/>
    </row>
    <row r="397">
      <c r="A397" s="23">
        <f>IFERROR(__xludf.DUMMYFUNCTION("""COMPUTED_VALUE"""),44759.63962368056)</f>
        <v>44759.63962</v>
      </c>
      <c r="B397" s="24" t="str">
        <f>IFERROR(__xludf.DUMMYFUNCTION("""COMPUTED_VALUE"""),"Zoe")</f>
        <v>Zoe</v>
      </c>
      <c r="C397" s="24">
        <f>IFERROR(__xludf.DUMMYFUNCTION("""COMPUTED_VALUE"""),286.0)</f>
        <v>286</v>
      </c>
      <c r="D397" s="24" t="str">
        <f>IFERROR(__xludf.DUMMYFUNCTION("""COMPUTED_VALUE"""),"Amazon")</f>
        <v>Amazon</v>
      </c>
      <c r="F397" s="23">
        <f>IFERROR(__xludf.DUMMYFUNCTION("""COMPUTED_VALUE"""),44737.74045607639)</f>
        <v>44737.74046</v>
      </c>
      <c r="G397" s="24" t="str">
        <f>IFERROR(__xludf.DUMMYFUNCTION("""COMPUTED_VALUE"""),"Juanita Chandler 5 teg")</f>
        <v>Juanita Chandler 5 teg</v>
      </c>
      <c r="H397" s="24">
        <f>IFERROR(__xludf.DUMMYFUNCTION("""COMPUTED_VALUE"""),5.0)</f>
        <v>5</v>
      </c>
      <c r="I397" s="24"/>
    </row>
    <row r="398">
      <c r="A398" s="23">
        <f>IFERROR(__xludf.DUMMYFUNCTION("""COMPUTED_VALUE"""),44759.64463078704)</f>
        <v>44759.64463</v>
      </c>
      <c r="B398" s="24" t="str">
        <f>IFERROR(__xludf.DUMMYFUNCTION("""COMPUTED_VALUE"""),"Zoe")</f>
        <v>Zoe</v>
      </c>
      <c r="C398" s="24">
        <f>IFERROR(__xludf.DUMMYFUNCTION("""COMPUTED_VALUE"""),469.0)</f>
        <v>469</v>
      </c>
      <c r="D398" s="24" t="str">
        <f>IFERROR(__xludf.DUMMYFUNCTION("""COMPUTED_VALUE"""),"Amazon")</f>
        <v>Amazon</v>
      </c>
      <c r="F398" s="23">
        <f>IFERROR(__xludf.DUMMYFUNCTION("""COMPUTED_VALUE"""),44738.0)</f>
        <v>44738</v>
      </c>
      <c r="G398" s="24" t="str">
        <f>IFERROR(__xludf.DUMMYFUNCTION("""COMPUTED_VALUE"""),"Claire")</f>
        <v>Claire</v>
      </c>
      <c r="H398" s="24">
        <f>IFERROR(__xludf.DUMMYFUNCTION("""COMPUTED_VALUE"""),-8.0)</f>
        <v>-8</v>
      </c>
      <c r="I398" s="24" t="str">
        <f>IFERROR(__xludf.DUMMYFUNCTION("""COMPUTED_VALUE"""),"O3")</f>
        <v>O3</v>
      </c>
    </row>
    <row r="399">
      <c r="A399" s="23">
        <f>IFERROR(__xludf.DUMMYFUNCTION("""COMPUTED_VALUE"""),44759.64612474537)</f>
        <v>44759.64612</v>
      </c>
      <c r="B399" s="24" t="str">
        <f>IFERROR(__xludf.DUMMYFUNCTION("""COMPUTED_VALUE"""),"Zoe")</f>
        <v>Zoe</v>
      </c>
      <c r="C399" s="24">
        <f>IFERROR(__xludf.DUMMYFUNCTION("""COMPUTED_VALUE"""),276.0)</f>
        <v>276</v>
      </c>
      <c r="D399" s="24" t="str">
        <f>IFERROR(__xludf.DUMMYFUNCTION("""COMPUTED_VALUE"""),"Amazon")</f>
        <v>Amazon</v>
      </c>
      <c r="F399" s="23">
        <f>IFERROR(__xludf.DUMMYFUNCTION("""COMPUTED_VALUE"""),44738.0)</f>
        <v>44738</v>
      </c>
      <c r="G399" s="24" t="str">
        <f>IFERROR(__xludf.DUMMYFUNCTION("""COMPUTED_VALUE"""),"Claire")</f>
        <v>Claire</v>
      </c>
      <c r="H399" s="24">
        <f>IFERROR(__xludf.DUMMYFUNCTION("""COMPUTED_VALUE"""),-4.0)</f>
        <v>-4</v>
      </c>
      <c r="I399" s="24" t="str">
        <f>IFERROR(__xludf.DUMMYFUNCTION("""COMPUTED_VALUE"""),"P3")</f>
        <v>P3</v>
      </c>
    </row>
    <row r="400">
      <c r="A400" s="23">
        <f>IFERROR(__xludf.DUMMYFUNCTION("""COMPUTED_VALUE"""),44761.72441974537)</f>
        <v>44761.72442</v>
      </c>
      <c r="B400" s="24" t="str">
        <f>IFERROR(__xludf.DUMMYFUNCTION("""COMPUTED_VALUE"""),"First Fruit Farm")</f>
        <v>First Fruit Farm</v>
      </c>
      <c r="C400" s="24">
        <f>IFERROR(__xludf.DUMMYFUNCTION("""COMPUTED_VALUE"""),591.0)</f>
        <v>591</v>
      </c>
      <c r="D400" s="24" t="str">
        <f>IFERROR(__xludf.DUMMYFUNCTION("""COMPUTED_VALUE"""),"First Fruit Farms")</f>
        <v>First Fruit Farms</v>
      </c>
      <c r="F400" s="23">
        <f>IFERROR(__xludf.DUMMYFUNCTION("""COMPUTED_VALUE"""),44738.0)</f>
        <v>44738</v>
      </c>
      <c r="G400" s="24" t="str">
        <f>IFERROR(__xludf.DUMMYFUNCTION("""COMPUTED_VALUE"""),"Claire")</f>
        <v>Claire</v>
      </c>
      <c r="H400" s="24">
        <f>IFERROR(__xludf.DUMMYFUNCTION("""COMPUTED_VALUE"""),-15.0)</f>
        <v>-15</v>
      </c>
      <c r="I400" s="24" t="str">
        <f>IFERROR(__xludf.DUMMYFUNCTION("""COMPUTED_VALUE"""),"XX")</f>
        <v>XX</v>
      </c>
    </row>
    <row r="401">
      <c r="A401" s="23">
        <f>IFERROR(__xludf.DUMMYFUNCTION("""COMPUTED_VALUE"""),44761.72489101852)</f>
        <v>44761.72489</v>
      </c>
      <c r="B401" s="24" t="str">
        <f>IFERROR(__xludf.DUMMYFUNCTION("""COMPUTED_VALUE"""),"First Fruit Farms")</f>
        <v>First Fruit Farms</v>
      </c>
      <c r="C401" s="24">
        <f>IFERROR(__xludf.DUMMYFUNCTION("""COMPUTED_VALUE"""),549.0)</f>
        <v>549</v>
      </c>
      <c r="D401" s="24" t="str">
        <f>IFERROR(__xludf.DUMMYFUNCTION("""COMPUTED_VALUE"""),"First Fruit Farms ")</f>
        <v>First Fruit Farms </v>
      </c>
      <c r="F401" s="23">
        <f>IFERROR(__xludf.DUMMYFUNCTION("""COMPUTED_VALUE"""),44738.0)</f>
        <v>44738</v>
      </c>
      <c r="G401" s="24" t="str">
        <f>IFERROR(__xludf.DUMMYFUNCTION("""COMPUTED_VALUE"""),"Claire")</f>
        <v>Claire</v>
      </c>
      <c r="H401" s="24">
        <f>IFERROR(__xludf.DUMMYFUNCTION("""COMPUTED_VALUE"""),-4.0)</f>
        <v>-4</v>
      </c>
      <c r="I401" s="24" t="str">
        <f>IFERROR(__xludf.DUMMYFUNCTION("""COMPUTED_VALUE"""),"XX")</f>
        <v>XX</v>
      </c>
    </row>
    <row r="402">
      <c r="A402" s="23">
        <f>IFERROR(__xludf.DUMMYFUNCTION("""COMPUTED_VALUE"""),44761.725413263885)</f>
        <v>44761.72541</v>
      </c>
      <c r="B402" s="24" t="str">
        <f>IFERROR(__xludf.DUMMYFUNCTION("""COMPUTED_VALUE"""),"First Fruit Farms ")</f>
        <v>First Fruit Farms </v>
      </c>
      <c r="C402" s="24">
        <f>IFERROR(__xludf.DUMMYFUNCTION("""COMPUTED_VALUE"""),501.0)</f>
        <v>501</v>
      </c>
      <c r="D402" s="24" t="str">
        <f>IFERROR(__xludf.DUMMYFUNCTION("""COMPUTED_VALUE"""),"First Fruit Farms ")</f>
        <v>First Fruit Farms </v>
      </c>
      <c r="F402" s="23">
        <f>IFERROR(__xludf.DUMMYFUNCTION("""COMPUTED_VALUE"""),44738.0)</f>
        <v>44738</v>
      </c>
      <c r="G402" s="24" t="str">
        <f>IFERROR(__xludf.DUMMYFUNCTION("""COMPUTED_VALUE"""),"Claire")</f>
        <v>Claire</v>
      </c>
      <c r="H402" s="24">
        <f>IFERROR(__xludf.DUMMYFUNCTION("""COMPUTED_VALUE"""),-12.0)</f>
        <v>-12</v>
      </c>
      <c r="I402" s="24" t="str">
        <f>IFERROR(__xludf.DUMMYFUNCTION("""COMPUTED_VALUE"""),"XX")</f>
        <v>XX</v>
      </c>
    </row>
    <row r="403">
      <c r="A403" s="23">
        <f>IFERROR(__xludf.DUMMYFUNCTION("""COMPUTED_VALUE"""),44761.726096631945)</f>
        <v>44761.7261</v>
      </c>
      <c r="B403" s="24" t="str">
        <f>IFERROR(__xludf.DUMMYFUNCTION("""COMPUTED_VALUE"""),"First Fruit Farms ")</f>
        <v>First Fruit Farms </v>
      </c>
      <c r="C403" s="24">
        <f>IFERROR(__xludf.DUMMYFUNCTION("""COMPUTED_VALUE"""),479.0)</f>
        <v>479</v>
      </c>
      <c r="D403" s="24" t="str">
        <f>IFERROR(__xludf.DUMMYFUNCTION("""COMPUTED_VALUE"""),"First Fruit Farms ")</f>
        <v>First Fruit Farms </v>
      </c>
      <c r="F403" s="23">
        <f>IFERROR(__xludf.DUMMYFUNCTION("""COMPUTED_VALUE"""),44738.0)</f>
        <v>44738</v>
      </c>
      <c r="G403" s="24" t="str">
        <f>IFERROR(__xludf.DUMMYFUNCTION("""COMPUTED_VALUE"""),"Claire")</f>
        <v>Claire</v>
      </c>
      <c r="H403" s="24">
        <f>IFERROR(__xludf.DUMMYFUNCTION("""COMPUTED_VALUE"""),-32.0)</f>
        <v>-32</v>
      </c>
      <c r="I403" s="24" t="str">
        <f>IFERROR(__xludf.DUMMYFUNCTION("""COMPUTED_VALUE"""),"XX")</f>
        <v>XX</v>
      </c>
    </row>
    <row r="404">
      <c r="A404" s="23">
        <f>IFERROR(__xludf.DUMMYFUNCTION("""COMPUTED_VALUE"""),44762.68104847222)</f>
        <v>44762.68105</v>
      </c>
      <c r="B404" s="24" t="str">
        <f>IFERROR(__xludf.DUMMYFUNCTION("""COMPUTED_VALUE"""),"Ausar ")</f>
        <v>Ausar </v>
      </c>
      <c r="C404" s="24">
        <f>IFERROR(__xludf.DUMMYFUNCTION("""COMPUTED_VALUE"""),257.0)</f>
        <v>257</v>
      </c>
      <c r="D404" s="24" t="str">
        <f>IFERROR(__xludf.DUMMYFUNCTION("""COMPUTED_VALUE"""),"Amazon")</f>
        <v>Amazon</v>
      </c>
      <c r="F404" s="23">
        <f>IFERROR(__xludf.DUMMYFUNCTION("""COMPUTED_VALUE"""),44738.0)</f>
        <v>44738</v>
      </c>
      <c r="G404" s="24" t="str">
        <f>IFERROR(__xludf.DUMMYFUNCTION("""COMPUTED_VALUE"""),"Claire")</f>
        <v>Claire</v>
      </c>
      <c r="H404" s="24">
        <f>IFERROR(__xludf.DUMMYFUNCTION("""COMPUTED_VALUE"""),575.0)</f>
        <v>575</v>
      </c>
      <c r="I404" s="24" t="str">
        <f>IFERROR(__xludf.DUMMYFUNCTION("""COMPUTED_VALUE"""),"I4")</f>
        <v>I4</v>
      </c>
    </row>
    <row r="405">
      <c r="A405" s="23">
        <f>IFERROR(__xludf.DUMMYFUNCTION("""COMPUTED_VALUE"""),44762.681311423614)</f>
        <v>44762.68131</v>
      </c>
      <c r="B405" s="24" t="str">
        <f>IFERROR(__xludf.DUMMYFUNCTION("""COMPUTED_VALUE"""),"Ausar ")</f>
        <v>Ausar </v>
      </c>
      <c r="C405" s="24">
        <f>IFERROR(__xludf.DUMMYFUNCTION("""COMPUTED_VALUE"""),278.0)</f>
        <v>278</v>
      </c>
      <c r="D405" s="24" t="str">
        <f>IFERROR(__xludf.DUMMYFUNCTION("""COMPUTED_VALUE"""),"Amazon")</f>
        <v>Amazon</v>
      </c>
      <c r="F405" s="23">
        <f>IFERROR(__xludf.DUMMYFUNCTION("""COMPUTED_VALUE"""),44738.0)</f>
        <v>44738</v>
      </c>
      <c r="G405" s="24" t="str">
        <f>IFERROR(__xludf.DUMMYFUNCTION("""COMPUTED_VALUE"""),"Claire")</f>
        <v>Claire</v>
      </c>
      <c r="H405" s="24">
        <f>IFERROR(__xludf.DUMMYFUNCTION("""COMPUTED_VALUE"""),186.0)</f>
        <v>186</v>
      </c>
      <c r="I405" s="24" t="str">
        <f>IFERROR(__xludf.DUMMYFUNCTION("""COMPUTED_VALUE"""),"L1")</f>
        <v>L1</v>
      </c>
    </row>
    <row r="406">
      <c r="A406" s="23">
        <f>IFERROR(__xludf.DUMMYFUNCTION("""COMPUTED_VALUE"""),44762.68161748842)</f>
        <v>44762.68162</v>
      </c>
      <c r="B406" s="24" t="str">
        <f>IFERROR(__xludf.DUMMYFUNCTION("""COMPUTED_VALUE"""),"Ausar ")</f>
        <v>Ausar </v>
      </c>
      <c r="C406" s="24">
        <f>IFERROR(__xludf.DUMMYFUNCTION("""COMPUTED_VALUE"""),528.0)</f>
        <v>528</v>
      </c>
      <c r="D406" s="24" t="str">
        <f>IFERROR(__xludf.DUMMYFUNCTION("""COMPUTED_VALUE"""),"Amazon")</f>
        <v>Amazon</v>
      </c>
      <c r="F406" s="23">
        <f>IFERROR(__xludf.DUMMYFUNCTION("""COMPUTED_VALUE"""),44738.0)</f>
        <v>44738</v>
      </c>
      <c r="G406" s="24" t="str">
        <f>IFERROR(__xludf.DUMMYFUNCTION("""COMPUTED_VALUE"""),"Claire")</f>
        <v>Claire</v>
      </c>
      <c r="H406" s="24">
        <f>IFERROR(__xludf.DUMMYFUNCTION("""COMPUTED_VALUE"""),-227.0)</f>
        <v>-227</v>
      </c>
      <c r="I406" s="24" t="str">
        <f>IFERROR(__xludf.DUMMYFUNCTION("""COMPUTED_VALUE"""),"XX")</f>
        <v>XX</v>
      </c>
    </row>
    <row r="407">
      <c r="A407" s="23">
        <f>IFERROR(__xludf.DUMMYFUNCTION("""COMPUTED_VALUE"""),44762.68194303241)</f>
        <v>44762.68194</v>
      </c>
      <c r="B407" s="24" t="str">
        <f>IFERROR(__xludf.DUMMYFUNCTION("""COMPUTED_VALUE"""),"Ausar ")</f>
        <v>Ausar </v>
      </c>
      <c r="C407" s="24">
        <f>IFERROR(__xludf.DUMMYFUNCTION("""COMPUTED_VALUE"""),755.0)</f>
        <v>755</v>
      </c>
      <c r="D407" s="24" t="str">
        <f>IFERROR(__xludf.DUMMYFUNCTION("""COMPUTED_VALUE"""),"Amazon")</f>
        <v>Amazon</v>
      </c>
      <c r="F407" s="23">
        <f>IFERROR(__xludf.DUMMYFUNCTION("""COMPUTED_VALUE"""),44738.0)</f>
        <v>44738</v>
      </c>
      <c r="G407" s="24" t="str">
        <f>IFERROR(__xludf.DUMMYFUNCTION("""COMPUTED_VALUE"""),"Claire")</f>
        <v>Claire</v>
      </c>
      <c r="H407" s="24">
        <f>IFERROR(__xludf.DUMMYFUNCTION("""COMPUTED_VALUE"""),-323.0)</f>
        <v>-323</v>
      </c>
      <c r="I407" s="24" t="str">
        <f>IFERROR(__xludf.DUMMYFUNCTION("""COMPUTED_VALUE"""),"XX")</f>
        <v>XX</v>
      </c>
    </row>
    <row r="408">
      <c r="A408" s="23">
        <f>IFERROR(__xludf.DUMMYFUNCTION("""COMPUTED_VALUE"""),44762.682248668985)</f>
        <v>44762.68225</v>
      </c>
      <c r="B408" s="24" t="str">
        <f>IFERROR(__xludf.DUMMYFUNCTION("""COMPUTED_VALUE"""),"Ausar ")</f>
        <v>Ausar </v>
      </c>
      <c r="C408" s="24">
        <f>IFERROR(__xludf.DUMMYFUNCTION("""COMPUTED_VALUE"""),95.0)</f>
        <v>95</v>
      </c>
      <c r="D408" s="24" t="str">
        <f>IFERROR(__xludf.DUMMYFUNCTION("""COMPUTED_VALUE"""),"Amazon")</f>
        <v>Amazon</v>
      </c>
      <c r="F408" s="23">
        <f>IFERROR(__xludf.DUMMYFUNCTION("""COMPUTED_VALUE"""),44738.0)</f>
        <v>44738</v>
      </c>
      <c r="G408" s="24" t="str">
        <f>IFERROR(__xludf.DUMMYFUNCTION("""COMPUTED_VALUE"""),"Claire")</f>
        <v>Claire</v>
      </c>
      <c r="H408" s="24">
        <f>IFERROR(__xludf.DUMMYFUNCTION("""COMPUTED_VALUE"""),-120.0)</f>
        <v>-120</v>
      </c>
      <c r="I408" s="24" t="str">
        <f>IFERROR(__xludf.DUMMYFUNCTION("""COMPUTED_VALUE"""),"XX")</f>
        <v>XX</v>
      </c>
    </row>
    <row r="409">
      <c r="A409" s="23">
        <f>IFERROR(__xludf.DUMMYFUNCTION("""COMPUTED_VALUE"""),44763.0)</f>
        <v>44763</v>
      </c>
      <c r="B409" s="24" t="str">
        <f>IFERROR(__xludf.DUMMYFUNCTION("""COMPUTED_VALUE"""),"Claire")</f>
        <v>Claire</v>
      </c>
      <c r="C409" s="24">
        <f>IFERROR(__xludf.DUMMYFUNCTION("""COMPUTED_VALUE"""),611.0)</f>
        <v>611</v>
      </c>
      <c r="D409" s="24" t="str">
        <f>IFERROR(__xludf.DUMMYFUNCTION("""COMPUTED_VALUE"""),"Walmart")</f>
        <v>Walmart</v>
      </c>
      <c r="F409" s="23">
        <f>IFERROR(__xludf.DUMMYFUNCTION("""COMPUTED_VALUE"""),44738.0)</f>
        <v>44738</v>
      </c>
      <c r="G409" s="24" t="str">
        <f>IFERROR(__xludf.DUMMYFUNCTION("""COMPUTED_VALUE"""),"Claire")</f>
        <v>Claire</v>
      </c>
      <c r="H409" s="24">
        <f>IFERROR(__xludf.DUMMYFUNCTION("""COMPUTED_VALUE"""),-444.0)</f>
        <v>-444</v>
      </c>
      <c r="I409" s="24" t="str">
        <f>IFERROR(__xludf.DUMMYFUNCTION("""COMPUTED_VALUE"""),"XX")</f>
        <v>XX</v>
      </c>
    </row>
    <row r="410">
      <c r="A410" s="23">
        <f>IFERROR(__xludf.DUMMYFUNCTION("""COMPUTED_VALUE"""),44763.0)</f>
        <v>44763</v>
      </c>
      <c r="B410" s="24" t="str">
        <f>IFERROR(__xludf.DUMMYFUNCTION("""COMPUTED_VALUE"""),"Claire")</f>
        <v>Claire</v>
      </c>
      <c r="C410" s="24">
        <f>IFERROR(__xludf.DUMMYFUNCTION("""COMPUTED_VALUE"""),1571.0)</f>
        <v>1571</v>
      </c>
      <c r="D410" s="24" t="str">
        <f>IFERROR(__xludf.DUMMYFUNCTION("""COMPUTED_VALUE"""),"Walmart")</f>
        <v>Walmart</v>
      </c>
      <c r="F410" s="23">
        <f>IFERROR(__xludf.DUMMYFUNCTION("""COMPUTED_VALUE"""),44738.0)</f>
        <v>44738</v>
      </c>
      <c r="G410" s="24" t="str">
        <f>IFERROR(__xludf.DUMMYFUNCTION("""COMPUTED_VALUE"""),"Claire")</f>
        <v>Claire</v>
      </c>
      <c r="H410" s="24">
        <f>IFERROR(__xludf.DUMMYFUNCTION("""COMPUTED_VALUE"""),-439.0)</f>
        <v>-439</v>
      </c>
      <c r="I410" s="24" t="str">
        <f>IFERROR(__xludf.DUMMYFUNCTION("""COMPUTED_VALUE"""),"XX")</f>
        <v>XX</v>
      </c>
    </row>
    <row r="411">
      <c r="A411" s="23">
        <f>IFERROR(__xludf.DUMMYFUNCTION("""COMPUTED_VALUE"""),44763.0)</f>
        <v>44763</v>
      </c>
      <c r="B411" s="24" t="str">
        <f>IFERROR(__xludf.DUMMYFUNCTION("""COMPUTED_VALUE"""),"Claire")</f>
        <v>Claire</v>
      </c>
      <c r="C411" s="24">
        <f>IFERROR(__xludf.DUMMYFUNCTION("""COMPUTED_VALUE"""),871.0)</f>
        <v>871</v>
      </c>
      <c r="D411" s="24" t="str">
        <f>IFERROR(__xludf.DUMMYFUNCTION("""COMPUTED_VALUE"""),"Walmart")</f>
        <v>Walmart</v>
      </c>
      <c r="F411" s="23">
        <f>IFERROR(__xludf.DUMMYFUNCTION("""COMPUTED_VALUE"""),44738.0)</f>
        <v>44738</v>
      </c>
      <c r="G411" s="24" t="str">
        <f>IFERROR(__xludf.DUMMYFUNCTION("""COMPUTED_VALUE"""),"Claire")</f>
        <v>Claire</v>
      </c>
      <c r="H411" s="24">
        <f>IFERROR(__xludf.DUMMYFUNCTION("""COMPUTED_VALUE"""),-262.0)</f>
        <v>-262</v>
      </c>
      <c r="I411" s="24" t="str">
        <f>IFERROR(__xludf.DUMMYFUNCTION("""COMPUTED_VALUE"""),"XX")</f>
        <v>XX</v>
      </c>
    </row>
    <row r="412">
      <c r="A412" s="23">
        <f>IFERROR(__xludf.DUMMYFUNCTION("""COMPUTED_VALUE"""),44764.64893805556)</f>
        <v>44764.64894</v>
      </c>
      <c r="B412" s="24" t="str">
        <f>IFERROR(__xludf.DUMMYFUNCTION("""COMPUTED_VALUE"""),"Spencer Ellsworth")</f>
        <v>Spencer Ellsworth</v>
      </c>
      <c r="C412" s="24">
        <f>IFERROR(__xludf.DUMMYFUNCTION("""COMPUTED_VALUE"""),115.0)</f>
        <v>115</v>
      </c>
      <c r="D412" s="24" t="str">
        <f>IFERROR(__xludf.DUMMYFUNCTION("""COMPUTED_VALUE"""),"Alto Dale Farm ")</f>
        <v>Alto Dale Farm </v>
      </c>
      <c r="F412" s="23">
        <f>IFERROR(__xludf.DUMMYFUNCTION("""COMPUTED_VALUE"""),44738.0)</f>
        <v>44738</v>
      </c>
      <c r="G412" s="24" t="str">
        <f>IFERROR(__xludf.DUMMYFUNCTION("""COMPUTED_VALUE"""),"Claire")</f>
        <v>Claire</v>
      </c>
      <c r="H412" s="24">
        <f>IFERROR(__xludf.DUMMYFUNCTION("""COMPUTED_VALUE"""),-527.0)</f>
        <v>-527</v>
      </c>
      <c r="I412" s="24" t="str">
        <f>IFERROR(__xludf.DUMMYFUNCTION("""COMPUTED_VALUE"""),"XX")</f>
        <v>XX</v>
      </c>
    </row>
    <row r="413">
      <c r="A413" s="23">
        <f>IFERROR(__xludf.DUMMYFUNCTION("""COMPUTED_VALUE"""),44766.54272017361)</f>
        <v>44766.54272</v>
      </c>
      <c r="B413" s="24" t="str">
        <f>IFERROR(__xludf.DUMMYFUNCTION("""COMPUTED_VALUE"""),"Ausar ")</f>
        <v>Ausar </v>
      </c>
      <c r="C413" s="24">
        <f>IFERROR(__xludf.DUMMYFUNCTION("""COMPUTED_VALUE"""),220.0)</f>
        <v>220</v>
      </c>
      <c r="D413" s="24" t="str">
        <f>IFERROR(__xludf.DUMMYFUNCTION("""COMPUTED_VALUE"""),"Ausar’s Food donations")</f>
        <v>Ausar’s Food donations</v>
      </c>
      <c r="F413" s="23">
        <f>IFERROR(__xludf.DUMMYFUNCTION("""COMPUTED_VALUE"""),44738.0)</f>
        <v>44738</v>
      </c>
      <c r="G413" s="24" t="str">
        <f>IFERROR(__xludf.DUMMYFUNCTION("""COMPUTED_VALUE"""),"Claire")</f>
        <v>Claire</v>
      </c>
      <c r="H413" s="24">
        <f>IFERROR(__xludf.DUMMYFUNCTION("""COMPUTED_VALUE"""),-216.0)</f>
        <v>-216</v>
      </c>
      <c r="I413" s="24" t="str">
        <f>IFERROR(__xludf.DUMMYFUNCTION("""COMPUTED_VALUE"""),"XX")</f>
        <v>XX</v>
      </c>
    </row>
    <row r="414">
      <c r="A414" s="23">
        <f>IFERROR(__xludf.DUMMYFUNCTION("""COMPUTED_VALUE"""),44766.655565497684)</f>
        <v>44766.65557</v>
      </c>
      <c r="B414" s="24" t="str">
        <f>IFERROR(__xludf.DUMMYFUNCTION("""COMPUTED_VALUE"""),"Kaneesha ")</f>
        <v>Kaneesha </v>
      </c>
      <c r="C414" s="24">
        <f>IFERROR(__xludf.DUMMYFUNCTION("""COMPUTED_VALUE"""),457.0)</f>
        <v>457</v>
      </c>
      <c r="D414" s="24" t="str">
        <f>IFERROR(__xludf.DUMMYFUNCTION("""COMPUTED_VALUE"""),"Amazon")</f>
        <v>Amazon</v>
      </c>
      <c r="F414" s="23">
        <f>IFERROR(__xludf.DUMMYFUNCTION("""COMPUTED_VALUE"""),44738.0)</f>
        <v>44738</v>
      </c>
      <c r="G414" s="24" t="str">
        <f>IFERROR(__xludf.DUMMYFUNCTION("""COMPUTED_VALUE"""),"Claire")</f>
        <v>Claire</v>
      </c>
      <c r="H414" s="24">
        <f>IFERROR(__xludf.DUMMYFUNCTION("""COMPUTED_VALUE"""),-494.0)</f>
        <v>-494</v>
      </c>
      <c r="I414" s="24" t="str">
        <f>IFERROR(__xludf.DUMMYFUNCTION("""COMPUTED_VALUE"""),"XX")</f>
        <v>XX</v>
      </c>
    </row>
    <row r="415">
      <c r="A415" s="23">
        <f>IFERROR(__xludf.DUMMYFUNCTION("""COMPUTED_VALUE"""),44766.657362743055)</f>
        <v>44766.65736</v>
      </c>
      <c r="B415" s="24" t="str">
        <f>IFERROR(__xludf.DUMMYFUNCTION("""COMPUTED_VALUE"""),"Kaneesha ")</f>
        <v>Kaneesha </v>
      </c>
      <c r="C415" s="24">
        <f>IFERROR(__xludf.DUMMYFUNCTION("""COMPUTED_VALUE"""),473.0)</f>
        <v>473</v>
      </c>
      <c r="D415" s="24" t="str">
        <f>IFERROR(__xludf.DUMMYFUNCTION("""COMPUTED_VALUE"""),"Amazon")</f>
        <v>Amazon</v>
      </c>
      <c r="F415" s="23">
        <f>IFERROR(__xludf.DUMMYFUNCTION("""COMPUTED_VALUE"""),44738.0)</f>
        <v>44738</v>
      </c>
      <c r="G415" s="24" t="str">
        <f>IFERROR(__xludf.DUMMYFUNCTION("""COMPUTED_VALUE"""),"Claire")</f>
        <v>Claire</v>
      </c>
      <c r="H415" s="24">
        <f>IFERROR(__xludf.DUMMYFUNCTION("""COMPUTED_VALUE"""),-42.0)</f>
        <v>-42</v>
      </c>
      <c r="I415" s="24" t="str">
        <f>IFERROR(__xludf.DUMMYFUNCTION("""COMPUTED_VALUE"""),"XX")</f>
        <v>XX</v>
      </c>
    </row>
    <row r="416">
      <c r="A416" s="23">
        <f>IFERROR(__xludf.DUMMYFUNCTION("""COMPUTED_VALUE"""),44766.65937538195)</f>
        <v>44766.65938</v>
      </c>
      <c r="B416" s="24" t="str">
        <f>IFERROR(__xludf.DUMMYFUNCTION("""COMPUTED_VALUE"""),"Kaneesha ")</f>
        <v>Kaneesha </v>
      </c>
      <c r="C416" s="24">
        <f>IFERROR(__xludf.DUMMYFUNCTION("""COMPUTED_VALUE"""),582.0)</f>
        <v>582</v>
      </c>
      <c r="D416" s="24" t="str">
        <f>IFERROR(__xludf.DUMMYFUNCTION("""COMPUTED_VALUE"""),"Amazon")</f>
        <v>Amazon</v>
      </c>
      <c r="F416" s="23">
        <f>IFERROR(__xludf.DUMMYFUNCTION("""COMPUTED_VALUE"""),44738.0)</f>
        <v>44738</v>
      </c>
      <c r="G416" s="24" t="str">
        <f>IFERROR(__xludf.DUMMYFUNCTION("""COMPUTED_VALUE"""),"Claire")</f>
        <v>Claire</v>
      </c>
      <c r="H416" s="24">
        <f>IFERROR(__xludf.DUMMYFUNCTION("""COMPUTED_VALUE"""),-37.0)</f>
        <v>-37</v>
      </c>
      <c r="I416" s="24" t="str">
        <f>IFERROR(__xludf.DUMMYFUNCTION("""COMPUTED_VALUE"""),"XX")</f>
        <v>XX</v>
      </c>
    </row>
    <row r="417">
      <c r="A417" s="23">
        <f>IFERROR(__xludf.DUMMYFUNCTION("""COMPUTED_VALUE"""),44766.661639467595)</f>
        <v>44766.66164</v>
      </c>
      <c r="B417" s="24" t="str">
        <f>IFERROR(__xludf.DUMMYFUNCTION("""COMPUTED_VALUE"""),"Kaneesha ")</f>
        <v>Kaneesha </v>
      </c>
      <c r="C417" s="24">
        <f>IFERROR(__xludf.DUMMYFUNCTION("""COMPUTED_VALUE"""),860.0)</f>
        <v>860</v>
      </c>
      <c r="D417" s="24" t="str">
        <f>IFERROR(__xludf.DUMMYFUNCTION("""COMPUTED_VALUE"""),"Amazon")</f>
        <v>Amazon</v>
      </c>
      <c r="F417" s="23">
        <f>IFERROR(__xludf.DUMMYFUNCTION("""COMPUTED_VALUE"""),44738.0)</f>
        <v>44738</v>
      </c>
      <c r="G417" s="24" t="str">
        <f>IFERROR(__xludf.DUMMYFUNCTION("""COMPUTED_VALUE"""),"Claire")</f>
        <v>Claire</v>
      </c>
      <c r="H417" s="24">
        <f>IFERROR(__xludf.DUMMYFUNCTION("""COMPUTED_VALUE"""),-163.0)</f>
        <v>-163</v>
      </c>
      <c r="I417" s="24" t="str">
        <f>IFERROR(__xludf.DUMMYFUNCTION("""COMPUTED_VALUE"""),"XX")</f>
        <v>XX</v>
      </c>
    </row>
    <row r="418">
      <c r="A418" s="23">
        <f>IFERROR(__xludf.DUMMYFUNCTION("""COMPUTED_VALUE"""),44769.626753530094)</f>
        <v>44769.62675</v>
      </c>
      <c r="B418" s="24" t="str">
        <f>IFERROR(__xludf.DUMMYFUNCTION("""COMPUTED_VALUE"""),"Claire")</f>
        <v>Claire</v>
      </c>
      <c r="C418" s="24">
        <f>IFERROR(__xludf.DUMMYFUNCTION("""COMPUTED_VALUE"""),386.0)</f>
        <v>386</v>
      </c>
      <c r="D418" s="24" t="str">
        <f>IFERROR(__xludf.DUMMYFUNCTION("""COMPUTED_VALUE"""),"Walmart")</f>
        <v>Walmart</v>
      </c>
      <c r="F418" s="23">
        <f>IFERROR(__xludf.DUMMYFUNCTION("""COMPUTED_VALUE"""),44738.0)</f>
        <v>44738</v>
      </c>
      <c r="G418" s="24" t="str">
        <f>IFERROR(__xludf.DUMMYFUNCTION("""COMPUTED_VALUE"""),"Claire")</f>
        <v>Claire</v>
      </c>
      <c r="H418" s="24">
        <f>IFERROR(__xludf.DUMMYFUNCTION("""COMPUTED_VALUE"""),-86.0)</f>
        <v>-86</v>
      </c>
      <c r="I418" s="24" t="str">
        <f>IFERROR(__xludf.DUMMYFUNCTION("""COMPUTED_VALUE"""),"XX")</f>
        <v>XX</v>
      </c>
    </row>
    <row r="419">
      <c r="A419" s="23">
        <f>IFERROR(__xludf.DUMMYFUNCTION("""COMPUTED_VALUE"""),44769.626920497685)</f>
        <v>44769.62692</v>
      </c>
      <c r="B419" s="24" t="str">
        <f>IFERROR(__xludf.DUMMYFUNCTION("""COMPUTED_VALUE"""),"Claire")</f>
        <v>Claire</v>
      </c>
      <c r="C419" s="24">
        <f>IFERROR(__xludf.DUMMYFUNCTION("""COMPUTED_VALUE"""),350.0)</f>
        <v>350</v>
      </c>
      <c r="D419" s="24" t="str">
        <f>IFERROR(__xludf.DUMMYFUNCTION("""COMPUTED_VALUE"""),"Walmart")</f>
        <v>Walmart</v>
      </c>
      <c r="F419" s="23">
        <f>IFERROR(__xludf.DUMMYFUNCTION("""COMPUTED_VALUE"""),44738.0)</f>
        <v>44738</v>
      </c>
      <c r="G419" s="24" t="str">
        <f>IFERROR(__xludf.DUMMYFUNCTION("""COMPUTED_VALUE"""),"Claire")</f>
        <v>Claire</v>
      </c>
      <c r="H419" s="24">
        <f>IFERROR(__xludf.DUMMYFUNCTION("""COMPUTED_VALUE"""),-13.0)</f>
        <v>-13</v>
      </c>
      <c r="I419" s="24" t="str">
        <f>IFERROR(__xludf.DUMMYFUNCTION("""COMPUTED_VALUE"""),"XX")</f>
        <v>XX</v>
      </c>
    </row>
    <row r="420">
      <c r="A420" s="23">
        <f>IFERROR(__xludf.DUMMYFUNCTION("""COMPUTED_VALUE"""),44769.62781064815)</f>
        <v>44769.62781</v>
      </c>
      <c r="B420" s="24" t="str">
        <f>IFERROR(__xludf.DUMMYFUNCTION("""COMPUTED_VALUE"""),"Claire")</f>
        <v>Claire</v>
      </c>
      <c r="C420" s="24">
        <f>IFERROR(__xludf.DUMMYFUNCTION("""COMPUTED_VALUE"""),307.0)</f>
        <v>307</v>
      </c>
      <c r="D420" s="24" t="str">
        <f>IFERROR(__xludf.DUMMYFUNCTION("""COMPUTED_VALUE"""),"Walmart")</f>
        <v>Walmart</v>
      </c>
      <c r="F420" s="23">
        <f>IFERROR(__xludf.DUMMYFUNCTION("""COMPUTED_VALUE"""),44738.63615769676)</f>
        <v>44738.63616</v>
      </c>
      <c r="G420" s="24" t="str">
        <f>IFERROR(__xludf.DUMMYFUNCTION("""COMPUTED_VALUE"""),"Dorja ")</f>
        <v>Dorja </v>
      </c>
      <c r="H420" s="24">
        <f>IFERROR(__xludf.DUMMYFUNCTION("""COMPUTED_VALUE"""),744.0)</f>
        <v>744</v>
      </c>
      <c r="I420" s="24" t="str">
        <f>IFERROR(__xludf.DUMMYFUNCTION("""COMPUTED_VALUE"""),"Amazon")</f>
        <v>Amazon</v>
      </c>
    </row>
    <row r="421">
      <c r="A421" s="23">
        <f>IFERROR(__xludf.DUMMYFUNCTION("""COMPUTED_VALUE"""),44769.63160811343)</f>
        <v>44769.63161</v>
      </c>
      <c r="B421" s="24" t="str">
        <f>IFERROR(__xludf.DUMMYFUNCTION("""COMPUTED_VALUE"""),"Claire")</f>
        <v>Claire</v>
      </c>
      <c r="C421" s="24">
        <f>IFERROR(__xludf.DUMMYFUNCTION("""COMPUTED_VALUE"""),364.0)</f>
        <v>364</v>
      </c>
      <c r="D421" s="24" t="str">
        <f>IFERROR(__xludf.DUMMYFUNCTION("""COMPUTED_VALUE"""),"Walmart")</f>
        <v>Walmart</v>
      </c>
      <c r="F421" s="23">
        <f>IFERROR(__xludf.DUMMYFUNCTION("""COMPUTED_VALUE"""),44738.63691555555)</f>
        <v>44738.63692</v>
      </c>
      <c r="G421" s="24" t="str">
        <f>IFERROR(__xludf.DUMMYFUNCTION("""COMPUTED_VALUE"""),"Dorja ")</f>
        <v>Dorja </v>
      </c>
      <c r="H421" s="24">
        <f>IFERROR(__xludf.DUMMYFUNCTION("""COMPUTED_VALUE"""),42.0)</f>
        <v>42</v>
      </c>
      <c r="I421" s="24" t="str">
        <f>IFERROR(__xludf.DUMMYFUNCTION("""COMPUTED_VALUE"""),"Produce")</f>
        <v>Produce</v>
      </c>
    </row>
    <row r="422">
      <c r="A422" s="23">
        <f>IFERROR(__xludf.DUMMYFUNCTION("""COMPUTED_VALUE"""),44769.631789652776)</f>
        <v>44769.63179</v>
      </c>
      <c r="B422" s="24" t="str">
        <f>IFERROR(__xludf.DUMMYFUNCTION("""COMPUTED_VALUE"""),"Claire")</f>
        <v>Claire</v>
      </c>
      <c r="C422" s="24">
        <f>IFERROR(__xludf.DUMMYFUNCTION("""COMPUTED_VALUE"""),477.0)</f>
        <v>477</v>
      </c>
      <c r="D422" s="24" t="str">
        <f>IFERROR(__xludf.DUMMYFUNCTION("""COMPUTED_VALUE"""),"Walmart")</f>
        <v>Walmart</v>
      </c>
      <c r="F422" s="23">
        <f>IFERROR(__xludf.DUMMYFUNCTION("""COMPUTED_VALUE"""),44738.63742653935)</f>
        <v>44738.63743</v>
      </c>
      <c r="G422" s="24" t="str">
        <f>IFERROR(__xludf.DUMMYFUNCTION("""COMPUTED_VALUE"""),"Dorja ")</f>
        <v>Dorja </v>
      </c>
      <c r="H422" s="24">
        <f>IFERROR(__xludf.DUMMYFUNCTION("""COMPUTED_VALUE"""),336.0)</f>
        <v>336</v>
      </c>
      <c r="I422" s="24" t="str">
        <f>IFERROR(__xludf.DUMMYFUNCTION("""COMPUTED_VALUE"""),"Amazon")</f>
        <v>Amazon</v>
      </c>
    </row>
    <row r="423">
      <c r="A423" s="23">
        <f>IFERROR(__xludf.DUMMYFUNCTION("""COMPUTED_VALUE"""),44769.63574618055)</f>
        <v>44769.63575</v>
      </c>
      <c r="B423" s="24" t="str">
        <f>IFERROR(__xludf.DUMMYFUNCTION("""COMPUTED_VALUE"""),"Claire")</f>
        <v>Claire</v>
      </c>
      <c r="C423" s="24">
        <f>IFERROR(__xludf.DUMMYFUNCTION("""COMPUTED_VALUE"""),347.0)</f>
        <v>347</v>
      </c>
      <c r="D423" s="24" t="str">
        <f>IFERROR(__xludf.DUMMYFUNCTION("""COMPUTED_VALUE"""),"Walmart ")</f>
        <v>Walmart </v>
      </c>
      <c r="F423" s="23">
        <f>IFERROR(__xludf.DUMMYFUNCTION("""COMPUTED_VALUE"""),44738.6382534375)</f>
        <v>44738.63825</v>
      </c>
      <c r="G423" s="24" t="str">
        <f>IFERROR(__xludf.DUMMYFUNCTION("""COMPUTED_VALUE"""),"Dorja ")</f>
        <v>Dorja </v>
      </c>
      <c r="H423" s="24">
        <f>IFERROR(__xludf.DUMMYFUNCTION("""COMPUTED_VALUE"""),37.0)</f>
        <v>37</v>
      </c>
      <c r="I423" s="24" t="str">
        <f>IFERROR(__xludf.DUMMYFUNCTION("""COMPUTED_VALUE"""),"Produce")</f>
        <v>Produce</v>
      </c>
    </row>
    <row r="424">
      <c r="A424" s="23">
        <f>IFERROR(__xludf.DUMMYFUNCTION("""COMPUTED_VALUE"""),44769.636286215275)</f>
        <v>44769.63629</v>
      </c>
      <c r="B424" s="24" t="str">
        <f>IFERROR(__xludf.DUMMYFUNCTION("""COMPUTED_VALUE"""),"Claire")</f>
        <v>Claire</v>
      </c>
      <c r="C424" s="24">
        <f>IFERROR(__xludf.DUMMYFUNCTION("""COMPUTED_VALUE"""),566.0)</f>
        <v>566</v>
      </c>
      <c r="D424" s="24" t="str">
        <f>IFERROR(__xludf.DUMMYFUNCTION("""COMPUTED_VALUE"""),"Amazon")</f>
        <v>Amazon</v>
      </c>
      <c r="F424" s="23">
        <f>IFERROR(__xludf.DUMMYFUNCTION("""COMPUTED_VALUE"""),44738.64018905092)</f>
        <v>44738.64019</v>
      </c>
      <c r="G424" s="24" t="str">
        <f>IFERROR(__xludf.DUMMYFUNCTION("""COMPUTED_VALUE"""),"Dorja ")</f>
        <v>Dorja </v>
      </c>
      <c r="H424" s="24">
        <f>IFERROR(__xludf.DUMMYFUNCTION("""COMPUTED_VALUE"""),255.0)</f>
        <v>255</v>
      </c>
      <c r="I424" s="24" t="str">
        <f>IFERROR(__xludf.DUMMYFUNCTION("""COMPUTED_VALUE"""),"Amazon")</f>
        <v>Amazon</v>
      </c>
    </row>
    <row r="425">
      <c r="A425" s="23">
        <f>IFERROR(__xludf.DUMMYFUNCTION("""COMPUTED_VALUE"""),44769.63884241898)</f>
        <v>44769.63884</v>
      </c>
      <c r="B425" s="24" t="str">
        <f>IFERROR(__xludf.DUMMYFUNCTION("""COMPUTED_VALUE"""),"Claire")</f>
        <v>Claire</v>
      </c>
      <c r="C425" s="24">
        <f>IFERROR(__xludf.DUMMYFUNCTION("""COMPUTED_VALUE"""),725.0)</f>
        <v>725</v>
      </c>
      <c r="D425" s="24" t="str">
        <f>IFERROR(__xludf.DUMMYFUNCTION("""COMPUTED_VALUE"""),"Amazon")</f>
        <v>Amazon</v>
      </c>
      <c r="F425" s="23">
        <f>IFERROR(__xludf.DUMMYFUNCTION("""COMPUTED_VALUE"""),44738.64551857639)</f>
        <v>44738.64552</v>
      </c>
      <c r="G425" s="24" t="str">
        <f>IFERROR(__xludf.DUMMYFUNCTION("""COMPUTED_VALUE"""),"Dorja ")</f>
        <v>Dorja </v>
      </c>
      <c r="H425" s="24">
        <f>IFERROR(__xludf.DUMMYFUNCTION("""COMPUTED_VALUE"""),325.0)</f>
        <v>325</v>
      </c>
      <c r="I425" s="24" t="str">
        <f>IFERROR(__xludf.DUMMYFUNCTION("""COMPUTED_VALUE"""),"Amazon")</f>
        <v>Amazon</v>
      </c>
    </row>
    <row r="426">
      <c r="A426" s="23">
        <f>IFERROR(__xludf.DUMMYFUNCTION("""COMPUTED_VALUE"""),44769.640514872684)</f>
        <v>44769.64051</v>
      </c>
      <c r="B426" s="24" t="str">
        <f>IFERROR(__xludf.DUMMYFUNCTION("""COMPUTED_VALUE"""),"Claire")</f>
        <v>Claire</v>
      </c>
      <c r="C426" s="24">
        <f>IFERROR(__xludf.DUMMYFUNCTION("""COMPUTED_VALUE"""),439.0)</f>
        <v>439</v>
      </c>
      <c r="D426" s="24" t="str">
        <f>IFERROR(__xludf.DUMMYFUNCTION("""COMPUTED_VALUE"""),"Amazon")</f>
        <v>Amazon</v>
      </c>
      <c r="F426" s="23">
        <f>IFERROR(__xludf.DUMMYFUNCTION("""COMPUTED_VALUE"""),44738.67466538195)</f>
        <v>44738.67467</v>
      </c>
      <c r="G426" s="24" t="str">
        <f>IFERROR(__xludf.DUMMYFUNCTION("""COMPUTED_VALUE"""),"Carla")</f>
        <v>Carla</v>
      </c>
      <c r="H426" s="24">
        <f>IFERROR(__xludf.DUMMYFUNCTION("""COMPUTED_VALUE"""),20.0)</f>
        <v>20</v>
      </c>
      <c r="I426" s="24"/>
    </row>
    <row r="427">
      <c r="A427" s="23">
        <f>IFERROR(__xludf.DUMMYFUNCTION("""COMPUTED_VALUE"""),44769.64243539352)</f>
        <v>44769.64244</v>
      </c>
      <c r="B427" s="24" t="str">
        <f>IFERROR(__xludf.DUMMYFUNCTION("""COMPUTED_VALUE"""),"Claire")</f>
        <v>Claire</v>
      </c>
      <c r="C427" s="24">
        <f>IFERROR(__xludf.DUMMYFUNCTION("""COMPUTED_VALUE"""),387.0)</f>
        <v>387</v>
      </c>
      <c r="D427" s="24" t="str">
        <f>IFERROR(__xludf.DUMMYFUNCTION("""COMPUTED_VALUE"""),"Amazon")</f>
        <v>Amazon</v>
      </c>
      <c r="F427" s="23">
        <f>IFERROR(__xludf.DUMMYFUNCTION("""COMPUTED_VALUE"""),44738.691663599544)</f>
        <v>44738.69166</v>
      </c>
      <c r="G427" s="24" t="str">
        <f>IFERROR(__xludf.DUMMYFUNCTION("""COMPUTED_VALUE"""),"Kaneesha")</f>
        <v>Kaneesha</v>
      </c>
      <c r="H427" s="24">
        <f>IFERROR(__xludf.DUMMYFUNCTION("""COMPUTED_VALUE"""),20.0)</f>
        <v>20</v>
      </c>
      <c r="I427" s="24"/>
    </row>
    <row r="428">
      <c r="A428" s="23">
        <f>IFERROR(__xludf.DUMMYFUNCTION("""COMPUTED_VALUE"""),44769.6442186574)</f>
        <v>44769.64422</v>
      </c>
      <c r="B428" s="24" t="str">
        <f>IFERROR(__xludf.DUMMYFUNCTION("""COMPUTED_VALUE"""),"Claire")</f>
        <v>Claire</v>
      </c>
      <c r="C428" s="24">
        <f>IFERROR(__xludf.DUMMYFUNCTION("""COMPUTED_VALUE"""),457.0)</f>
        <v>457</v>
      </c>
      <c r="D428" s="24" t="str">
        <f>IFERROR(__xludf.DUMMYFUNCTION("""COMPUTED_VALUE"""),"Amazon")</f>
        <v>Amazon</v>
      </c>
      <c r="F428" s="23">
        <f>IFERROR(__xludf.DUMMYFUNCTION("""COMPUTED_VALUE"""),44738.691963425925)</f>
        <v>44738.69196</v>
      </c>
      <c r="G428" s="24" t="str">
        <f>IFERROR(__xludf.DUMMYFUNCTION("""COMPUTED_VALUE"""),"Kaneesha (expired)")</f>
        <v>Kaneesha (expired)</v>
      </c>
      <c r="H428" s="24">
        <f>IFERROR(__xludf.DUMMYFUNCTION("""COMPUTED_VALUE"""),43.0)</f>
        <v>43</v>
      </c>
      <c r="I428" s="24"/>
    </row>
    <row r="429">
      <c r="A429" s="23">
        <f>IFERROR(__xludf.DUMMYFUNCTION("""COMPUTED_VALUE"""),44769.64687809028)</f>
        <v>44769.64688</v>
      </c>
      <c r="B429" s="24" t="str">
        <f>IFERROR(__xludf.DUMMYFUNCTION("""COMPUTED_VALUE"""),"Claire")</f>
        <v>Claire</v>
      </c>
      <c r="C429" s="24">
        <f>IFERROR(__xludf.DUMMYFUNCTION("""COMPUTED_VALUE"""),478.0)</f>
        <v>478</v>
      </c>
      <c r="D429" s="24" t="str">
        <f>IFERROR(__xludf.DUMMYFUNCTION("""COMPUTED_VALUE"""),"Amazon")</f>
        <v>Amazon</v>
      </c>
      <c r="F429" s="23">
        <f>IFERROR(__xludf.DUMMYFUNCTION("""COMPUTED_VALUE"""),44738.700053900466)</f>
        <v>44738.70005</v>
      </c>
      <c r="G429" s="24" t="str">
        <f>IFERROR(__xludf.DUMMYFUNCTION("""COMPUTED_VALUE"""),"Dorja ")</f>
        <v>Dorja </v>
      </c>
      <c r="H429" s="24">
        <f>IFERROR(__xludf.DUMMYFUNCTION("""COMPUTED_VALUE"""),27.0)</f>
        <v>27</v>
      </c>
      <c r="I429" s="24"/>
    </row>
    <row r="430">
      <c r="A430" s="23">
        <f>IFERROR(__xludf.DUMMYFUNCTION("""COMPUTED_VALUE"""),44769.64859711805)</f>
        <v>44769.6486</v>
      </c>
      <c r="B430" s="24" t="str">
        <f>IFERROR(__xludf.DUMMYFUNCTION("""COMPUTED_VALUE"""),"Claire")</f>
        <v>Claire</v>
      </c>
      <c r="C430" s="24">
        <f>IFERROR(__xludf.DUMMYFUNCTION("""COMPUTED_VALUE"""),833.0)</f>
        <v>833</v>
      </c>
      <c r="D430" s="24" t="str">
        <f>IFERROR(__xludf.DUMMYFUNCTION("""COMPUTED_VALUE"""),"Amazon")</f>
        <v>Amazon</v>
      </c>
      <c r="F430" s="23">
        <f>IFERROR(__xludf.DUMMYFUNCTION("""COMPUTED_VALUE"""),44738.700262488426)</f>
        <v>44738.70026</v>
      </c>
      <c r="G430" s="24" t="str">
        <f>IFERROR(__xludf.DUMMYFUNCTION("""COMPUTED_VALUE"""),"Dorja ")</f>
        <v>Dorja </v>
      </c>
      <c r="H430" s="24">
        <f>IFERROR(__xludf.DUMMYFUNCTION("""COMPUTED_VALUE"""),48.0)</f>
        <v>48</v>
      </c>
      <c r="I430" s="24"/>
    </row>
    <row r="431">
      <c r="A431" s="23">
        <f>IFERROR(__xludf.DUMMYFUNCTION("""COMPUTED_VALUE"""),44769.762640706016)</f>
        <v>44769.76264</v>
      </c>
      <c r="B431" s="24" t="str">
        <f>IFERROR(__xludf.DUMMYFUNCTION("""COMPUTED_VALUE"""),"Cailyn Lawler ")</f>
        <v>Cailyn Lawler </v>
      </c>
      <c r="C431" s="24">
        <f>IFERROR(__xludf.DUMMYFUNCTION("""COMPUTED_VALUE"""),538.0)</f>
        <v>538</v>
      </c>
      <c r="D431" s="24" t="str">
        <f>IFERROR(__xludf.DUMMYFUNCTION("""COMPUTED_VALUE"""),"First fruit farm")</f>
        <v>First fruit farm</v>
      </c>
      <c r="F431" s="23">
        <f>IFERROR(__xludf.DUMMYFUNCTION("""COMPUTED_VALUE"""),44738.7195859375)</f>
        <v>44738.71959</v>
      </c>
      <c r="G431" s="24" t="str">
        <f>IFERROR(__xludf.DUMMYFUNCTION("""COMPUTED_VALUE"""),"Ausar ")</f>
        <v>Ausar </v>
      </c>
      <c r="H431" s="24">
        <f>IFERROR(__xludf.DUMMYFUNCTION("""COMPUTED_VALUE"""),227.0)</f>
        <v>227</v>
      </c>
      <c r="I431" s="24" t="str">
        <f>IFERROR(__xludf.DUMMYFUNCTION("""COMPUTED_VALUE"""),"Snacks")</f>
        <v>Snacks</v>
      </c>
    </row>
    <row r="432">
      <c r="A432" s="23">
        <f>IFERROR(__xludf.DUMMYFUNCTION("""COMPUTED_VALUE"""),44769.76686362268)</f>
        <v>44769.76686</v>
      </c>
      <c r="B432" s="24" t="str">
        <f>IFERROR(__xludf.DUMMYFUNCTION("""COMPUTED_VALUE"""),"Claire")</f>
        <v>Claire</v>
      </c>
      <c r="C432" s="24">
        <f>IFERROR(__xludf.DUMMYFUNCTION("""COMPUTED_VALUE"""),740.0)</f>
        <v>740</v>
      </c>
      <c r="D432" s="24" t="str">
        <f>IFERROR(__xludf.DUMMYFUNCTION("""COMPUTED_VALUE"""),"First fruit farm")</f>
        <v>First fruit farm</v>
      </c>
      <c r="F432" s="23">
        <f>IFERROR(__xludf.DUMMYFUNCTION("""COMPUTED_VALUE"""),44738.71993225694)</f>
        <v>44738.71993</v>
      </c>
      <c r="G432" s="24" t="str">
        <f>IFERROR(__xludf.DUMMYFUNCTION("""COMPUTED_VALUE"""),"Ausar ")</f>
        <v>Ausar </v>
      </c>
      <c r="H432" s="24">
        <f>IFERROR(__xludf.DUMMYFUNCTION("""COMPUTED_VALUE"""),323.0)</f>
        <v>323</v>
      </c>
      <c r="I432" s="24" t="str">
        <f>IFERROR(__xludf.DUMMYFUNCTION("""COMPUTED_VALUE"""),"Frozen")</f>
        <v>Frozen</v>
      </c>
    </row>
    <row r="433">
      <c r="A433" s="23">
        <f>IFERROR(__xludf.DUMMYFUNCTION("""COMPUTED_VALUE"""),44769.774966516205)</f>
        <v>44769.77497</v>
      </c>
      <c r="B433" s="24" t="str">
        <f>IFERROR(__xludf.DUMMYFUNCTION("""COMPUTED_VALUE"""),"Claire")</f>
        <v>Claire</v>
      </c>
      <c r="C433" s="24">
        <f>IFERROR(__xludf.DUMMYFUNCTION("""COMPUTED_VALUE"""),541.0)</f>
        <v>541</v>
      </c>
      <c r="D433" s="24" t="str">
        <f>IFERROR(__xludf.DUMMYFUNCTION("""COMPUTED_VALUE"""),"First fruit farm")</f>
        <v>First fruit farm</v>
      </c>
      <c r="F433" s="23">
        <f>IFERROR(__xludf.DUMMYFUNCTION("""COMPUTED_VALUE"""),44738.72035094907)</f>
        <v>44738.72035</v>
      </c>
      <c r="G433" s="24" t="str">
        <f>IFERROR(__xludf.DUMMYFUNCTION("""COMPUTED_VALUE"""),"Ausar ")</f>
        <v>Ausar </v>
      </c>
      <c r="H433" s="24">
        <f>IFERROR(__xludf.DUMMYFUNCTION("""COMPUTED_VALUE"""),120.0)</f>
        <v>120</v>
      </c>
      <c r="I433" s="24" t="str">
        <f>IFERROR(__xludf.DUMMYFUNCTION("""COMPUTED_VALUE"""),"Frozen")</f>
        <v>Frozen</v>
      </c>
    </row>
    <row r="434">
      <c r="A434" s="23">
        <f>IFERROR(__xludf.DUMMYFUNCTION("""COMPUTED_VALUE"""),44769.775333391204)</f>
        <v>44769.77533</v>
      </c>
      <c r="B434" s="24" t="str">
        <f>IFERROR(__xludf.DUMMYFUNCTION("""COMPUTED_VALUE"""),"Claire")</f>
        <v>Claire</v>
      </c>
      <c r="C434" s="24">
        <f>IFERROR(__xludf.DUMMYFUNCTION("""COMPUTED_VALUE"""),514.0)</f>
        <v>514</v>
      </c>
      <c r="D434" s="24" t="str">
        <f>IFERROR(__xludf.DUMMYFUNCTION("""COMPUTED_VALUE"""),"First fruit farm")</f>
        <v>First fruit farm</v>
      </c>
      <c r="F434" s="23">
        <f>IFERROR(__xludf.DUMMYFUNCTION("""COMPUTED_VALUE"""),44738.72081878472)</f>
        <v>44738.72082</v>
      </c>
      <c r="G434" s="24" t="str">
        <f>IFERROR(__xludf.DUMMYFUNCTION("""COMPUTED_VALUE"""),"Ausar ")</f>
        <v>Ausar </v>
      </c>
      <c r="H434" s="24">
        <f>IFERROR(__xludf.DUMMYFUNCTION("""COMPUTED_VALUE"""),444.0)</f>
        <v>444</v>
      </c>
      <c r="I434" s="24" t="str">
        <f>IFERROR(__xludf.DUMMYFUNCTION("""COMPUTED_VALUE"""),"Cleaning products ")</f>
        <v>Cleaning products </v>
      </c>
    </row>
    <row r="435">
      <c r="A435" s="23">
        <f>IFERROR(__xludf.DUMMYFUNCTION("""COMPUTED_VALUE"""),44769.77558033565)</f>
        <v>44769.77558</v>
      </c>
      <c r="B435" s="24" t="str">
        <f>IFERROR(__xludf.DUMMYFUNCTION("""COMPUTED_VALUE"""),"Claire")</f>
        <v>Claire</v>
      </c>
      <c r="C435" s="24">
        <f>IFERROR(__xludf.DUMMYFUNCTION("""COMPUTED_VALUE"""),276.0)</f>
        <v>276</v>
      </c>
      <c r="D435" s="24" t="str">
        <f>IFERROR(__xludf.DUMMYFUNCTION("""COMPUTED_VALUE"""),"First fruit farm")</f>
        <v>First fruit farm</v>
      </c>
      <c r="F435" s="23">
        <f>IFERROR(__xludf.DUMMYFUNCTION("""COMPUTED_VALUE"""),44738.72122546296)</f>
        <v>44738.72123</v>
      </c>
      <c r="G435" s="24" t="str">
        <f>IFERROR(__xludf.DUMMYFUNCTION("""COMPUTED_VALUE"""),"Ausar ")</f>
        <v>Ausar </v>
      </c>
      <c r="H435" s="24">
        <f>IFERROR(__xludf.DUMMYFUNCTION("""COMPUTED_VALUE"""),439.0)</f>
        <v>439</v>
      </c>
      <c r="I435" s="24" t="str">
        <f>IFERROR(__xludf.DUMMYFUNCTION("""COMPUTED_VALUE"""),"Assorted option")</f>
        <v>Assorted option</v>
      </c>
    </row>
    <row r="436">
      <c r="A436" s="23">
        <f>IFERROR(__xludf.DUMMYFUNCTION("""COMPUTED_VALUE"""),44770.70915811343)</f>
        <v>44770.70916</v>
      </c>
      <c r="B436" s="24" t="str">
        <f>IFERROR(__xludf.DUMMYFUNCTION("""COMPUTED_VALUE"""),"Claire")</f>
        <v>Claire</v>
      </c>
      <c r="C436" s="24">
        <f>IFERROR(__xludf.DUMMYFUNCTION("""COMPUTED_VALUE"""),669.0)</f>
        <v>669</v>
      </c>
      <c r="D436" s="24" t="str">
        <f>IFERROR(__xludf.DUMMYFUNCTION("""COMPUTED_VALUE"""),"Amazon")</f>
        <v>Amazon</v>
      </c>
      <c r="F436" s="23">
        <f>IFERROR(__xludf.DUMMYFUNCTION("""COMPUTED_VALUE"""),44738.7217103125)</f>
        <v>44738.72171</v>
      </c>
      <c r="G436" s="24" t="str">
        <f>IFERROR(__xludf.DUMMYFUNCTION("""COMPUTED_VALUE"""),"Ausar ")</f>
        <v>Ausar </v>
      </c>
      <c r="H436" s="24">
        <f>IFERROR(__xludf.DUMMYFUNCTION("""COMPUTED_VALUE"""),262.0)</f>
        <v>262</v>
      </c>
      <c r="I436" s="24" t="str">
        <f>IFERROR(__xludf.DUMMYFUNCTION("""COMPUTED_VALUE"""),"Snacks")</f>
        <v>Snacks</v>
      </c>
    </row>
    <row r="437">
      <c r="A437" s="23">
        <f>IFERROR(__xludf.DUMMYFUNCTION("""COMPUTED_VALUE"""),44770.709303958334)</f>
        <v>44770.7093</v>
      </c>
      <c r="B437" s="24" t="str">
        <f>IFERROR(__xludf.DUMMYFUNCTION("""COMPUTED_VALUE"""),"Claire")</f>
        <v>Claire</v>
      </c>
      <c r="C437" s="24">
        <f>IFERROR(__xludf.DUMMYFUNCTION("""COMPUTED_VALUE"""),799.0)</f>
        <v>799</v>
      </c>
      <c r="D437" s="24" t="str">
        <f>IFERROR(__xludf.DUMMYFUNCTION("""COMPUTED_VALUE"""),"Amazon")</f>
        <v>Amazon</v>
      </c>
      <c r="F437" s="23">
        <f>IFERROR(__xludf.DUMMYFUNCTION("""COMPUTED_VALUE"""),44738.724018402776)</f>
        <v>44738.72402</v>
      </c>
      <c r="G437" s="24" t="str">
        <f>IFERROR(__xludf.DUMMYFUNCTION("""COMPUTED_VALUE"""),"Ausar")</f>
        <v>Ausar</v>
      </c>
      <c r="H437" s="24">
        <f>IFERROR(__xludf.DUMMYFUNCTION("""COMPUTED_VALUE"""),163.0)</f>
        <v>163</v>
      </c>
      <c r="I437" s="24" t="str">
        <f>IFERROR(__xludf.DUMMYFUNCTION("""COMPUTED_VALUE"""),"Sandtown quakers")</f>
        <v>Sandtown quakers</v>
      </c>
    </row>
    <row r="438">
      <c r="A438" s="23">
        <f>IFERROR(__xludf.DUMMYFUNCTION("""COMPUTED_VALUE"""),44770.70954527778)</f>
        <v>44770.70955</v>
      </c>
      <c r="B438" s="24" t="str">
        <f>IFERROR(__xludf.DUMMYFUNCTION("""COMPUTED_VALUE"""),"Claire")</f>
        <v>Claire</v>
      </c>
      <c r="C438" s="24">
        <f>IFERROR(__xludf.DUMMYFUNCTION("""COMPUTED_VALUE"""),481.0)</f>
        <v>481</v>
      </c>
      <c r="D438" s="24" t="str">
        <f>IFERROR(__xludf.DUMMYFUNCTION("""COMPUTED_VALUE"""),"Amazon")</f>
        <v>Amazon</v>
      </c>
      <c r="F438" s="23">
        <f>IFERROR(__xludf.DUMMYFUNCTION("""COMPUTED_VALUE"""),44738.72445166667)</f>
        <v>44738.72445</v>
      </c>
      <c r="G438" s="24" t="str">
        <f>IFERROR(__xludf.DUMMYFUNCTION("""COMPUTED_VALUE"""),"Zoe")</f>
        <v>Zoe</v>
      </c>
      <c r="H438" s="24">
        <f>IFERROR(__xludf.DUMMYFUNCTION("""COMPUTED_VALUE"""),86.0)</f>
        <v>86</v>
      </c>
      <c r="I438" s="24" t="str">
        <f>IFERROR(__xludf.DUMMYFUNCTION("""COMPUTED_VALUE"""),"Produce")</f>
        <v>Produce</v>
      </c>
    </row>
    <row r="439">
      <c r="A439" s="23">
        <f>IFERROR(__xludf.DUMMYFUNCTION("""COMPUTED_VALUE"""),44770.709917106484)</f>
        <v>44770.70992</v>
      </c>
      <c r="B439" s="24" t="str">
        <f>IFERROR(__xludf.DUMMYFUNCTION("""COMPUTED_VALUE"""),"Claire")</f>
        <v>Claire</v>
      </c>
      <c r="C439" s="24">
        <f>IFERROR(__xludf.DUMMYFUNCTION("""COMPUTED_VALUE"""),745.0)</f>
        <v>745</v>
      </c>
      <c r="D439" s="24" t="str">
        <f>IFERROR(__xludf.DUMMYFUNCTION("""COMPUTED_VALUE"""),"Amazon")</f>
        <v>Amazon</v>
      </c>
      <c r="F439" s="23">
        <f>IFERROR(__xludf.DUMMYFUNCTION("""COMPUTED_VALUE"""),44738.72501795139)</f>
        <v>44738.72502</v>
      </c>
      <c r="G439" s="24" t="str">
        <f>IFERROR(__xludf.DUMMYFUNCTION("""COMPUTED_VALUE"""),"Zoe")</f>
        <v>Zoe</v>
      </c>
      <c r="H439" s="24">
        <f>IFERROR(__xludf.DUMMYFUNCTION("""COMPUTED_VALUE"""),163.0)</f>
        <v>163</v>
      </c>
      <c r="I439" s="24" t="str">
        <f>IFERROR(__xludf.DUMMYFUNCTION("""COMPUTED_VALUE"""),"Shampoo")</f>
        <v>Shampoo</v>
      </c>
    </row>
    <row r="440">
      <c r="A440" s="23">
        <f>IFERROR(__xludf.DUMMYFUNCTION("""COMPUTED_VALUE"""),44770.71169008102)</f>
        <v>44770.71169</v>
      </c>
      <c r="B440" s="24" t="str">
        <f>IFERROR(__xludf.DUMMYFUNCTION("""COMPUTED_VALUE"""),"Claire")</f>
        <v>Claire</v>
      </c>
      <c r="C440" s="24">
        <f>IFERROR(__xludf.DUMMYFUNCTION("""COMPUTED_VALUE"""),1140.0)</f>
        <v>1140</v>
      </c>
      <c r="D440" s="24" t="str">
        <f>IFERROR(__xludf.DUMMYFUNCTION("""COMPUTED_VALUE"""),"Amazon")</f>
        <v>Amazon</v>
      </c>
      <c r="F440" s="23">
        <f>IFERROR(__xludf.DUMMYFUNCTION("""COMPUTED_VALUE"""),44738.725258425926)</f>
        <v>44738.72526</v>
      </c>
      <c r="G440" s="24" t="str">
        <f>IFERROR(__xludf.DUMMYFUNCTION("""COMPUTED_VALUE"""),"Ausar")</f>
        <v>Ausar</v>
      </c>
      <c r="H440" s="24">
        <f>IFERROR(__xludf.DUMMYFUNCTION("""COMPUTED_VALUE"""),527.0)</f>
        <v>527</v>
      </c>
      <c r="I440" s="24" t="str">
        <f>IFERROR(__xludf.DUMMYFUNCTION("""COMPUTED_VALUE"""),"Produce")</f>
        <v>Produce</v>
      </c>
    </row>
    <row r="441">
      <c r="A441" s="23">
        <f>IFERROR(__xludf.DUMMYFUNCTION("""COMPUTED_VALUE"""),44770.713239791665)</f>
        <v>44770.71324</v>
      </c>
      <c r="B441" s="24" t="str">
        <f>IFERROR(__xludf.DUMMYFUNCTION("""COMPUTED_VALUE"""),"Claire")</f>
        <v>Claire</v>
      </c>
      <c r="C441" s="24">
        <f>IFERROR(__xludf.DUMMYFUNCTION("""COMPUTED_VALUE"""),907.0)</f>
        <v>907</v>
      </c>
      <c r="D441" s="24" t="str">
        <f>IFERROR(__xludf.DUMMYFUNCTION("""COMPUTED_VALUE"""),"Amazon")</f>
        <v>Amazon</v>
      </c>
      <c r="F441" s="23">
        <f>IFERROR(__xludf.DUMMYFUNCTION("""COMPUTED_VALUE"""),44738.72567846065)</f>
        <v>44738.72568</v>
      </c>
      <c r="G441" s="24" t="str">
        <f>IFERROR(__xludf.DUMMYFUNCTION("""COMPUTED_VALUE"""),"Zoe")</f>
        <v>Zoe</v>
      </c>
      <c r="H441" s="24">
        <f>IFERROR(__xludf.DUMMYFUNCTION("""COMPUTED_VALUE"""),494.0)</f>
        <v>494</v>
      </c>
      <c r="I441" s="24" t="str">
        <f>IFERROR(__xludf.DUMMYFUNCTION("""COMPUTED_VALUE"""),"Produce")</f>
        <v>Produce</v>
      </c>
    </row>
    <row r="442">
      <c r="A442" s="23">
        <f>IFERROR(__xludf.DUMMYFUNCTION("""COMPUTED_VALUE"""),44770.71528545139)</f>
        <v>44770.71529</v>
      </c>
      <c r="B442" s="24" t="str">
        <f>IFERROR(__xludf.DUMMYFUNCTION("""COMPUTED_VALUE"""),"Claire")</f>
        <v>Claire</v>
      </c>
      <c r="C442" s="24">
        <f>IFERROR(__xludf.DUMMYFUNCTION("""COMPUTED_VALUE"""),1243.0)</f>
        <v>1243</v>
      </c>
      <c r="D442" s="24" t="str">
        <f>IFERROR(__xludf.DUMMYFUNCTION("""COMPUTED_VALUE"""),"Amazon")</f>
        <v>Amazon</v>
      </c>
      <c r="F442" s="23">
        <f>IFERROR(__xludf.DUMMYFUNCTION("""COMPUTED_VALUE"""),44738.725813854166)</f>
        <v>44738.72581</v>
      </c>
      <c r="G442" s="24" t="str">
        <f>IFERROR(__xludf.DUMMYFUNCTION("""COMPUTED_VALUE"""),"Ausar")</f>
        <v>Ausar</v>
      </c>
      <c r="H442" s="24">
        <f>IFERROR(__xludf.DUMMYFUNCTION("""COMPUTED_VALUE"""),216.0)</f>
        <v>216</v>
      </c>
      <c r="I442" s="24" t="str">
        <f>IFERROR(__xludf.DUMMYFUNCTION("""COMPUTED_VALUE"""),"Produce")</f>
        <v>Produce</v>
      </c>
    </row>
    <row r="443">
      <c r="A443" s="23">
        <f>IFERROR(__xludf.DUMMYFUNCTION("""COMPUTED_VALUE"""),44771.58372030093)</f>
        <v>44771.58372</v>
      </c>
      <c r="B443" s="24" t="str">
        <f>IFERROR(__xludf.DUMMYFUNCTION("""COMPUTED_VALUE"""),"Spencer Ellsworth ")</f>
        <v>Spencer Ellsworth </v>
      </c>
      <c r="C443" s="24">
        <f>IFERROR(__xludf.DUMMYFUNCTION("""COMPUTED_VALUE"""),140.0)</f>
        <v>140</v>
      </c>
      <c r="D443" s="24" t="str">
        <f>IFERROR(__xludf.DUMMYFUNCTION("""COMPUTED_VALUE"""),"Alto Dale Farm")</f>
        <v>Alto Dale Farm</v>
      </c>
      <c r="F443" s="23">
        <f>IFERROR(__xludf.DUMMYFUNCTION("""COMPUTED_VALUE"""),44738.72645018519)</f>
        <v>44738.72645</v>
      </c>
      <c r="G443" s="24" t="str">
        <f>IFERROR(__xludf.DUMMYFUNCTION("""COMPUTED_VALUE"""),"Zoe")</f>
        <v>Zoe</v>
      </c>
      <c r="H443" s="24">
        <f>IFERROR(__xludf.DUMMYFUNCTION("""COMPUTED_VALUE"""),15.0)</f>
        <v>15</v>
      </c>
      <c r="I443" s="24"/>
    </row>
    <row r="444">
      <c r="A444" s="23">
        <f>IFERROR(__xludf.DUMMYFUNCTION("""COMPUTED_VALUE"""),44773.64439782407)</f>
        <v>44773.6444</v>
      </c>
      <c r="B444" s="24" t="str">
        <f>IFERROR(__xludf.DUMMYFUNCTION("""COMPUTED_VALUE"""),"Zoe")</f>
        <v>Zoe</v>
      </c>
      <c r="C444" s="24">
        <f>IFERROR(__xludf.DUMMYFUNCTION("""COMPUTED_VALUE"""),295.0)</f>
        <v>295</v>
      </c>
      <c r="D444" s="24" t="str">
        <f>IFERROR(__xludf.DUMMYFUNCTION("""COMPUTED_VALUE"""),"Amazon")</f>
        <v>Amazon</v>
      </c>
      <c r="F444" s="23">
        <f>IFERROR(__xludf.DUMMYFUNCTION("""COMPUTED_VALUE"""),44738.73109068287)</f>
        <v>44738.73109</v>
      </c>
      <c r="G444" s="24" t="str">
        <f>IFERROR(__xludf.DUMMYFUNCTION("""COMPUTED_VALUE"""),"Ausar")</f>
        <v>Ausar</v>
      </c>
      <c r="H444" s="24">
        <f>IFERROR(__xludf.DUMMYFUNCTION("""COMPUTED_VALUE"""),13.0)</f>
        <v>13</v>
      </c>
      <c r="I444" s="24" t="str">
        <f>IFERROR(__xludf.DUMMYFUNCTION("""COMPUTED_VALUE"""),"Assorted option")</f>
        <v>Assorted option</v>
      </c>
    </row>
    <row r="445">
      <c r="A445" s="23">
        <f>IFERROR(__xludf.DUMMYFUNCTION("""COMPUTED_VALUE"""),44773.64561107639)</f>
        <v>44773.64561</v>
      </c>
      <c r="B445" s="24" t="str">
        <f>IFERROR(__xludf.DUMMYFUNCTION("""COMPUTED_VALUE"""),"Zoe")</f>
        <v>Zoe</v>
      </c>
      <c r="C445" s="24">
        <f>IFERROR(__xludf.DUMMYFUNCTION("""COMPUTED_VALUE"""),521.0)</f>
        <v>521</v>
      </c>
      <c r="D445" s="24" t="str">
        <f>IFERROR(__xludf.DUMMYFUNCTION("""COMPUTED_VALUE"""),"Amazon")</f>
        <v>Amazon</v>
      </c>
      <c r="F445" s="23">
        <f>IFERROR(__xludf.DUMMYFUNCTION("""COMPUTED_VALUE"""),44740.71536553241)</f>
        <v>44740.71537</v>
      </c>
      <c r="G445" s="24" t="str">
        <f>IFERROR(__xludf.DUMMYFUNCTION("""COMPUTED_VALUE"""),"Kaneesha ")</f>
        <v>Kaneesha </v>
      </c>
      <c r="H445" s="24">
        <f>IFERROR(__xludf.DUMMYFUNCTION("""COMPUTED_VALUE"""),20.0)</f>
        <v>20</v>
      </c>
      <c r="I445" s="24"/>
    </row>
    <row r="446">
      <c r="A446" s="23">
        <f>IFERROR(__xludf.DUMMYFUNCTION("""COMPUTED_VALUE"""),44773.64689224537)</f>
        <v>44773.64689</v>
      </c>
      <c r="B446" s="24" t="str">
        <f>IFERROR(__xludf.DUMMYFUNCTION("""COMPUTED_VALUE"""),"Zoe")</f>
        <v>Zoe</v>
      </c>
      <c r="C446" s="24">
        <f>IFERROR(__xludf.DUMMYFUNCTION("""COMPUTED_VALUE"""),84.0)</f>
        <v>84</v>
      </c>
      <c r="D446" s="24" t="str">
        <f>IFERROR(__xludf.DUMMYFUNCTION("""COMPUTED_VALUE"""),"Amazon")</f>
        <v>Amazon</v>
      </c>
      <c r="F446" s="23">
        <f>IFERROR(__xludf.DUMMYFUNCTION("""COMPUTED_VALUE"""),44740.715958252316)</f>
        <v>44740.71596</v>
      </c>
      <c r="G446" s="24" t="str">
        <f>IFERROR(__xludf.DUMMYFUNCTION("""COMPUTED_VALUE"""),"Kaneesha (expired)")</f>
        <v>Kaneesha (expired)</v>
      </c>
      <c r="H446" s="24">
        <f>IFERROR(__xludf.DUMMYFUNCTION("""COMPUTED_VALUE"""),32.0)</f>
        <v>32</v>
      </c>
      <c r="I446" s="24"/>
    </row>
    <row r="447">
      <c r="A447" s="23">
        <f>IFERROR(__xludf.DUMMYFUNCTION("""COMPUTED_VALUE"""),44773.64868344907)</f>
        <v>44773.64868</v>
      </c>
      <c r="B447" s="24" t="str">
        <f>IFERROR(__xludf.DUMMYFUNCTION("""COMPUTED_VALUE"""),"Zoe")</f>
        <v>Zoe</v>
      </c>
      <c r="C447" s="24">
        <f>IFERROR(__xludf.DUMMYFUNCTION("""COMPUTED_VALUE"""),773.0)</f>
        <v>773</v>
      </c>
      <c r="D447" s="24" t="str">
        <f>IFERROR(__xludf.DUMMYFUNCTION("""COMPUTED_VALUE"""),"Amazon")</f>
        <v>Amazon</v>
      </c>
      <c r="F447" s="23">
        <f>IFERROR(__xludf.DUMMYFUNCTION("""COMPUTED_VALUE"""),44740.7169684838)</f>
        <v>44740.71697</v>
      </c>
      <c r="G447" s="24" t="str">
        <f>IFERROR(__xludf.DUMMYFUNCTION("""COMPUTED_VALUE"""),"Jan Kleinman ")</f>
        <v>Jan Kleinman </v>
      </c>
      <c r="H447" s="24">
        <f>IFERROR(__xludf.DUMMYFUNCTION("""COMPUTED_VALUE"""),27.0)</f>
        <v>27</v>
      </c>
      <c r="I447" s="24"/>
    </row>
    <row r="448">
      <c r="A448" s="23">
        <f>IFERROR(__xludf.DUMMYFUNCTION("""COMPUTED_VALUE"""),44773.650765439816)</f>
        <v>44773.65077</v>
      </c>
      <c r="B448" s="24" t="str">
        <f>IFERROR(__xludf.DUMMYFUNCTION("""COMPUTED_VALUE"""),"Zoe")</f>
        <v>Zoe</v>
      </c>
      <c r="C448" s="24">
        <f>IFERROR(__xludf.DUMMYFUNCTION("""COMPUTED_VALUE"""),634.0)</f>
        <v>634</v>
      </c>
      <c r="D448" s="24" t="str">
        <f>IFERROR(__xludf.DUMMYFUNCTION("""COMPUTED_VALUE"""),"Amazon")</f>
        <v>Amazon</v>
      </c>
      <c r="F448" s="23">
        <f>IFERROR(__xludf.DUMMYFUNCTION("""COMPUTED_VALUE"""),44740.722397418984)</f>
        <v>44740.7224</v>
      </c>
      <c r="G448" s="24" t="str">
        <f>IFERROR(__xludf.DUMMYFUNCTION("""COMPUTED_VALUE"""),"Beverly E. Pinn")</f>
        <v>Beverly E. Pinn</v>
      </c>
      <c r="H448" s="24">
        <f>IFERROR(__xludf.DUMMYFUNCTION("""COMPUTED_VALUE"""),10.0)</f>
        <v>10</v>
      </c>
      <c r="I448" s="24"/>
    </row>
    <row r="449">
      <c r="A449" s="23">
        <f>IFERROR(__xludf.DUMMYFUNCTION("""COMPUTED_VALUE"""),44775.59702767361)</f>
        <v>44775.59703</v>
      </c>
      <c r="B449" s="24" t="str">
        <f>IFERROR(__xludf.DUMMYFUNCTION("""COMPUTED_VALUE"""),"Claire")</f>
        <v>Claire</v>
      </c>
      <c r="C449" s="24">
        <f>IFERROR(__xludf.DUMMYFUNCTION("""COMPUTED_VALUE"""),692.0)</f>
        <v>692</v>
      </c>
      <c r="D449" s="24" t="str">
        <f>IFERROR(__xludf.DUMMYFUNCTION("""COMPUTED_VALUE"""),"Amazon")</f>
        <v>Amazon</v>
      </c>
      <c r="F449" s="23">
        <f>IFERROR(__xludf.DUMMYFUNCTION("""COMPUTED_VALUE"""),44740.72284811342)</f>
        <v>44740.72285</v>
      </c>
      <c r="G449" s="24" t="str">
        <f>IFERROR(__xludf.DUMMYFUNCTION("""COMPUTED_VALUE"""),"Beverly E. Pinn")</f>
        <v>Beverly E. Pinn</v>
      </c>
      <c r="H449" s="24">
        <f>IFERROR(__xludf.DUMMYFUNCTION("""COMPUTED_VALUE"""),19.0)</f>
        <v>19</v>
      </c>
      <c r="I449" s="24"/>
    </row>
    <row r="450">
      <c r="A450" s="23">
        <f>IFERROR(__xludf.DUMMYFUNCTION("""COMPUTED_VALUE"""),44775.59733827546)</f>
        <v>44775.59734</v>
      </c>
      <c r="B450" s="24" t="str">
        <f>IFERROR(__xludf.DUMMYFUNCTION("""COMPUTED_VALUE"""),"Claire")</f>
        <v>Claire</v>
      </c>
      <c r="C450" s="24">
        <f>IFERROR(__xludf.DUMMYFUNCTION("""COMPUTED_VALUE"""),317.0)</f>
        <v>317</v>
      </c>
      <c r="D450" s="24" t="str">
        <f>IFERROR(__xludf.DUMMYFUNCTION("""COMPUTED_VALUE"""),"Amazon")</f>
        <v>Amazon</v>
      </c>
      <c r="F450" s="23">
        <f>IFERROR(__xludf.DUMMYFUNCTION("""COMPUTED_VALUE"""),44740.73806884259)</f>
        <v>44740.73807</v>
      </c>
      <c r="G450" s="24" t="str">
        <f>IFERROR(__xludf.DUMMYFUNCTION("""COMPUTED_VALUE"""),"Dorja ")</f>
        <v>Dorja </v>
      </c>
      <c r="H450" s="24">
        <f>IFERROR(__xludf.DUMMYFUNCTION("""COMPUTED_VALUE"""),26.0)</f>
        <v>26</v>
      </c>
      <c r="I450" s="24"/>
    </row>
    <row r="451">
      <c r="A451" s="23">
        <f>IFERROR(__xludf.DUMMYFUNCTION("""COMPUTED_VALUE"""),44775.59759833333)</f>
        <v>44775.5976</v>
      </c>
      <c r="B451" s="24" t="str">
        <f>IFERROR(__xludf.DUMMYFUNCTION("""COMPUTED_VALUE"""),"Claire")</f>
        <v>Claire</v>
      </c>
      <c r="C451" s="24">
        <f>IFERROR(__xludf.DUMMYFUNCTION("""COMPUTED_VALUE"""),966.0)</f>
        <v>966</v>
      </c>
      <c r="D451" s="24" t="str">
        <f>IFERROR(__xludf.DUMMYFUNCTION("""COMPUTED_VALUE"""),"Amazon")</f>
        <v>Amazon</v>
      </c>
      <c r="F451" s="23">
        <f>IFERROR(__xludf.DUMMYFUNCTION("""COMPUTED_VALUE"""),44740.73823643519)</f>
        <v>44740.73824</v>
      </c>
      <c r="G451" s="24" t="str">
        <f>IFERROR(__xludf.DUMMYFUNCTION("""COMPUTED_VALUE"""),"Dorja ")</f>
        <v>Dorja </v>
      </c>
      <c r="H451" s="24">
        <f>IFERROR(__xludf.DUMMYFUNCTION("""COMPUTED_VALUE"""),32.0)</f>
        <v>32</v>
      </c>
      <c r="I451" s="24"/>
    </row>
    <row r="452">
      <c r="A452" s="23">
        <f>IFERROR(__xludf.DUMMYFUNCTION("""COMPUTED_VALUE"""),44775.59834078703)</f>
        <v>44775.59834</v>
      </c>
      <c r="B452" s="24" t="str">
        <f>IFERROR(__xludf.DUMMYFUNCTION("""COMPUTED_VALUE"""),"Claire")</f>
        <v>Claire</v>
      </c>
      <c r="C452" s="24">
        <f>IFERROR(__xludf.DUMMYFUNCTION("""COMPUTED_VALUE"""),764.0)</f>
        <v>764</v>
      </c>
      <c r="D452" s="24" t="str">
        <f>IFERROR(__xludf.DUMMYFUNCTION("""COMPUTED_VALUE"""),"Amazon")</f>
        <v>Amazon</v>
      </c>
      <c r="F452" s="23">
        <f>IFERROR(__xludf.DUMMYFUNCTION("""COMPUTED_VALUE"""),44740.73956842593)</f>
        <v>44740.73957</v>
      </c>
      <c r="G452" s="24" t="str">
        <f>IFERROR(__xludf.DUMMYFUNCTION("""COMPUTED_VALUE"""),"Dorja ")</f>
        <v>Dorja </v>
      </c>
      <c r="H452" s="24">
        <f>IFERROR(__xludf.DUMMYFUNCTION("""COMPUTED_VALUE"""),14.0)</f>
        <v>14</v>
      </c>
      <c r="I452" s="24"/>
    </row>
    <row r="453">
      <c r="A453" s="23">
        <f>IFERROR(__xludf.DUMMYFUNCTION("""COMPUTED_VALUE"""),44775.59860981481)</f>
        <v>44775.59861</v>
      </c>
      <c r="B453" s="24" t="str">
        <f>IFERROR(__xludf.DUMMYFUNCTION("""COMPUTED_VALUE"""),"Claire")</f>
        <v>Claire</v>
      </c>
      <c r="C453" s="24">
        <f>IFERROR(__xludf.DUMMYFUNCTION("""COMPUTED_VALUE"""),1077.0)</f>
        <v>1077</v>
      </c>
      <c r="D453" s="24" t="str">
        <f>IFERROR(__xludf.DUMMYFUNCTION("""COMPUTED_VALUE"""),"Amazon")</f>
        <v>Amazon</v>
      </c>
      <c r="F453" s="23">
        <f>IFERROR(__xludf.DUMMYFUNCTION("""COMPUTED_VALUE"""),44740.74271730324)</f>
        <v>44740.74272</v>
      </c>
      <c r="G453" s="24" t="str">
        <f>IFERROR(__xludf.DUMMYFUNCTION("""COMPUTED_VALUE"""),"Dorja ")</f>
        <v>Dorja </v>
      </c>
      <c r="H453" s="24">
        <f>IFERROR(__xludf.DUMMYFUNCTION("""COMPUTED_VALUE"""),1073.0)</f>
        <v>1073</v>
      </c>
      <c r="I453" s="24" t="str">
        <f>IFERROR(__xludf.DUMMYFUNCTION("""COMPUTED_VALUE"""),"Amazon")</f>
        <v>Amazon</v>
      </c>
    </row>
    <row r="454">
      <c r="A454" s="23">
        <f>IFERROR(__xludf.DUMMYFUNCTION("""COMPUTED_VALUE"""),44775.598790613425)</f>
        <v>44775.59879</v>
      </c>
      <c r="B454" s="24" t="str">
        <f>IFERROR(__xludf.DUMMYFUNCTION("""COMPUTED_VALUE"""),"Claire")</f>
        <v>Claire</v>
      </c>
      <c r="C454" s="24">
        <f>IFERROR(__xludf.DUMMYFUNCTION("""COMPUTED_VALUE"""),579.0)</f>
        <v>579</v>
      </c>
      <c r="D454" s="24" t="str">
        <f>IFERROR(__xludf.DUMMYFUNCTION("""COMPUTED_VALUE"""),"Amazon")</f>
        <v>Amazon</v>
      </c>
      <c r="F454" s="23">
        <f>IFERROR(__xludf.DUMMYFUNCTION("""COMPUTED_VALUE"""),44740.75246431713)</f>
        <v>44740.75246</v>
      </c>
      <c r="G454" s="24" t="str">
        <f>IFERROR(__xludf.DUMMYFUNCTION("""COMPUTED_VALUE"""),"Dorja ")</f>
        <v>Dorja </v>
      </c>
      <c r="H454" s="24">
        <f>IFERROR(__xludf.DUMMYFUNCTION("""COMPUTED_VALUE"""),835.0)</f>
        <v>835</v>
      </c>
      <c r="I454" s="24" t="str">
        <f>IFERROR(__xludf.DUMMYFUNCTION("""COMPUTED_VALUE"""),"Amazon")</f>
        <v>Amazon</v>
      </c>
    </row>
    <row r="455">
      <c r="A455" s="23">
        <f>IFERROR(__xludf.DUMMYFUNCTION("""COMPUTED_VALUE"""),44775.5989608912)</f>
        <v>44775.59896</v>
      </c>
      <c r="B455" s="24" t="str">
        <f>IFERROR(__xludf.DUMMYFUNCTION("""COMPUTED_VALUE"""),"Claire")</f>
        <v>Claire</v>
      </c>
      <c r="C455" s="24">
        <f>IFERROR(__xludf.DUMMYFUNCTION("""COMPUTED_VALUE"""),1070.0)</f>
        <v>1070</v>
      </c>
      <c r="D455" s="24" t="str">
        <f>IFERROR(__xludf.DUMMYFUNCTION("""COMPUTED_VALUE"""),"Amazon")</f>
        <v>Amazon</v>
      </c>
      <c r="F455" s="23">
        <f>IFERROR(__xludf.DUMMYFUNCTION("""COMPUTED_VALUE"""),44740.75367857639)</f>
        <v>44740.75368</v>
      </c>
      <c r="G455" s="24" t="str">
        <f>IFERROR(__xludf.DUMMYFUNCTION("""COMPUTED_VALUE"""),"Dorja ")</f>
        <v>Dorja </v>
      </c>
      <c r="H455" s="24">
        <f>IFERROR(__xludf.DUMMYFUNCTION("""COMPUTED_VALUE"""),150.0)</f>
        <v>150</v>
      </c>
      <c r="I455" s="24" t="str">
        <f>IFERROR(__xludf.DUMMYFUNCTION("""COMPUTED_VALUE"""),"Amazon")</f>
        <v>Amazon</v>
      </c>
    </row>
    <row r="456">
      <c r="A456" s="23">
        <f>IFERROR(__xludf.DUMMYFUNCTION("""COMPUTED_VALUE"""),44775.59915502314)</f>
        <v>44775.59916</v>
      </c>
      <c r="B456" s="24" t="str">
        <f>IFERROR(__xludf.DUMMYFUNCTION("""COMPUTED_VALUE"""),"Claire")</f>
        <v>Claire</v>
      </c>
      <c r="C456" s="24">
        <f>IFERROR(__xludf.DUMMYFUNCTION("""COMPUTED_VALUE"""),506.0)</f>
        <v>506</v>
      </c>
      <c r="D456" s="24" t="str">
        <f>IFERROR(__xludf.DUMMYFUNCTION("""COMPUTED_VALUE"""),"Amazon")</f>
        <v>Amazon</v>
      </c>
      <c r="F456" s="23">
        <f>IFERROR(__xludf.DUMMYFUNCTION("""COMPUTED_VALUE"""),44740.75487773148)</f>
        <v>44740.75488</v>
      </c>
      <c r="G456" s="24" t="str">
        <f>IFERROR(__xludf.DUMMYFUNCTION("""COMPUTED_VALUE"""),"Dorja")</f>
        <v>Dorja</v>
      </c>
      <c r="H456" s="24">
        <f>IFERROR(__xludf.DUMMYFUNCTION("""COMPUTED_VALUE"""),797.0)</f>
        <v>797</v>
      </c>
      <c r="I456" s="24" t="str">
        <f>IFERROR(__xludf.DUMMYFUNCTION("""COMPUTED_VALUE"""),"Amazon")</f>
        <v>Amazon</v>
      </c>
    </row>
    <row r="457">
      <c r="A457" s="23">
        <f>IFERROR(__xludf.DUMMYFUNCTION("""COMPUTED_VALUE"""),44775.59933981481)</f>
        <v>44775.59934</v>
      </c>
      <c r="B457" s="24" t="str">
        <f>IFERROR(__xludf.DUMMYFUNCTION("""COMPUTED_VALUE"""),"Claire")</f>
        <v>Claire</v>
      </c>
      <c r="C457" s="24">
        <f>IFERROR(__xludf.DUMMYFUNCTION("""COMPUTED_VALUE"""),1069.0)</f>
        <v>1069</v>
      </c>
      <c r="D457" s="24" t="str">
        <f>IFERROR(__xludf.DUMMYFUNCTION("""COMPUTED_VALUE"""),"Amazon")</f>
        <v>Amazon</v>
      </c>
      <c r="F457" s="23">
        <f>IFERROR(__xludf.DUMMYFUNCTION("""COMPUTED_VALUE"""),44740.75534002315)</f>
        <v>44740.75534</v>
      </c>
      <c r="G457" s="24" t="str">
        <f>IFERROR(__xludf.DUMMYFUNCTION("""COMPUTED_VALUE"""),"Jean.     Extra")</f>
        <v>Jean.     Extra</v>
      </c>
      <c r="H457" s="24">
        <f>IFERROR(__xludf.DUMMYFUNCTION("""COMPUTED_VALUE"""),16.0)</f>
        <v>16</v>
      </c>
      <c r="I457" s="24"/>
    </row>
    <row r="458">
      <c r="A458" s="23">
        <f>IFERROR(__xludf.DUMMYFUNCTION("""COMPUTED_VALUE"""),44776.55065508102)</f>
        <v>44776.55066</v>
      </c>
      <c r="B458" s="24" t="str">
        <f>IFERROR(__xludf.DUMMYFUNCTION("""COMPUTED_VALUE"""),"Deborah Claridy")</f>
        <v>Deborah Claridy</v>
      </c>
      <c r="C458" s="24">
        <f>IFERROR(__xludf.DUMMYFUNCTION("""COMPUTED_VALUE"""),661.0)</f>
        <v>661</v>
      </c>
      <c r="D458" s="24" t="str">
        <f>IFERROR(__xludf.DUMMYFUNCTION("""COMPUTED_VALUE"""),"first fruits farm")</f>
        <v>first fruits farm</v>
      </c>
      <c r="F458" s="23">
        <f>IFERROR(__xludf.DUMMYFUNCTION("""COMPUTED_VALUE"""),44740.75577203704)</f>
        <v>44740.75577</v>
      </c>
      <c r="G458" s="24" t="str">
        <f>IFERROR(__xludf.DUMMYFUNCTION("""COMPUTED_VALUE"""),"Jean")</f>
        <v>Jean</v>
      </c>
      <c r="H458" s="24">
        <f>IFERROR(__xludf.DUMMYFUNCTION("""COMPUTED_VALUE"""),34.0)</f>
        <v>34</v>
      </c>
      <c r="I458" s="24"/>
    </row>
    <row r="459">
      <c r="A459" s="23">
        <f>IFERROR(__xludf.DUMMYFUNCTION("""COMPUTED_VALUE"""),44776.55164376157)</f>
        <v>44776.55164</v>
      </c>
      <c r="B459" s="24" t="str">
        <f>IFERROR(__xludf.DUMMYFUNCTION("""COMPUTED_VALUE"""),"Deborah Claridy ")</f>
        <v>Deborah Claridy </v>
      </c>
      <c r="C459" s="24">
        <f>IFERROR(__xludf.DUMMYFUNCTION("""COMPUTED_VALUE"""),608.0)</f>
        <v>608</v>
      </c>
      <c r="D459" s="24" t="str">
        <f>IFERROR(__xludf.DUMMYFUNCTION("""COMPUTED_VALUE"""),"First farm fruits")</f>
        <v>First farm fruits</v>
      </c>
      <c r="F459" s="23">
        <f>IFERROR(__xludf.DUMMYFUNCTION("""COMPUTED_VALUE"""),44741.0)</f>
        <v>44741</v>
      </c>
      <c r="G459" s="24" t="str">
        <f>IFERROR(__xludf.DUMMYFUNCTION("""COMPUTED_VALUE"""),"Claire")</f>
        <v>Claire</v>
      </c>
      <c r="H459" s="24">
        <f>IFERROR(__xludf.DUMMYFUNCTION("""COMPUTED_VALUE"""),-2.0)</f>
        <v>-2</v>
      </c>
      <c r="I459" s="24" t="str">
        <f>IFERROR(__xludf.DUMMYFUNCTION("""COMPUTED_VALUE"""),"N3")</f>
        <v>N3</v>
      </c>
    </row>
    <row r="460">
      <c r="A460" s="23">
        <f>IFERROR(__xludf.DUMMYFUNCTION("""COMPUTED_VALUE"""),44776.63519953704)</f>
        <v>44776.6352</v>
      </c>
      <c r="B460" s="24" t="str">
        <f>IFERROR(__xludf.DUMMYFUNCTION("""COMPUTED_VALUE"""),"Claire")</f>
        <v>Claire</v>
      </c>
      <c r="C460" s="24">
        <f>IFERROR(__xludf.DUMMYFUNCTION("""COMPUTED_VALUE"""),548.0)</f>
        <v>548</v>
      </c>
      <c r="D460" s="24" t="str">
        <f>IFERROR(__xludf.DUMMYFUNCTION("""COMPUTED_VALUE"""),"First fruit farm")</f>
        <v>First fruit farm</v>
      </c>
      <c r="F460" s="23">
        <f>IFERROR(__xludf.DUMMYFUNCTION("""COMPUTED_VALUE"""),44741.0)</f>
        <v>44741</v>
      </c>
      <c r="G460" s="24" t="str">
        <f>IFERROR(__xludf.DUMMYFUNCTION("""COMPUTED_VALUE"""),"Claire")</f>
        <v>Claire</v>
      </c>
      <c r="H460" s="24">
        <f>IFERROR(__xludf.DUMMYFUNCTION("""COMPUTED_VALUE"""),13.0)</f>
        <v>13</v>
      </c>
      <c r="I460" s="24" t="str">
        <f>IFERROR(__xludf.DUMMYFUNCTION("""COMPUTED_VALUE"""),"P5")</f>
        <v>P5</v>
      </c>
    </row>
    <row r="461">
      <c r="A461" s="23">
        <f>IFERROR(__xludf.DUMMYFUNCTION("""COMPUTED_VALUE"""),44776.63545717592)</f>
        <v>44776.63546</v>
      </c>
      <c r="B461" s="24" t="str">
        <f>IFERROR(__xludf.DUMMYFUNCTION("""COMPUTED_VALUE"""),"Claire")</f>
        <v>Claire</v>
      </c>
      <c r="C461" s="24">
        <f>IFERROR(__xludf.DUMMYFUNCTION("""COMPUTED_VALUE"""),443.0)</f>
        <v>443</v>
      </c>
      <c r="D461" s="24" t="str">
        <f>IFERROR(__xludf.DUMMYFUNCTION("""COMPUTED_VALUE"""),"First fruit farm")</f>
        <v>First fruit farm</v>
      </c>
      <c r="F461" s="23">
        <f>IFERROR(__xludf.DUMMYFUNCTION("""COMPUTED_VALUE"""),44741.0)</f>
        <v>44741</v>
      </c>
      <c r="G461" s="24" t="str">
        <f>IFERROR(__xludf.DUMMYFUNCTION("""COMPUTED_VALUE"""),"Claire")</f>
        <v>Claire</v>
      </c>
      <c r="H461" s="24">
        <f>IFERROR(__xludf.DUMMYFUNCTION("""COMPUTED_VALUE"""),38.0)</f>
        <v>38</v>
      </c>
      <c r="I461" s="24" t="str">
        <f>IFERROR(__xludf.DUMMYFUNCTION("""COMPUTED_VALUE"""),"N2")</f>
        <v>N2</v>
      </c>
    </row>
    <row r="462">
      <c r="A462" s="23">
        <f>IFERROR(__xludf.DUMMYFUNCTION("""COMPUTED_VALUE"""),44776.63568017361)</f>
        <v>44776.63568</v>
      </c>
      <c r="B462" s="24" t="str">
        <f>IFERROR(__xludf.DUMMYFUNCTION("""COMPUTED_VALUE"""),"Claire")</f>
        <v>Claire</v>
      </c>
      <c r="C462" s="24">
        <f>IFERROR(__xludf.DUMMYFUNCTION("""COMPUTED_VALUE"""),955.0)</f>
        <v>955</v>
      </c>
      <c r="D462" s="24" t="str">
        <f>IFERROR(__xludf.DUMMYFUNCTION("""COMPUTED_VALUE"""),"First fruit farm")</f>
        <v>First fruit farm</v>
      </c>
      <c r="F462" s="23">
        <f>IFERROR(__xludf.DUMMYFUNCTION("""COMPUTED_VALUE"""),44741.0)</f>
        <v>44741</v>
      </c>
      <c r="G462" s="24" t="str">
        <f>IFERROR(__xludf.DUMMYFUNCTION("""COMPUTED_VALUE"""),"Claire")</f>
        <v>Claire</v>
      </c>
      <c r="H462" s="24">
        <f>IFERROR(__xludf.DUMMYFUNCTION("""COMPUTED_VALUE"""),13.0)</f>
        <v>13</v>
      </c>
      <c r="I462" s="24" t="str">
        <f>IFERROR(__xludf.DUMMYFUNCTION("""COMPUTED_VALUE"""),"P5")</f>
        <v>P5</v>
      </c>
    </row>
    <row r="463">
      <c r="A463" s="23">
        <f>IFERROR(__xludf.DUMMYFUNCTION("""COMPUTED_VALUE"""),44776.63583708333)</f>
        <v>44776.63584</v>
      </c>
      <c r="B463" s="24" t="str">
        <f>IFERROR(__xludf.DUMMYFUNCTION("""COMPUTED_VALUE"""),"Claire")</f>
        <v>Claire</v>
      </c>
      <c r="C463" s="24">
        <f>IFERROR(__xludf.DUMMYFUNCTION("""COMPUTED_VALUE"""),198.0)</f>
        <v>198</v>
      </c>
      <c r="D463" s="24" t="str">
        <f>IFERROR(__xludf.DUMMYFUNCTION("""COMPUTED_VALUE"""),"Amazon")</f>
        <v>Amazon</v>
      </c>
      <c r="F463" s="23">
        <f>IFERROR(__xludf.DUMMYFUNCTION("""COMPUTED_VALUE"""),44741.0)</f>
        <v>44741</v>
      </c>
      <c r="G463" s="24" t="str">
        <f>IFERROR(__xludf.DUMMYFUNCTION("""COMPUTED_VALUE"""),"Claire")</f>
        <v>Claire</v>
      </c>
      <c r="H463" s="24">
        <f>IFERROR(__xludf.DUMMYFUNCTION("""COMPUTED_VALUE"""),125.0)</f>
        <v>125</v>
      </c>
      <c r="I463" s="24" t="str">
        <f>IFERROR(__xludf.DUMMYFUNCTION("""COMPUTED_VALUE"""),"P1")</f>
        <v>P1</v>
      </c>
    </row>
    <row r="464">
      <c r="A464" s="23">
        <f>IFERROR(__xludf.DUMMYFUNCTION("""COMPUTED_VALUE"""),44776.63609432871)</f>
        <v>44776.63609</v>
      </c>
      <c r="B464" s="24" t="str">
        <f>IFERROR(__xludf.DUMMYFUNCTION("""COMPUTED_VALUE"""),"Claire")</f>
        <v>Claire</v>
      </c>
      <c r="C464" s="24">
        <f>IFERROR(__xludf.DUMMYFUNCTION("""COMPUTED_VALUE"""),423.0)</f>
        <v>423</v>
      </c>
      <c r="D464" s="24" t="str">
        <f>IFERROR(__xludf.DUMMYFUNCTION("""COMPUTED_VALUE"""),"First fruit farm")</f>
        <v>First fruit farm</v>
      </c>
      <c r="F464" s="23">
        <f>IFERROR(__xludf.DUMMYFUNCTION("""COMPUTED_VALUE"""),44741.0)</f>
        <v>44741</v>
      </c>
      <c r="G464" s="24" t="str">
        <f>IFERROR(__xludf.DUMMYFUNCTION("""COMPUTED_VALUE"""),"Claire")</f>
        <v>Claire</v>
      </c>
      <c r="H464" s="24">
        <f>IFERROR(__xludf.DUMMYFUNCTION("""COMPUTED_VALUE"""),1094.0)</f>
        <v>1094</v>
      </c>
      <c r="I464" s="24" t="str">
        <f>IFERROR(__xludf.DUMMYFUNCTION("""COMPUTED_VALUE"""),"K1")</f>
        <v>K1</v>
      </c>
    </row>
    <row r="465">
      <c r="A465" s="23">
        <f>IFERROR(__xludf.DUMMYFUNCTION("""COMPUTED_VALUE"""),44776.63627934028)</f>
        <v>44776.63628</v>
      </c>
      <c r="B465" s="24" t="str">
        <f>IFERROR(__xludf.DUMMYFUNCTION("""COMPUTED_VALUE"""),"Claire")</f>
        <v>Claire</v>
      </c>
      <c r="C465" s="24">
        <f>IFERROR(__xludf.DUMMYFUNCTION("""COMPUTED_VALUE"""),426.0)</f>
        <v>426</v>
      </c>
      <c r="D465" s="24" t="str">
        <f>IFERROR(__xludf.DUMMYFUNCTION("""COMPUTED_VALUE"""),"Amazon")</f>
        <v>Amazon</v>
      </c>
      <c r="F465" s="23">
        <f>IFERROR(__xludf.DUMMYFUNCTION("""COMPUTED_VALUE"""),44741.0)</f>
        <v>44741</v>
      </c>
      <c r="G465" s="24" t="str">
        <f>IFERROR(__xludf.DUMMYFUNCTION("""COMPUTED_VALUE"""),"Claire")</f>
        <v>Claire</v>
      </c>
      <c r="H465" s="24">
        <f>IFERROR(__xludf.DUMMYFUNCTION("""COMPUTED_VALUE"""),1061.0)</f>
        <v>1061</v>
      </c>
      <c r="I465" s="24" t="str">
        <f>IFERROR(__xludf.DUMMYFUNCTION("""COMPUTED_VALUE"""),"K2")</f>
        <v>K2</v>
      </c>
    </row>
    <row r="466">
      <c r="A466" s="23">
        <f>IFERROR(__xludf.DUMMYFUNCTION("""COMPUTED_VALUE"""),44776.63648487268)</f>
        <v>44776.63648</v>
      </c>
      <c r="B466" s="24" t="str">
        <f>IFERROR(__xludf.DUMMYFUNCTION("""COMPUTED_VALUE"""),"Claire")</f>
        <v>Claire</v>
      </c>
      <c r="C466" s="24">
        <f>IFERROR(__xludf.DUMMYFUNCTION("""COMPUTED_VALUE"""),580.0)</f>
        <v>580</v>
      </c>
      <c r="D466" s="24" t="str">
        <f>IFERROR(__xludf.DUMMYFUNCTION("""COMPUTED_VALUE"""),"Walmart")</f>
        <v>Walmart</v>
      </c>
      <c r="F466" s="23">
        <f>IFERROR(__xludf.DUMMYFUNCTION("""COMPUTED_VALUE"""),44741.0)</f>
        <v>44741</v>
      </c>
      <c r="G466" s="24" t="str">
        <f>IFERROR(__xludf.DUMMYFUNCTION("""COMPUTED_VALUE"""),"Claire")</f>
        <v>Claire</v>
      </c>
      <c r="H466" s="24">
        <f>IFERROR(__xludf.DUMMYFUNCTION("""COMPUTED_VALUE"""),721.0)</f>
        <v>721</v>
      </c>
      <c r="I466" s="24" t="str">
        <f>IFERROR(__xludf.DUMMYFUNCTION("""COMPUTED_VALUE"""),"K4")</f>
        <v>K4</v>
      </c>
    </row>
    <row r="467">
      <c r="A467" s="23">
        <f>IFERROR(__xludf.DUMMYFUNCTION("""COMPUTED_VALUE"""),44776.63674574074)</f>
        <v>44776.63675</v>
      </c>
      <c r="B467" s="24" t="str">
        <f>IFERROR(__xludf.DUMMYFUNCTION("""COMPUTED_VALUE"""),"Claire")</f>
        <v>Claire</v>
      </c>
      <c r="C467" s="24">
        <f>IFERROR(__xludf.DUMMYFUNCTION("""COMPUTED_VALUE"""),364.0)</f>
        <v>364</v>
      </c>
      <c r="D467" s="24" t="str">
        <f>IFERROR(__xludf.DUMMYFUNCTION("""COMPUTED_VALUE"""),"Walmart")</f>
        <v>Walmart</v>
      </c>
      <c r="F467" s="23">
        <f>IFERROR(__xludf.DUMMYFUNCTION("""COMPUTED_VALUE"""),44741.594688599536)</f>
        <v>44741.59469</v>
      </c>
      <c r="G467" s="24" t="str">
        <f>IFERROR(__xludf.DUMMYFUNCTION("""COMPUTED_VALUE"""),"Bud Stracker (sisson St dpw drinks)")</f>
        <v>Bud Stracker (sisson St dpw drinks)</v>
      </c>
      <c r="H467" s="24">
        <f>IFERROR(__xludf.DUMMYFUNCTION("""COMPUTED_VALUE"""),9.0)</f>
        <v>9</v>
      </c>
      <c r="I467" s="24"/>
    </row>
    <row r="468">
      <c r="A468" s="23">
        <f>IFERROR(__xludf.DUMMYFUNCTION("""COMPUTED_VALUE"""),44776.63699568287)</f>
        <v>44776.637</v>
      </c>
      <c r="B468" s="24" t="str">
        <f>IFERROR(__xludf.DUMMYFUNCTION("""COMPUTED_VALUE"""),"Claire")</f>
        <v>Claire</v>
      </c>
      <c r="C468" s="24">
        <f>IFERROR(__xludf.DUMMYFUNCTION("""COMPUTED_VALUE"""),243.0)</f>
        <v>243</v>
      </c>
      <c r="D468" s="24" t="str">
        <f>IFERROR(__xludf.DUMMYFUNCTION("""COMPUTED_VALUE"""),"Walmart")</f>
        <v>Walmart</v>
      </c>
      <c r="F468" s="23">
        <f>IFERROR(__xludf.DUMMYFUNCTION("""COMPUTED_VALUE"""),44741.59506807871)</f>
        <v>44741.59507</v>
      </c>
      <c r="G468" s="24" t="str">
        <f>IFERROR(__xludf.DUMMYFUNCTION("""COMPUTED_VALUE"""),"Bud Stracker ")</f>
        <v>Bud Stracker </v>
      </c>
      <c r="H468" s="24">
        <f>IFERROR(__xludf.DUMMYFUNCTION("""COMPUTED_VALUE"""),4.0)</f>
        <v>4</v>
      </c>
      <c r="I468" s="24"/>
    </row>
    <row r="469">
      <c r="A469" s="23">
        <f>IFERROR(__xludf.DUMMYFUNCTION("""COMPUTED_VALUE"""),44776.637205555555)</f>
        <v>44776.63721</v>
      </c>
      <c r="B469" s="24" t="str">
        <f>IFERROR(__xludf.DUMMYFUNCTION("""COMPUTED_VALUE"""),"Claire")</f>
        <v>Claire</v>
      </c>
      <c r="C469" s="24">
        <f>IFERROR(__xludf.DUMMYFUNCTION("""COMPUTED_VALUE"""),90.0)</f>
        <v>90</v>
      </c>
      <c r="D469" s="24" t="str">
        <f>IFERROR(__xludf.DUMMYFUNCTION("""COMPUTED_VALUE"""),"Walmart")</f>
        <v>Walmart</v>
      </c>
      <c r="F469" s="23">
        <f>IFERROR(__xludf.DUMMYFUNCTION("""COMPUTED_VALUE"""),44741.64284515046)</f>
        <v>44741.64285</v>
      </c>
      <c r="G469" s="24" t="str">
        <f>IFERROR(__xludf.DUMMYFUNCTION("""COMPUTED_VALUE"""),"Karen")</f>
        <v>Karen</v>
      </c>
      <c r="H469" s="24">
        <f>IFERROR(__xludf.DUMMYFUNCTION("""COMPUTED_VALUE"""),276.0)</f>
        <v>276</v>
      </c>
      <c r="I469" s="24" t="str">
        <f>IFERROR(__xludf.DUMMYFUNCTION("""COMPUTED_VALUE"""),"Frozen")</f>
        <v>Frozen</v>
      </c>
    </row>
    <row r="470">
      <c r="A470" s="23">
        <f>IFERROR(__xludf.DUMMYFUNCTION("""COMPUTED_VALUE"""),44776.63743675926)</f>
        <v>44776.63744</v>
      </c>
      <c r="B470" s="24" t="str">
        <f>IFERROR(__xludf.DUMMYFUNCTION("""COMPUTED_VALUE"""),"Claire")</f>
        <v>Claire</v>
      </c>
      <c r="C470" s="24">
        <f>IFERROR(__xludf.DUMMYFUNCTION("""COMPUTED_VALUE"""),194.0)</f>
        <v>194</v>
      </c>
      <c r="D470" s="24" t="str">
        <f>IFERROR(__xludf.DUMMYFUNCTION("""COMPUTED_VALUE"""),"Walmart")</f>
        <v>Walmart</v>
      </c>
      <c r="F470" s="23">
        <f>IFERROR(__xludf.DUMMYFUNCTION("""COMPUTED_VALUE"""),44741.644681377315)</f>
        <v>44741.64468</v>
      </c>
      <c r="G470" s="24" t="str">
        <f>IFERROR(__xludf.DUMMYFUNCTION("""COMPUTED_VALUE"""),"Karen ")</f>
        <v>Karen </v>
      </c>
      <c r="H470" s="24">
        <f>IFERROR(__xludf.DUMMYFUNCTION("""COMPUTED_VALUE"""),1042.0)</f>
        <v>1042</v>
      </c>
      <c r="I470" s="24" t="str">
        <f>IFERROR(__xludf.DUMMYFUNCTION("""COMPUTED_VALUE"""),"Frozen")</f>
        <v>Frozen</v>
      </c>
    </row>
    <row r="471">
      <c r="A471" s="23">
        <f>IFERROR(__xludf.DUMMYFUNCTION("""COMPUTED_VALUE"""),44777.65923578704)</f>
        <v>44777.65924</v>
      </c>
      <c r="B471" s="24" t="str">
        <f>IFERROR(__xludf.DUMMYFUNCTION("""COMPUTED_VALUE"""),"Spencer Ellsworth ")</f>
        <v>Spencer Ellsworth </v>
      </c>
      <c r="C471" s="24">
        <f>IFERROR(__xludf.DUMMYFUNCTION("""COMPUTED_VALUE"""),266.0)</f>
        <v>266</v>
      </c>
      <c r="D471" s="24" t="str">
        <f>IFERROR(__xludf.DUMMYFUNCTION("""COMPUTED_VALUE"""),"Alto Dale Farm")</f>
        <v>Alto Dale Farm</v>
      </c>
      <c r="F471" s="23">
        <f>IFERROR(__xludf.DUMMYFUNCTION("""COMPUTED_VALUE"""),44741.64527366898)</f>
        <v>44741.64527</v>
      </c>
      <c r="G471" s="24" t="str">
        <f>IFERROR(__xludf.DUMMYFUNCTION("""COMPUTED_VALUE"""),"Karen ")</f>
        <v>Karen </v>
      </c>
      <c r="H471" s="24">
        <f>IFERROR(__xludf.DUMMYFUNCTION("""COMPUTED_VALUE"""),790.0)</f>
        <v>790</v>
      </c>
      <c r="I471" s="24" t="str">
        <f>IFERROR(__xludf.DUMMYFUNCTION("""COMPUTED_VALUE"""),"Frozen")</f>
        <v>Frozen</v>
      </c>
    </row>
    <row r="472">
      <c r="A472" s="23">
        <f>IFERROR(__xludf.DUMMYFUNCTION("""COMPUTED_VALUE"""),44779.0)</f>
        <v>44779</v>
      </c>
      <c r="B472" s="24" t="str">
        <f>IFERROR(__xludf.DUMMYFUNCTION("""COMPUTED_VALUE"""),"Claire")</f>
        <v>Claire</v>
      </c>
      <c r="C472" s="24">
        <f>IFERROR(__xludf.DUMMYFUNCTION("""COMPUTED_VALUE"""),275.0)</f>
        <v>275</v>
      </c>
      <c r="D472" s="24" t="str">
        <f>IFERROR(__xludf.DUMMYFUNCTION("""COMPUTED_VALUE"""),"Amazon")</f>
        <v>Amazon</v>
      </c>
      <c r="F472" s="23">
        <f>IFERROR(__xludf.DUMMYFUNCTION("""COMPUTED_VALUE"""),44741.66729667824)</f>
        <v>44741.6673</v>
      </c>
      <c r="G472" s="24" t="str">
        <f>IFERROR(__xludf.DUMMYFUNCTION("""COMPUTED_VALUE"""),"Michelle and Maritza")</f>
        <v>Michelle and Maritza</v>
      </c>
      <c r="H472" s="24">
        <f>IFERROR(__xludf.DUMMYFUNCTION("""COMPUTED_VALUE"""),190.0)</f>
        <v>190</v>
      </c>
      <c r="I472" s="24"/>
    </row>
    <row r="473">
      <c r="A473" s="23">
        <f>IFERROR(__xludf.DUMMYFUNCTION("""COMPUTED_VALUE"""),44779.0)</f>
        <v>44779</v>
      </c>
      <c r="B473" s="24" t="str">
        <f>IFERROR(__xludf.DUMMYFUNCTION("""COMPUTED_VALUE"""),"Claire")</f>
        <v>Claire</v>
      </c>
      <c r="C473" s="24">
        <f>IFERROR(__xludf.DUMMYFUNCTION("""COMPUTED_VALUE"""),1293.0)</f>
        <v>1293</v>
      </c>
      <c r="D473" s="24" t="str">
        <f>IFERROR(__xludf.DUMMYFUNCTION("""COMPUTED_VALUE"""),"Amazon")</f>
        <v>Amazon</v>
      </c>
      <c r="F473" s="23">
        <f>IFERROR(__xludf.DUMMYFUNCTION("""COMPUTED_VALUE"""),44741.67075453704)</f>
        <v>44741.67075</v>
      </c>
      <c r="G473" s="24" t="str">
        <f>IFERROR(__xludf.DUMMYFUNCTION("""COMPUTED_VALUE"""),"Karen")</f>
        <v>Karen</v>
      </c>
      <c r="H473" s="24">
        <f>IFERROR(__xludf.DUMMYFUNCTION("""COMPUTED_VALUE"""),750.0)</f>
        <v>750</v>
      </c>
      <c r="I473" s="24" t="str">
        <f>IFERROR(__xludf.DUMMYFUNCTION("""COMPUTED_VALUE"""),"Frozen")</f>
        <v>Frozen</v>
      </c>
    </row>
    <row r="474">
      <c r="A474" s="23">
        <f>IFERROR(__xludf.DUMMYFUNCTION("""COMPUTED_VALUE"""),44779.0)</f>
        <v>44779</v>
      </c>
      <c r="B474" s="24" t="str">
        <f>IFERROR(__xludf.DUMMYFUNCTION("""COMPUTED_VALUE"""),"Claire")</f>
        <v>Claire</v>
      </c>
      <c r="C474" s="24">
        <f>IFERROR(__xludf.DUMMYFUNCTION("""COMPUTED_VALUE"""),1037.0)</f>
        <v>1037</v>
      </c>
      <c r="D474" s="24" t="str">
        <f>IFERROR(__xludf.DUMMYFUNCTION("""COMPUTED_VALUE"""),"Amazon")</f>
        <v>Amazon</v>
      </c>
      <c r="F474" s="23">
        <f>IFERROR(__xludf.DUMMYFUNCTION("""COMPUTED_VALUE"""),44741.67299027777)</f>
        <v>44741.67299</v>
      </c>
      <c r="G474" s="24" t="str">
        <f>IFERROR(__xludf.DUMMYFUNCTION("""COMPUTED_VALUE"""),"Karen")</f>
        <v>Karen</v>
      </c>
      <c r="H474" s="24">
        <f>IFERROR(__xludf.DUMMYFUNCTION("""COMPUTED_VALUE"""),188.0)</f>
        <v>188</v>
      </c>
      <c r="I474" s="24" t="str">
        <f>IFERROR(__xludf.DUMMYFUNCTION("""COMPUTED_VALUE"""),"Frozen")</f>
        <v>Frozen</v>
      </c>
    </row>
    <row r="475">
      <c r="A475" s="23">
        <f>IFERROR(__xludf.DUMMYFUNCTION("""COMPUTED_VALUE"""),44779.0)</f>
        <v>44779</v>
      </c>
      <c r="B475" s="24" t="str">
        <f>IFERROR(__xludf.DUMMYFUNCTION("""COMPUTED_VALUE"""),"Claire")</f>
        <v>Claire</v>
      </c>
      <c r="C475" s="24">
        <f>IFERROR(__xludf.DUMMYFUNCTION("""COMPUTED_VALUE"""),1690.0)</f>
        <v>1690</v>
      </c>
      <c r="D475" s="24" t="str">
        <f>IFERROR(__xludf.DUMMYFUNCTION("""COMPUTED_VALUE"""),"Amazon")</f>
        <v>Amazon</v>
      </c>
      <c r="F475" s="23">
        <f>IFERROR(__xludf.DUMMYFUNCTION("""COMPUTED_VALUE"""),44741.712054398144)</f>
        <v>44741.71205</v>
      </c>
      <c r="G475" s="24" t="str">
        <f>IFERROR(__xludf.DUMMYFUNCTION("""COMPUTED_VALUE"""),"Doris Parker Tuggle")</f>
        <v>Doris Parker Tuggle</v>
      </c>
      <c r="H475" s="24">
        <f>IFERROR(__xludf.DUMMYFUNCTION("""COMPUTED_VALUE"""),20.0)</f>
        <v>20</v>
      </c>
      <c r="I475" s="24"/>
    </row>
    <row r="476">
      <c r="A476" s="23">
        <f>IFERROR(__xludf.DUMMYFUNCTION("""COMPUTED_VALUE"""),44779.0)</f>
        <v>44779</v>
      </c>
      <c r="B476" s="24" t="str">
        <f>IFERROR(__xludf.DUMMYFUNCTION("""COMPUTED_VALUE"""),"Claire")</f>
        <v>Claire</v>
      </c>
      <c r="C476" s="24">
        <f>IFERROR(__xludf.DUMMYFUNCTION("""COMPUTED_VALUE"""),1479.0)</f>
        <v>1479</v>
      </c>
      <c r="D476" s="24" t="str">
        <f>IFERROR(__xludf.DUMMYFUNCTION("""COMPUTED_VALUE"""),"Amazon")</f>
        <v>Amazon</v>
      </c>
      <c r="F476" s="23">
        <f>IFERROR(__xludf.DUMMYFUNCTION("""COMPUTED_VALUE"""),44741.71256891204)</f>
        <v>44741.71257</v>
      </c>
      <c r="G476" s="24" t="str">
        <f>IFERROR(__xludf.DUMMYFUNCTION("""COMPUTED_VALUE"""),"Doris Parker Tuggle")</f>
        <v>Doris Parker Tuggle</v>
      </c>
      <c r="H476" s="24">
        <f>IFERROR(__xludf.DUMMYFUNCTION("""COMPUTED_VALUE"""),10.0)</f>
        <v>10</v>
      </c>
      <c r="I476" s="24"/>
    </row>
    <row r="477">
      <c r="A477" s="23">
        <f>IFERROR(__xludf.DUMMYFUNCTION("""COMPUTED_VALUE"""),44779.0)</f>
        <v>44779</v>
      </c>
      <c r="B477" s="24" t="str">
        <f>IFERROR(__xludf.DUMMYFUNCTION("""COMPUTED_VALUE"""),"Claire")</f>
        <v>Claire</v>
      </c>
      <c r="C477" s="24">
        <f>IFERROR(__xludf.DUMMYFUNCTION("""COMPUTED_VALUE"""),1611.0)</f>
        <v>1611</v>
      </c>
      <c r="D477" s="24" t="str">
        <f>IFERROR(__xludf.DUMMYFUNCTION("""COMPUTED_VALUE"""),"Amazon")</f>
        <v>Amazon</v>
      </c>
      <c r="F477" s="23">
        <f>IFERROR(__xludf.DUMMYFUNCTION("""COMPUTED_VALUE"""),44741.72745415509)</f>
        <v>44741.72745</v>
      </c>
      <c r="G477" s="24" t="str">
        <f>IFERROR(__xludf.DUMMYFUNCTION("""COMPUTED_VALUE"""),"Karen")</f>
        <v>Karen</v>
      </c>
      <c r="H477" s="24">
        <f>IFERROR(__xludf.DUMMYFUNCTION("""COMPUTED_VALUE"""),20.0)</f>
        <v>20</v>
      </c>
      <c r="I477" s="24"/>
    </row>
    <row r="478">
      <c r="A478" s="23">
        <f>IFERROR(__xludf.DUMMYFUNCTION("""COMPUTED_VALUE"""),44779.0)</f>
        <v>44779</v>
      </c>
      <c r="B478" s="24" t="str">
        <f>IFERROR(__xludf.DUMMYFUNCTION("""COMPUTED_VALUE"""),"Claire")</f>
        <v>Claire</v>
      </c>
      <c r="C478" s="24">
        <f>IFERROR(__xludf.DUMMYFUNCTION("""COMPUTED_VALUE"""),1589.0)</f>
        <v>1589</v>
      </c>
      <c r="D478" s="24" t="str">
        <f>IFERROR(__xludf.DUMMYFUNCTION("""COMPUTED_VALUE"""),"Amazon")</f>
        <v>Amazon</v>
      </c>
      <c r="F478" s="23">
        <f>IFERROR(__xludf.DUMMYFUNCTION("""COMPUTED_VALUE"""),44741.72767729167)</f>
        <v>44741.72768</v>
      </c>
      <c r="G478" s="24" t="str">
        <f>IFERROR(__xludf.DUMMYFUNCTION("""COMPUTED_VALUE"""),"Karen expired")</f>
        <v>Karen expired</v>
      </c>
      <c r="H478" s="24">
        <f>IFERROR(__xludf.DUMMYFUNCTION("""COMPUTED_VALUE"""),32.0)</f>
        <v>32</v>
      </c>
      <c r="I478" s="24"/>
    </row>
    <row r="479">
      <c r="A479" s="23">
        <f>IFERROR(__xludf.DUMMYFUNCTION("""COMPUTED_VALUE"""),44779.0)</f>
        <v>44779</v>
      </c>
      <c r="B479" s="24" t="str">
        <f>IFERROR(__xludf.DUMMYFUNCTION("""COMPUTED_VALUE"""),"Claire")</f>
        <v>Claire</v>
      </c>
      <c r="C479" s="24">
        <f>IFERROR(__xludf.DUMMYFUNCTION("""COMPUTED_VALUE"""),983.0)</f>
        <v>983</v>
      </c>
      <c r="D479" s="24" t="str">
        <f>IFERROR(__xludf.DUMMYFUNCTION("""COMPUTED_VALUE"""),"Amazon")</f>
        <v>Amazon</v>
      </c>
      <c r="F479" s="23">
        <f>IFERROR(__xludf.DUMMYFUNCTION("""COMPUTED_VALUE"""),44741.83356417824)</f>
        <v>44741.83356</v>
      </c>
      <c r="G479" s="24" t="str">
        <f>IFERROR(__xludf.DUMMYFUNCTION("""COMPUTED_VALUE"""),"Claire")</f>
        <v>Claire</v>
      </c>
      <c r="H479" s="24">
        <f>IFERROR(__xludf.DUMMYFUNCTION("""COMPUTED_VALUE"""),846.0)</f>
        <v>846</v>
      </c>
      <c r="I479" s="24" t="str">
        <f>IFERROR(__xludf.DUMMYFUNCTION("""COMPUTED_VALUE"""),"Amazon")</f>
        <v>Amazon</v>
      </c>
    </row>
    <row r="480">
      <c r="A480" s="23">
        <f>IFERROR(__xludf.DUMMYFUNCTION("""COMPUTED_VALUE"""),44779.0)</f>
        <v>44779</v>
      </c>
      <c r="B480" s="24" t="str">
        <f>IFERROR(__xludf.DUMMYFUNCTION("""COMPUTED_VALUE"""),"Claire")</f>
        <v>Claire</v>
      </c>
      <c r="C480" s="24">
        <f>IFERROR(__xludf.DUMMYFUNCTION("""COMPUTED_VALUE"""),1395.0)</f>
        <v>1395</v>
      </c>
      <c r="D480" s="24" t="str">
        <f>IFERROR(__xludf.DUMMYFUNCTION("""COMPUTED_VALUE"""),"Amazon")</f>
        <v>Amazon</v>
      </c>
      <c r="F480" s="23">
        <f>IFERROR(__xludf.DUMMYFUNCTION("""COMPUTED_VALUE"""),44741.83376159722)</f>
        <v>44741.83376</v>
      </c>
      <c r="G480" s="24" t="str">
        <f>IFERROR(__xludf.DUMMYFUNCTION("""COMPUTED_VALUE"""),"Claire")</f>
        <v>Claire</v>
      </c>
      <c r="H480" s="24">
        <f>IFERROR(__xludf.DUMMYFUNCTION("""COMPUTED_VALUE"""),1015.0)</f>
        <v>1015</v>
      </c>
      <c r="I480" s="24" t="str">
        <f>IFERROR(__xludf.DUMMYFUNCTION("""COMPUTED_VALUE"""),"Amazon")</f>
        <v>Amazon</v>
      </c>
    </row>
    <row r="481">
      <c r="A481" s="23">
        <f>IFERROR(__xludf.DUMMYFUNCTION("""COMPUTED_VALUE"""),44779.0)</f>
        <v>44779</v>
      </c>
      <c r="B481" s="24" t="str">
        <f>IFERROR(__xludf.DUMMYFUNCTION("""COMPUTED_VALUE"""),"Claire")</f>
        <v>Claire</v>
      </c>
      <c r="C481" s="24">
        <f>IFERROR(__xludf.DUMMYFUNCTION("""COMPUTED_VALUE"""),1365.0)</f>
        <v>1365</v>
      </c>
      <c r="D481" s="24" t="str">
        <f>IFERROR(__xludf.DUMMYFUNCTION("""COMPUTED_VALUE"""),"Amazon")</f>
        <v>Amazon</v>
      </c>
      <c r="F481" s="23">
        <f>IFERROR(__xludf.DUMMYFUNCTION("""COMPUTED_VALUE"""),44741.83395339121)</f>
        <v>44741.83395</v>
      </c>
      <c r="G481" s="24" t="str">
        <f>IFERROR(__xludf.DUMMYFUNCTION("""COMPUTED_VALUE"""),"Claire")</f>
        <v>Claire</v>
      </c>
      <c r="H481" s="24">
        <f>IFERROR(__xludf.DUMMYFUNCTION("""COMPUTED_VALUE"""),632.0)</f>
        <v>632</v>
      </c>
      <c r="I481" s="24" t="str">
        <f>IFERROR(__xludf.DUMMYFUNCTION("""COMPUTED_VALUE"""),"Amazon")</f>
        <v>Amazon</v>
      </c>
    </row>
    <row r="482">
      <c r="A482" s="23">
        <f>IFERROR(__xludf.DUMMYFUNCTION("""COMPUTED_VALUE"""),44779.0)</f>
        <v>44779</v>
      </c>
      <c r="B482" s="24" t="str">
        <f>IFERROR(__xludf.DUMMYFUNCTION("""COMPUTED_VALUE"""),"Claire")</f>
        <v>Claire</v>
      </c>
      <c r="C482" s="24">
        <f>IFERROR(__xludf.DUMMYFUNCTION("""COMPUTED_VALUE"""),716.0)</f>
        <v>716</v>
      </c>
      <c r="D482" s="24" t="str">
        <f>IFERROR(__xludf.DUMMYFUNCTION("""COMPUTED_VALUE"""),"Amazon")</f>
        <v>Amazon</v>
      </c>
      <c r="F482" s="23">
        <f>IFERROR(__xludf.DUMMYFUNCTION("""COMPUTED_VALUE"""),44741.834115578706)</f>
        <v>44741.83412</v>
      </c>
      <c r="G482" s="24" t="str">
        <f>IFERROR(__xludf.DUMMYFUNCTION("""COMPUTED_VALUE"""),"Claire")</f>
        <v>Claire</v>
      </c>
      <c r="H482" s="24">
        <f>IFERROR(__xludf.DUMMYFUNCTION("""COMPUTED_VALUE"""),1157.0)</f>
        <v>1157</v>
      </c>
      <c r="I482" s="24" t="str">
        <f>IFERROR(__xludf.DUMMYFUNCTION("""COMPUTED_VALUE"""),"Amazon")</f>
        <v>Amazon</v>
      </c>
    </row>
    <row r="483">
      <c r="A483" s="23">
        <f>IFERROR(__xludf.DUMMYFUNCTION("""COMPUTED_VALUE"""),44779.0)</f>
        <v>44779</v>
      </c>
      <c r="B483" s="24" t="str">
        <f>IFERROR(__xludf.DUMMYFUNCTION("""COMPUTED_VALUE"""),"Claire")</f>
        <v>Claire</v>
      </c>
      <c r="C483" s="24">
        <f>IFERROR(__xludf.DUMMYFUNCTION("""COMPUTED_VALUE"""),529.0)</f>
        <v>529</v>
      </c>
      <c r="D483" s="24" t="str">
        <f>IFERROR(__xludf.DUMMYFUNCTION("""COMPUTED_VALUE"""),"Amazon")</f>
        <v>Amazon</v>
      </c>
      <c r="F483" s="23">
        <f>IFERROR(__xludf.DUMMYFUNCTION("""COMPUTED_VALUE"""),44741.834304814816)</f>
        <v>44741.8343</v>
      </c>
      <c r="G483" s="24" t="str">
        <f>IFERROR(__xludf.DUMMYFUNCTION("""COMPUTED_VALUE"""),"Claire")</f>
        <v>Claire</v>
      </c>
      <c r="H483" s="24">
        <f>IFERROR(__xludf.DUMMYFUNCTION("""COMPUTED_VALUE"""),590.0)</f>
        <v>590</v>
      </c>
      <c r="I483" s="24" t="str">
        <f>IFERROR(__xludf.DUMMYFUNCTION("""COMPUTED_VALUE"""),"Amazon")</f>
        <v>Amazon</v>
      </c>
    </row>
    <row r="484">
      <c r="A484" s="23">
        <f>IFERROR(__xludf.DUMMYFUNCTION("""COMPUTED_VALUE"""),44780.63892232639)</f>
        <v>44780.63892</v>
      </c>
      <c r="B484" s="24" t="str">
        <f>IFERROR(__xludf.DUMMYFUNCTION("""COMPUTED_VALUE"""),"Vincent Faulk")</f>
        <v>Vincent Faulk</v>
      </c>
      <c r="C484" s="24">
        <f>IFERROR(__xludf.DUMMYFUNCTION("""COMPUTED_VALUE"""),729.0)</f>
        <v>729</v>
      </c>
      <c r="D484" s="24" t="str">
        <f>IFERROR(__xludf.DUMMYFUNCTION("""COMPUTED_VALUE"""),"Amazon")</f>
        <v>Amazon</v>
      </c>
      <c r="F484" s="23">
        <f>IFERROR(__xludf.DUMMYFUNCTION("""COMPUTED_VALUE"""),44741.834503287035)</f>
        <v>44741.8345</v>
      </c>
      <c r="G484" s="24" t="str">
        <f>IFERROR(__xludf.DUMMYFUNCTION("""COMPUTED_VALUE"""),"Claire")</f>
        <v>Claire</v>
      </c>
      <c r="H484" s="24">
        <f>IFERROR(__xludf.DUMMYFUNCTION("""COMPUTED_VALUE"""),733.0)</f>
        <v>733</v>
      </c>
      <c r="I484" s="24" t="str">
        <f>IFERROR(__xludf.DUMMYFUNCTION("""COMPUTED_VALUE"""),"Amazon")</f>
        <v>Amazon</v>
      </c>
    </row>
    <row r="485">
      <c r="A485" s="23">
        <f>IFERROR(__xludf.DUMMYFUNCTION("""COMPUTED_VALUE"""),44780.64079010417)</f>
        <v>44780.64079</v>
      </c>
      <c r="B485" s="24" t="str">
        <f>IFERROR(__xludf.DUMMYFUNCTION("""COMPUTED_VALUE"""),"Vincent Faulk")</f>
        <v>Vincent Faulk</v>
      </c>
      <c r="C485" s="24">
        <f>IFERROR(__xludf.DUMMYFUNCTION("""COMPUTED_VALUE"""),483.0)</f>
        <v>483</v>
      </c>
      <c r="D485" s="24" t="str">
        <f>IFERROR(__xludf.DUMMYFUNCTION("""COMPUTED_VALUE"""),"Amazon")</f>
        <v>Amazon</v>
      </c>
      <c r="F485" s="23">
        <f>IFERROR(__xludf.DUMMYFUNCTION("""COMPUTED_VALUE"""),44741.83465677083)</f>
        <v>44741.83466</v>
      </c>
      <c r="G485" s="24" t="str">
        <f>IFERROR(__xludf.DUMMYFUNCTION("""COMPUTED_VALUE"""),"Claire")</f>
        <v>Claire</v>
      </c>
      <c r="H485" s="24">
        <f>IFERROR(__xludf.DUMMYFUNCTION("""COMPUTED_VALUE"""),872.0)</f>
        <v>872</v>
      </c>
      <c r="I485" s="24" t="str">
        <f>IFERROR(__xludf.DUMMYFUNCTION("""COMPUTED_VALUE"""),"Amazon")</f>
        <v>Amazon</v>
      </c>
    </row>
    <row r="486">
      <c r="A486" s="23">
        <f>IFERROR(__xludf.DUMMYFUNCTION("""COMPUTED_VALUE"""),44780.64108737268)</f>
        <v>44780.64109</v>
      </c>
      <c r="B486" s="24" t="str">
        <f>IFERROR(__xludf.DUMMYFUNCTION("""COMPUTED_VALUE"""),"Vincent Faulk")</f>
        <v>Vincent Faulk</v>
      </c>
      <c r="C486" s="24">
        <f>IFERROR(__xludf.DUMMYFUNCTION("""COMPUTED_VALUE"""),430.0)</f>
        <v>430</v>
      </c>
      <c r="D486" s="24" t="str">
        <f>IFERROR(__xludf.DUMMYFUNCTION("""COMPUTED_VALUE"""),"Amazon")</f>
        <v>Amazon</v>
      </c>
      <c r="F486" s="23">
        <f>IFERROR(__xludf.DUMMYFUNCTION("""COMPUTED_VALUE"""),44741.83549130787)</f>
        <v>44741.83549</v>
      </c>
      <c r="G486" s="24" t="str">
        <f>IFERROR(__xludf.DUMMYFUNCTION("""COMPUTED_VALUE"""),"Claire")</f>
        <v>Claire</v>
      </c>
      <c r="H486" s="24">
        <f>IFERROR(__xludf.DUMMYFUNCTION("""COMPUTED_VALUE"""),1253.0)</f>
        <v>1253</v>
      </c>
      <c r="I486" s="24" t="str">
        <f>IFERROR(__xludf.DUMMYFUNCTION("""COMPUTED_VALUE"""),"H6")</f>
        <v>H6</v>
      </c>
    </row>
    <row r="487">
      <c r="A487" s="23">
        <f>IFERROR(__xludf.DUMMYFUNCTION("""COMPUTED_VALUE"""),44780.641434282414)</f>
        <v>44780.64143</v>
      </c>
      <c r="B487" s="24" t="str">
        <f>IFERROR(__xludf.DUMMYFUNCTION("""COMPUTED_VALUE"""),"Vincent Faulk")</f>
        <v>Vincent Faulk</v>
      </c>
      <c r="C487" s="24">
        <f>IFERROR(__xludf.DUMMYFUNCTION("""COMPUTED_VALUE"""),948.0)</f>
        <v>948</v>
      </c>
      <c r="D487" s="24" t="str">
        <f>IFERROR(__xludf.DUMMYFUNCTION("""COMPUTED_VALUE"""),"Amazon")</f>
        <v>Amazon</v>
      </c>
      <c r="F487" s="23">
        <f>IFERROR(__xludf.DUMMYFUNCTION("""COMPUTED_VALUE"""),44741.83588863426)</f>
        <v>44741.83589</v>
      </c>
      <c r="G487" s="24" t="str">
        <f>IFERROR(__xludf.DUMMYFUNCTION("""COMPUTED_VALUE"""),"Claire")</f>
        <v>Claire</v>
      </c>
      <c r="H487" s="24">
        <f>IFERROR(__xludf.DUMMYFUNCTION("""COMPUTED_VALUE"""),-198.0)</f>
        <v>-198</v>
      </c>
      <c r="I487" s="24" t="str">
        <f>IFERROR(__xludf.DUMMYFUNCTION("""COMPUTED_VALUE"""),"I3")</f>
        <v>I3</v>
      </c>
    </row>
    <row r="488">
      <c r="A488" s="23">
        <f>IFERROR(__xludf.DUMMYFUNCTION("""COMPUTED_VALUE"""),44780.64235774306)</f>
        <v>44780.64236</v>
      </c>
      <c r="B488" s="24"/>
      <c r="C488" s="24">
        <f>IFERROR(__xludf.DUMMYFUNCTION("""COMPUTED_VALUE"""),609.0)</f>
        <v>609</v>
      </c>
      <c r="D488" s="24" t="str">
        <f>IFERROR(__xludf.DUMMYFUNCTION("""COMPUTED_VALUE"""),"Amazon")</f>
        <v>Amazon</v>
      </c>
      <c r="F488" s="23">
        <f>IFERROR(__xludf.DUMMYFUNCTION("""COMPUTED_VALUE"""),44741.836110000004)</f>
        <v>44741.83611</v>
      </c>
      <c r="G488" s="24" t="str">
        <f>IFERROR(__xludf.DUMMYFUNCTION("""COMPUTED_VALUE"""),"Claire")</f>
        <v>Claire</v>
      </c>
      <c r="H488" s="24">
        <f>IFERROR(__xludf.DUMMYFUNCTION("""COMPUTED_VALUE"""),198.0)</f>
        <v>198</v>
      </c>
      <c r="I488" s="24" t="str">
        <f>IFERROR(__xludf.DUMMYFUNCTION("""COMPUTED_VALUE"""),"P4")</f>
        <v>P4</v>
      </c>
    </row>
    <row r="489">
      <c r="A489" s="23">
        <f>IFERROR(__xludf.DUMMYFUNCTION("""COMPUTED_VALUE"""),44780.64271353009)</f>
        <v>44780.64271</v>
      </c>
      <c r="B489" s="24" t="str">
        <f>IFERROR(__xludf.DUMMYFUNCTION("""COMPUTED_VALUE"""),"Vincent Faulk")</f>
        <v>Vincent Faulk</v>
      </c>
      <c r="C489" s="24">
        <f>IFERROR(__xludf.DUMMYFUNCTION("""COMPUTED_VALUE"""),1175.0)</f>
        <v>1175</v>
      </c>
      <c r="D489" s="24" t="str">
        <f>IFERROR(__xludf.DUMMYFUNCTION("""COMPUTED_VALUE"""),"Amazon")</f>
        <v>Amazon</v>
      </c>
      <c r="F489" s="23">
        <f>IFERROR(__xludf.DUMMYFUNCTION("""COMPUTED_VALUE"""),44741.836487673616)</f>
        <v>44741.83649</v>
      </c>
      <c r="G489" s="24" t="str">
        <f>IFERROR(__xludf.DUMMYFUNCTION("""COMPUTED_VALUE"""),"Claire")</f>
        <v>Claire</v>
      </c>
      <c r="H489" s="24">
        <f>IFERROR(__xludf.DUMMYFUNCTION("""COMPUTED_VALUE"""),1210.0)</f>
        <v>1210</v>
      </c>
      <c r="I489" s="24" t="str">
        <f>IFERROR(__xludf.DUMMYFUNCTION("""COMPUTED_VALUE"""),"I3")</f>
        <v>I3</v>
      </c>
    </row>
    <row r="490">
      <c r="A490" s="23">
        <f>IFERROR(__xludf.DUMMYFUNCTION("""COMPUTED_VALUE"""),44780.64298740741)</f>
        <v>44780.64299</v>
      </c>
      <c r="B490" s="24" t="str">
        <f>IFERROR(__xludf.DUMMYFUNCTION("""COMPUTED_VALUE"""),"Vincent Faulk")</f>
        <v>Vincent Faulk</v>
      </c>
      <c r="C490" s="24">
        <f>IFERROR(__xludf.DUMMYFUNCTION("""COMPUTED_VALUE"""),647.0)</f>
        <v>647</v>
      </c>
      <c r="D490" s="24" t="str">
        <f>IFERROR(__xludf.DUMMYFUNCTION("""COMPUTED_VALUE"""),"Amazon")</f>
        <v>Amazon</v>
      </c>
      <c r="F490" s="23">
        <f>IFERROR(__xludf.DUMMYFUNCTION("""COMPUTED_VALUE"""),44741.83686069445)</f>
        <v>44741.83686</v>
      </c>
      <c r="G490" s="24" t="str">
        <f>IFERROR(__xludf.DUMMYFUNCTION("""COMPUTED_VALUE"""),"Claire")</f>
        <v>Claire</v>
      </c>
      <c r="H490" s="24">
        <f>IFERROR(__xludf.DUMMYFUNCTION("""COMPUTED_VALUE"""),322.0)</f>
        <v>322</v>
      </c>
      <c r="I490" s="24" t="str">
        <f>IFERROR(__xludf.DUMMYFUNCTION("""COMPUTED_VALUE"""),"E2")</f>
        <v>E2</v>
      </c>
    </row>
    <row r="491">
      <c r="A491" s="23">
        <f>IFERROR(__xludf.DUMMYFUNCTION("""COMPUTED_VALUE"""),44780.643346689816)</f>
        <v>44780.64335</v>
      </c>
      <c r="B491" s="24" t="str">
        <f>IFERROR(__xludf.DUMMYFUNCTION("""COMPUTED_VALUE"""),"Vincent Faulk")</f>
        <v>Vincent Faulk</v>
      </c>
      <c r="C491" s="24">
        <f>IFERROR(__xludf.DUMMYFUNCTION("""COMPUTED_VALUE"""),1221.0)</f>
        <v>1221</v>
      </c>
      <c r="D491" s="24" t="str">
        <f>IFERROR(__xludf.DUMMYFUNCTION("""COMPUTED_VALUE"""),"Amazon")</f>
        <v>Amazon</v>
      </c>
      <c r="F491" s="23">
        <f>IFERROR(__xludf.DUMMYFUNCTION("""COMPUTED_VALUE"""),44741.83706427083)</f>
        <v>44741.83706</v>
      </c>
      <c r="G491" s="24" t="str">
        <f>IFERROR(__xludf.DUMMYFUNCTION("""COMPUTED_VALUE"""),"Claire")</f>
        <v>Claire</v>
      </c>
      <c r="H491" s="24">
        <f>IFERROR(__xludf.DUMMYFUNCTION("""COMPUTED_VALUE"""),315.0)</f>
        <v>315</v>
      </c>
      <c r="I491" s="24" t="str">
        <f>IFERROR(__xludf.DUMMYFUNCTION("""COMPUTED_VALUE"""),"F6")</f>
        <v>F6</v>
      </c>
    </row>
    <row r="492">
      <c r="A492" s="23">
        <f>IFERROR(__xludf.DUMMYFUNCTION("""COMPUTED_VALUE"""),44780.643729675925)</f>
        <v>44780.64373</v>
      </c>
      <c r="B492" s="24" t="str">
        <f>IFERROR(__xludf.DUMMYFUNCTION("""COMPUTED_VALUE"""),"Vincent Faulk")</f>
        <v>Vincent Faulk</v>
      </c>
      <c r="C492" s="24">
        <f>IFERROR(__xludf.DUMMYFUNCTION("""COMPUTED_VALUE"""),456.0)</f>
        <v>456</v>
      </c>
      <c r="D492" s="24" t="str">
        <f>IFERROR(__xludf.DUMMYFUNCTION("""COMPUTED_VALUE"""),"Amazon")</f>
        <v>Amazon</v>
      </c>
      <c r="F492" s="23">
        <f>IFERROR(__xludf.DUMMYFUNCTION("""COMPUTED_VALUE"""),44741.84489679398)</f>
        <v>44741.8449</v>
      </c>
      <c r="G492" s="24" t="str">
        <f>IFERROR(__xludf.DUMMYFUNCTION("""COMPUTED_VALUE"""),"Ausar")</f>
        <v>Ausar</v>
      </c>
      <c r="H492" s="24">
        <f>IFERROR(__xludf.DUMMYFUNCTION("""COMPUTED_VALUE"""),129.0)</f>
        <v>129</v>
      </c>
      <c r="I492" s="24" t="str">
        <f>IFERROR(__xludf.DUMMYFUNCTION("""COMPUTED_VALUE"""),"Assorted option")</f>
        <v>Assorted option</v>
      </c>
    </row>
    <row r="493">
      <c r="A493" s="23">
        <f>IFERROR(__xludf.DUMMYFUNCTION("""COMPUTED_VALUE"""),44780.64420115741)</f>
        <v>44780.6442</v>
      </c>
      <c r="B493" s="24" t="str">
        <f>IFERROR(__xludf.DUMMYFUNCTION("""COMPUTED_VALUE"""),"Vincent Faulk")</f>
        <v>Vincent Faulk</v>
      </c>
      <c r="C493" s="24">
        <f>IFERROR(__xludf.DUMMYFUNCTION("""COMPUTED_VALUE"""),196.0)</f>
        <v>196</v>
      </c>
      <c r="D493" s="24" t="str">
        <f>IFERROR(__xludf.DUMMYFUNCTION("""COMPUTED_VALUE"""),"Amazon")</f>
        <v>Amazon</v>
      </c>
      <c r="F493" s="23">
        <f>IFERROR(__xludf.DUMMYFUNCTION("""COMPUTED_VALUE"""),44741.87717883102)</f>
        <v>44741.87718</v>
      </c>
      <c r="G493" s="24" t="str">
        <f>IFERROR(__xludf.DUMMYFUNCTION("""COMPUTED_VALUE"""),"Maddie Pardes")</f>
        <v>Maddie Pardes</v>
      </c>
      <c r="H493" s="24">
        <f>IFERROR(__xludf.DUMMYFUNCTION("""COMPUTED_VALUE"""),18.0)</f>
        <v>18</v>
      </c>
      <c r="I493" s="24"/>
    </row>
    <row r="494">
      <c r="A494" s="23">
        <f>IFERROR(__xludf.DUMMYFUNCTION("""COMPUTED_VALUE"""),44780.64450393518)</f>
        <v>44780.6445</v>
      </c>
      <c r="B494" s="24" t="str">
        <f>IFERROR(__xludf.DUMMYFUNCTION("""COMPUTED_VALUE"""),"Vincent Faulk")</f>
        <v>Vincent Faulk</v>
      </c>
      <c r="C494" s="24">
        <f>IFERROR(__xludf.DUMMYFUNCTION("""COMPUTED_VALUE"""),251.0)</f>
        <v>251</v>
      </c>
      <c r="D494" s="24" t="str">
        <f>IFERROR(__xludf.DUMMYFUNCTION("""COMPUTED_VALUE"""),"Amazon")</f>
        <v>Amazon</v>
      </c>
      <c r="F494" s="23">
        <f>IFERROR(__xludf.DUMMYFUNCTION("""COMPUTED_VALUE"""),44741.88342430555)</f>
        <v>44741.88342</v>
      </c>
      <c r="G494" s="24" t="str">
        <f>IFERROR(__xludf.DUMMYFUNCTION("""COMPUTED_VALUE"""),"Luke mayhew")</f>
        <v>Luke mayhew</v>
      </c>
      <c r="H494" s="24">
        <f>IFERROR(__xludf.DUMMYFUNCTION("""COMPUTED_VALUE"""),20.0)</f>
        <v>20</v>
      </c>
      <c r="I494" s="24"/>
    </row>
    <row r="495">
      <c r="A495" s="23">
        <f>IFERROR(__xludf.DUMMYFUNCTION("""COMPUTED_VALUE"""),44780.64564387732)</f>
        <v>44780.64564</v>
      </c>
      <c r="B495" s="24" t="str">
        <f>IFERROR(__xludf.DUMMYFUNCTION("""COMPUTED_VALUE"""),"Vincent Faulk")</f>
        <v>Vincent Faulk</v>
      </c>
      <c r="C495" s="24">
        <f>IFERROR(__xludf.DUMMYFUNCTION("""COMPUTED_VALUE"""),260.0)</f>
        <v>260</v>
      </c>
      <c r="D495" s="24" t="str">
        <f>IFERROR(__xludf.DUMMYFUNCTION("""COMPUTED_VALUE"""),"Amazon")</f>
        <v>Amazon</v>
      </c>
      <c r="F495" s="23">
        <f>IFERROR(__xludf.DUMMYFUNCTION("""COMPUTED_VALUE"""),44741.88436181713)</f>
        <v>44741.88436</v>
      </c>
      <c r="G495" s="24" t="str">
        <f>IFERROR(__xludf.DUMMYFUNCTION("""COMPUTED_VALUE"""),"Expired")</f>
        <v>Expired</v>
      </c>
      <c r="H495" s="24">
        <f>IFERROR(__xludf.DUMMYFUNCTION("""COMPUTED_VALUE"""),8.0)</f>
        <v>8</v>
      </c>
      <c r="I495" s="24"/>
    </row>
    <row r="496">
      <c r="A496" s="23">
        <f>IFERROR(__xludf.DUMMYFUNCTION("""COMPUTED_VALUE"""),44780.646044189816)</f>
        <v>44780.64604</v>
      </c>
      <c r="B496" s="24" t="str">
        <f>IFERROR(__xludf.DUMMYFUNCTION("""COMPUTED_VALUE"""),"Vincent Faulk")</f>
        <v>Vincent Faulk</v>
      </c>
      <c r="C496" s="24">
        <f>IFERROR(__xludf.DUMMYFUNCTION("""COMPUTED_VALUE"""),534.0)</f>
        <v>534</v>
      </c>
      <c r="D496" s="24" t="str">
        <f>IFERROR(__xludf.DUMMYFUNCTION("""COMPUTED_VALUE"""),"Amazon")</f>
        <v>Amazon</v>
      </c>
      <c r="F496" s="23">
        <f>IFERROR(__xludf.DUMMYFUNCTION("""COMPUTED_VALUE"""),44741.88789268518)</f>
        <v>44741.88789</v>
      </c>
      <c r="G496" s="24" t="str">
        <f>IFERROR(__xludf.DUMMYFUNCTION("""COMPUTED_VALUE"""),"Lynwood ")</f>
        <v>Lynwood </v>
      </c>
      <c r="H496" s="24">
        <f>IFERROR(__xludf.DUMMYFUNCTION("""COMPUTED_VALUE"""),20.0)</f>
        <v>20</v>
      </c>
      <c r="I496" s="24"/>
    </row>
    <row r="497">
      <c r="A497" s="23">
        <f>IFERROR(__xludf.DUMMYFUNCTION("""COMPUTED_VALUE"""),44780.64655013889)</f>
        <v>44780.64655</v>
      </c>
      <c r="B497" s="24" t="str">
        <f>IFERROR(__xludf.DUMMYFUNCTION("""COMPUTED_VALUE"""),"Vincent Faulk")</f>
        <v>Vincent Faulk</v>
      </c>
      <c r="C497" s="24">
        <f>IFERROR(__xludf.DUMMYFUNCTION("""COMPUTED_VALUE"""),201.0)</f>
        <v>201</v>
      </c>
      <c r="D497" s="24" t="str">
        <f>IFERROR(__xludf.DUMMYFUNCTION("""COMPUTED_VALUE"""),"Amazon")</f>
        <v>Amazon</v>
      </c>
      <c r="F497" s="23">
        <f>IFERROR(__xludf.DUMMYFUNCTION("""COMPUTED_VALUE"""),44741.8901443287)</f>
        <v>44741.89014</v>
      </c>
      <c r="G497" s="24" t="str">
        <f>IFERROR(__xludf.DUMMYFUNCTION("""COMPUTED_VALUE"""),"Amanda Wall")</f>
        <v>Amanda Wall</v>
      </c>
      <c r="H497" s="24">
        <f>IFERROR(__xludf.DUMMYFUNCTION("""COMPUTED_VALUE"""),20.0)</f>
        <v>20</v>
      </c>
      <c r="I497" s="24"/>
    </row>
    <row r="498">
      <c r="A498" s="23">
        <f>IFERROR(__xludf.DUMMYFUNCTION("""COMPUTED_VALUE"""),44783.54064518519)</f>
        <v>44783.54065</v>
      </c>
      <c r="B498" s="24" t="str">
        <f>IFERROR(__xludf.DUMMYFUNCTION("""COMPUTED_VALUE"""),"Vincent Faulk")</f>
        <v>Vincent Faulk</v>
      </c>
      <c r="C498" s="24">
        <f>IFERROR(__xludf.DUMMYFUNCTION("""COMPUTED_VALUE"""),580.0)</f>
        <v>580</v>
      </c>
      <c r="D498" s="24" t="str">
        <f>IFERROR(__xludf.DUMMYFUNCTION("""COMPUTED_VALUE"""),"Amazon")</f>
        <v>Amazon</v>
      </c>
      <c r="F498" s="23">
        <f>IFERROR(__xludf.DUMMYFUNCTION("""COMPUTED_VALUE"""),44741.890315868055)</f>
        <v>44741.89032</v>
      </c>
      <c r="G498" s="24" t="str">
        <f>IFERROR(__xludf.DUMMYFUNCTION("""COMPUTED_VALUE"""),"Free")</f>
        <v>Free</v>
      </c>
      <c r="H498" s="24">
        <f>IFERROR(__xludf.DUMMYFUNCTION("""COMPUTED_VALUE"""),7.0)</f>
        <v>7</v>
      </c>
      <c r="I498" s="24"/>
    </row>
    <row r="499">
      <c r="A499" s="23">
        <f>IFERROR(__xludf.DUMMYFUNCTION("""COMPUTED_VALUE"""),44783.54115773148)</f>
        <v>44783.54116</v>
      </c>
      <c r="B499" s="24" t="str">
        <f>IFERROR(__xludf.DUMMYFUNCTION("""COMPUTED_VALUE"""),"Vincent Faulk")</f>
        <v>Vincent Faulk</v>
      </c>
      <c r="C499" s="24">
        <f>IFERROR(__xludf.DUMMYFUNCTION("""COMPUTED_VALUE"""),719.0)</f>
        <v>719</v>
      </c>
      <c r="D499" s="24" t="str">
        <f>IFERROR(__xludf.DUMMYFUNCTION("""COMPUTED_VALUE"""),"Amazon")</f>
        <v>Amazon</v>
      </c>
      <c r="F499" s="23">
        <f>IFERROR(__xludf.DUMMYFUNCTION("""COMPUTED_VALUE"""),44742.0)</f>
        <v>44742</v>
      </c>
      <c r="G499" s="24" t="str">
        <f>IFERROR(__xludf.DUMMYFUNCTION("""COMPUTED_VALUE"""),"Claire")</f>
        <v>Claire</v>
      </c>
      <c r="H499" s="24">
        <f>IFERROR(__xludf.DUMMYFUNCTION("""COMPUTED_VALUE"""),25.0)</f>
        <v>25</v>
      </c>
      <c r="I499" s="24" t="str">
        <f>IFERROR(__xludf.DUMMYFUNCTION("""COMPUTED_VALUE"""),"O4")</f>
        <v>O4</v>
      </c>
    </row>
    <row r="500">
      <c r="A500" s="23">
        <f>IFERROR(__xludf.DUMMYFUNCTION("""COMPUTED_VALUE"""),44783.57179688657)</f>
        <v>44783.5718</v>
      </c>
      <c r="B500" s="24" t="str">
        <f>IFERROR(__xludf.DUMMYFUNCTION("""COMPUTED_VALUE"""),"Dorja ")</f>
        <v>Dorja </v>
      </c>
      <c r="C500" s="24">
        <f>IFERROR(__xludf.DUMMYFUNCTION("""COMPUTED_VALUE"""),1078.0)</f>
        <v>1078</v>
      </c>
      <c r="D500" s="24" t="str">
        <f>IFERROR(__xludf.DUMMYFUNCTION("""COMPUTED_VALUE"""),"Amazon")</f>
        <v>Amazon</v>
      </c>
      <c r="F500" s="23">
        <f>IFERROR(__xludf.DUMMYFUNCTION("""COMPUTED_VALUE"""),44742.0)</f>
        <v>44742</v>
      </c>
      <c r="G500" s="24" t="str">
        <f>IFERROR(__xludf.DUMMYFUNCTION("""COMPUTED_VALUE"""),"Claire")</f>
        <v>Claire</v>
      </c>
      <c r="H500" s="24">
        <f>IFERROR(__xludf.DUMMYFUNCTION("""COMPUTED_VALUE"""),97.0)</f>
        <v>97</v>
      </c>
      <c r="I500" s="24" t="str">
        <f>IFERROR(__xludf.DUMMYFUNCTION("""COMPUTED_VALUE"""),"H4")</f>
        <v>H4</v>
      </c>
    </row>
    <row r="501">
      <c r="A501" s="23">
        <f>IFERROR(__xludf.DUMMYFUNCTION("""COMPUTED_VALUE"""),44783.57232141203)</f>
        <v>44783.57232</v>
      </c>
      <c r="B501" s="24" t="str">
        <f>IFERROR(__xludf.DUMMYFUNCTION("""COMPUTED_VALUE"""),"Dorja ")</f>
        <v>Dorja </v>
      </c>
      <c r="C501" s="24">
        <f>IFERROR(__xludf.DUMMYFUNCTION("""COMPUTED_VALUE"""),670.0)</f>
        <v>670</v>
      </c>
      <c r="D501" s="24" t="str">
        <f>IFERROR(__xludf.DUMMYFUNCTION("""COMPUTED_VALUE"""),"Amazon")</f>
        <v>Amazon</v>
      </c>
      <c r="F501" s="23">
        <f>IFERROR(__xludf.DUMMYFUNCTION("""COMPUTED_VALUE"""),44742.0)</f>
        <v>44742</v>
      </c>
      <c r="G501" s="24" t="str">
        <f>IFERROR(__xludf.DUMMYFUNCTION("""COMPUTED_VALUE"""),"Claire")</f>
        <v>Claire</v>
      </c>
      <c r="H501" s="24">
        <f>IFERROR(__xludf.DUMMYFUNCTION("""COMPUTED_VALUE"""),158.0)</f>
        <v>158</v>
      </c>
      <c r="I501" s="24" t="str">
        <f>IFERROR(__xludf.DUMMYFUNCTION("""COMPUTED_VALUE"""),"I6")</f>
        <v>I6</v>
      </c>
    </row>
    <row r="502">
      <c r="A502" s="23">
        <f>IFERROR(__xludf.DUMMYFUNCTION("""COMPUTED_VALUE"""),44783.575467187504)</f>
        <v>44783.57547</v>
      </c>
      <c r="B502" s="24" t="str">
        <f>IFERROR(__xludf.DUMMYFUNCTION("""COMPUTED_VALUE"""),"Dorja ")</f>
        <v>Dorja </v>
      </c>
      <c r="C502" s="24">
        <f>IFERROR(__xludf.DUMMYFUNCTION("""COMPUTED_VALUE"""),1062.0)</f>
        <v>1062</v>
      </c>
      <c r="D502" s="24" t="str">
        <f>IFERROR(__xludf.DUMMYFUNCTION("""COMPUTED_VALUE"""),"Amazon")</f>
        <v>Amazon</v>
      </c>
      <c r="F502" s="23">
        <f>IFERROR(__xludf.DUMMYFUNCTION("""COMPUTED_VALUE"""),44742.0)</f>
        <v>44742</v>
      </c>
      <c r="G502" s="24" t="str">
        <f>IFERROR(__xludf.DUMMYFUNCTION("""COMPUTED_VALUE"""),"Claire")</f>
        <v>Claire</v>
      </c>
      <c r="H502" s="24">
        <f>IFERROR(__xludf.DUMMYFUNCTION("""COMPUTED_VALUE"""),298.0)</f>
        <v>298</v>
      </c>
      <c r="I502" s="24" t="str">
        <f>IFERROR(__xludf.DUMMYFUNCTION("""COMPUTED_VALUE"""),"B1")</f>
        <v>B1</v>
      </c>
    </row>
    <row r="503">
      <c r="A503" s="23">
        <f>IFERROR(__xludf.DUMMYFUNCTION("""COMPUTED_VALUE"""),44783.57794880787)</f>
        <v>44783.57795</v>
      </c>
      <c r="B503" s="24" t="str">
        <f>IFERROR(__xludf.DUMMYFUNCTION("""COMPUTED_VALUE"""),"Dorja ")</f>
        <v>Dorja </v>
      </c>
      <c r="C503" s="24">
        <f>IFERROR(__xludf.DUMMYFUNCTION("""COMPUTED_VALUE"""),741.0)</f>
        <v>741</v>
      </c>
      <c r="D503" s="24" t="str">
        <f>IFERROR(__xludf.DUMMYFUNCTION("""COMPUTED_VALUE"""),"Amazon")</f>
        <v>Amazon</v>
      </c>
      <c r="F503" s="23">
        <f>IFERROR(__xludf.DUMMYFUNCTION("""COMPUTED_VALUE"""),44742.0)</f>
        <v>44742</v>
      </c>
      <c r="G503" s="24" t="str">
        <f>IFERROR(__xludf.DUMMYFUNCTION("""COMPUTED_VALUE"""),"Claire")</f>
        <v>Claire</v>
      </c>
      <c r="H503" s="24">
        <f>IFERROR(__xludf.DUMMYFUNCTION("""COMPUTED_VALUE"""),115.0)</f>
        <v>115</v>
      </c>
      <c r="I503" s="24" t="str">
        <f>IFERROR(__xludf.DUMMYFUNCTION("""COMPUTED_VALUE"""),"C3")</f>
        <v>C3</v>
      </c>
    </row>
    <row r="504">
      <c r="A504" s="23">
        <f>IFERROR(__xludf.DUMMYFUNCTION("""COMPUTED_VALUE"""),44783.58056878472)</f>
        <v>44783.58057</v>
      </c>
      <c r="B504" s="24" t="str">
        <f>IFERROR(__xludf.DUMMYFUNCTION("""COMPUTED_VALUE"""),"Dorja ")</f>
        <v>Dorja </v>
      </c>
      <c r="C504" s="24">
        <f>IFERROR(__xludf.DUMMYFUNCTION("""COMPUTED_VALUE"""),942.0)</f>
        <v>942</v>
      </c>
      <c r="D504" s="24" t="str">
        <f>IFERROR(__xludf.DUMMYFUNCTION("""COMPUTED_VALUE"""),"Amazon")</f>
        <v>Amazon</v>
      </c>
      <c r="F504" s="23">
        <f>IFERROR(__xludf.DUMMYFUNCTION("""COMPUTED_VALUE"""),44742.0)</f>
        <v>44742</v>
      </c>
      <c r="G504" s="24" t="str">
        <f>IFERROR(__xludf.DUMMYFUNCTION("""COMPUTED_VALUE"""),"Claire")</f>
        <v>Claire</v>
      </c>
      <c r="H504" s="24">
        <f>IFERROR(__xludf.DUMMYFUNCTION("""COMPUTED_VALUE"""),299.0)</f>
        <v>299</v>
      </c>
      <c r="I504" s="24" t="str">
        <f>IFERROR(__xludf.DUMMYFUNCTION("""COMPUTED_VALUE"""),"E6")</f>
        <v>E6</v>
      </c>
    </row>
    <row r="505">
      <c r="A505" s="23">
        <f>IFERROR(__xludf.DUMMYFUNCTION("""COMPUTED_VALUE"""),44783.58296151621)</f>
        <v>44783.58296</v>
      </c>
      <c r="B505" s="24" t="str">
        <f>IFERROR(__xludf.DUMMYFUNCTION("""COMPUTED_VALUE"""),"Dorja ")</f>
        <v>Dorja </v>
      </c>
      <c r="C505" s="24">
        <f>IFERROR(__xludf.DUMMYFUNCTION("""COMPUTED_VALUE"""),530.0)</f>
        <v>530</v>
      </c>
      <c r="D505" s="24" t="str">
        <f>IFERROR(__xludf.DUMMYFUNCTION("""COMPUTED_VALUE"""),"Amazon")</f>
        <v>Amazon</v>
      </c>
      <c r="F505" s="23">
        <f>IFERROR(__xludf.DUMMYFUNCTION("""COMPUTED_VALUE"""),44742.0)</f>
        <v>44742</v>
      </c>
      <c r="G505" s="24" t="str">
        <f>IFERROR(__xludf.DUMMYFUNCTION("""COMPUTED_VALUE"""),"Claire")</f>
        <v>Claire</v>
      </c>
      <c r="H505" s="24">
        <f>IFERROR(__xludf.DUMMYFUNCTION("""COMPUTED_VALUE"""),62.0)</f>
        <v>62</v>
      </c>
      <c r="I505" s="24" t="str">
        <f>IFERROR(__xludf.DUMMYFUNCTION("""COMPUTED_VALUE"""),"E3")</f>
        <v>E3</v>
      </c>
    </row>
    <row r="506">
      <c r="A506" s="23">
        <f>IFERROR(__xludf.DUMMYFUNCTION("""COMPUTED_VALUE"""),44783.586665243056)</f>
        <v>44783.58667</v>
      </c>
      <c r="B506" s="24" t="str">
        <f>IFERROR(__xludf.DUMMYFUNCTION("""COMPUTED_VALUE"""),"Dorja ")</f>
        <v>Dorja </v>
      </c>
      <c r="C506" s="24">
        <f>IFERROR(__xludf.DUMMYFUNCTION("""COMPUTED_VALUE"""),864.0)</f>
        <v>864</v>
      </c>
      <c r="D506" s="24" t="str">
        <f>IFERROR(__xludf.DUMMYFUNCTION("""COMPUTED_VALUE"""),"Amazon")</f>
        <v>Amazon</v>
      </c>
      <c r="F506" s="23">
        <f>IFERROR(__xludf.DUMMYFUNCTION("""COMPUTED_VALUE"""),44742.0)</f>
        <v>44742</v>
      </c>
      <c r="G506" s="24" t="str">
        <f>IFERROR(__xludf.DUMMYFUNCTION("""COMPUTED_VALUE"""),"Claire")</f>
        <v>Claire</v>
      </c>
      <c r="H506" s="24">
        <f>IFERROR(__xludf.DUMMYFUNCTION("""COMPUTED_VALUE"""),193.0)</f>
        <v>193</v>
      </c>
      <c r="I506" s="24" t="str">
        <f>IFERROR(__xludf.DUMMYFUNCTION("""COMPUTED_VALUE"""),"B2")</f>
        <v>B2</v>
      </c>
    </row>
    <row r="507">
      <c r="A507" s="23">
        <f>IFERROR(__xludf.DUMMYFUNCTION("""COMPUTED_VALUE"""),44783.58904788194)</f>
        <v>44783.58905</v>
      </c>
      <c r="B507" s="24" t="str">
        <f>IFERROR(__xludf.DUMMYFUNCTION("""COMPUTED_VALUE"""),"Dorja ")</f>
        <v>Dorja </v>
      </c>
      <c r="C507" s="24">
        <f>IFERROR(__xludf.DUMMYFUNCTION("""COMPUTED_VALUE"""),1030.0)</f>
        <v>1030</v>
      </c>
      <c r="D507" s="24" t="str">
        <f>IFERROR(__xludf.DUMMYFUNCTION("""COMPUTED_VALUE"""),"Amazon")</f>
        <v>Amazon</v>
      </c>
      <c r="F507" s="23">
        <f>IFERROR(__xludf.DUMMYFUNCTION("""COMPUTED_VALUE"""),44742.0)</f>
        <v>44742</v>
      </c>
      <c r="G507" s="24" t="str">
        <f>IFERROR(__xludf.DUMMYFUNCTION("""COMPUTED_VALUE"""),"Claire")</f>
        <v>Claire</v>
      </c>
      <c r="H507" s="24">
        <f>IFERROR(__xludf.DUMMYFUNCTION("""COMPUTED_VALUE"""),221.0)</f>
        <v>221</v>
      </c>
      <c r="I507" s="24" t="str">
        <f>IFERROR(__xludf.DUMMYFUNCTION("""COMPUTED_VALUE"""),"J2")</f>
        <v>J2</v>
      </c>
    </row>
    <row r="508">
      <c r="A508" s="23">
        <f>IFERROR(__xludf.DUMMYFUNCTION("""COMPUTED_VALUE"""),44783.592131550926)</f>
        <v>44783.59213</v>
      </c>
      <c r="B508" s="24" t="str">
        <f>IFERROR(__xludf.DUMMYFUNCTION("""COMPUTED_VALUE"""),"Dorja ")</f>
        <v>Dorja </v>
      </c>
      <c r="C508" s="24">
        <f>IFERROR(__xludf.DUMMYFUNCTION("""COMPUTED_VALUE"""),1070.0)</f>
        <v>1070</v>
      </c>
      <c r="D508" s="24" t="str">
        <f>IFERROR(__xludf.DUMMYFUNCTION("""COMPUTED_VALUE"""),"Amazon")</f>
        <v>Amazon</v>
      </c>
      <c r="F508" s="23">
        <f>IFERROR(__xludf.DUMMYFUNCTION("""COMPUTED_VALUE"""),44742.0)</f>
        <v>44742</v>
      </c>
      <c r="G508" s="24" t="str">
        <f>IFERROR(__xludf.DUMMYFUNCTION("""COMPUTED_VALUE"""),"Claire")</f>
        <v>Claire</v>
      </c>
      <c r="H508" s="24">
        <f>IFERROR(__xludf.DUMMYFUNCTION("""COMPUTED_VALUE"""),55.0)</f>
        <v>55</v>
      </c>
      <c r="I508" s="24" t="str">
        <f>IFERROR(__xludf.DUMMYFUNCTION("""COMPUTED_VALUE"""),"D5")</f>
        <v>D5</v>
      </c>
    </row>
    <row r="509">
      <c r="A509" s="23">
        <f>IFERROR(__xludf.DUMMYFUNCTION("""COMPUTED_VALUE"""),44783.5956815162)</f>
        <v>44783.59568</v>
      </c>
      <c r="B509" s="24" t="str">
        <f>IFERROR(__xludf.DUMMYFUNCTION("""COMPUTED_VALUE"""),"Dorja ")</f>
        <v>Dorja </v>
      </c>
      <c r="C509" s="24">
        <f>IFERROR(__xludf.DUMMYFUNCTION("""COMPUTED_VALUE"""),1798.0)</f>
        <v>1798</v>
      </c>
      <c r="D509" s="24" t="str">
        <f>IFERROR(__xludf.DUMMYFUNCTION("""COMPUTED_VALUE"""),"Amazon")</f>
        <v>Amazon</v>
      </c>
      <c r="F509" s="23">
        <f>IFERROR(__xludf.DUMMYFUNCTION("""COMPUTED_VALUE"""),44742.0)</f>
        <v>44742</v>
      </c>
      <c r="G509" s="24" t="str">
        <f>IFERROR(__xludf.DUMMYFUNCTION("""COMPUTED_VALUE"""),"Claire")</f>
        <v>Claire</v>
      </c>
      <c r="H509" s="24">
        <f>IFERROR(__xludf.DUMMYFUNCTION("""COMPUTED_VALUE"""),400.0)</f>
        <v>400</v>
      </c>
      <c r="I509" s="24" t="str">
        <f>IFERROR(__xludf.DUMMYFUNCTION("""COMPUTED_VALUE"""),"L6")</f>
        <v>L6</v>
      </c>
    </row>
    <row r="510">
      <c r="A510" s="23">
        <f>IFERROR(__xludf.DUMMYFUNCTION("""COMPUTED_VALUE"""),44783.60377550926)</f>
        <v>44783.60378</v>
      </c>
      <c r="B510" s="24" t="str">
        <f>IFERROR(__xludf.DUMMYFUNCTION("""COMPUTED_VALUE"""),"Dorja ")</f>
        <v>Dorja </v>
      </c>
      <c r="C510" s="24">
        <f>IFERROR(__xludf.DUMMYFUNCTION("""COMPUTED_VALUE"""),191.0)</f>
        <v>191</v>
      </c>
      <c r="D510" s="24" t="str">
        <f>IFERROR(__xludf.DUMMYFUNCTION("""COMPUTED_VALUE"""),"Amazon")</f>
        <v>Amazon</v>
      </c>
      <c r="F510" s="23">
        <f>IFERROR(__xludf.DUMMYFUNCTION("""COMPUTED_VALUE"""),44742.0)</f>
        <v>44742</v>
      </c>
      <c r="G510" s="24" t="str">
        <f>IFERROR(__xludf.DUMMYFUNCTION("""COMPUTED_VALUE"""),"Claire")</f>
        <v>Claire</v>
      </c>
      <c r="H510" s="24">
        <f>IFERROR(__xludf.DUMMYFUNCTION("""COMPUTED_VALUE"""),-35.0)</f>
        <v>-35</v>
      </c>
      <c r="I510" s="24" t="str">
        <f>IFERROR(__xludf.DUMMYFUNCTION("""COMPUTED_VALUE"""),"L6")</f>
        <v>L6</v>
      </c>
    </row>
    <row r="511">
      <c r="A511" s="23">
        <f>IFERROR(__xludf.DUMMYFUNCTION("""COMPUTED_VALUE"""),44783.0)</f>
        <v>44783</v>
      </c>
      <c r="B511" s="24" t="str">
        <f>IFERROR(__xludf.DUMMYFUNCTION("""COMPUTED_VALUE"""),"Claire")</f>
        <v>Claire</v>
      </c>
      <c r="C511" s="24">
        <f>IFERROR(__xludf.DUMMYFUNCTION("""COMPUTED_VALUE"""),541.0)</f>
        <v>541</v>
      </c>
      <c r="D511" s="24" t="str">
        <f>IFERROR(__xludf.DUMMYFUNCTION("""COMPUTED_VALUE"""),"First Fruits Farm")</f>
        <v>First Fruits Farm</v>
      </c>
      <c r="F511" s="23">
        <f>IFERROR(__xludf.DUMMYFUNCTION("""COMPUTED_VALUE"""),44742.0)</f>
        <v>44742</v>
      </c>
      <c r="G511" s="24" t="str">
        <f>IFERROR(__xludf.DUMMYFUNCTION("""COMPUTED_VALUE"""),"Claire")</f>
        <v>Claire</v>
      </c>
      <c r="H511" s="24">
        <f>IFERROR(__xludf.DUMMYFUNCTION("""COMPUTED_VALUE"""),22.0)</f>
        <v>22</v>
      </c>
      <c r="I511" s="24" t="str">
        <f>IFERROR(__xludf.DUMMYFUNCTION("""COMPUTED_VALUE"""),"Donation/Missy")</f>
        <v>Donation/Missy</v>
      </c>
    </row>
    <row r="512">
      <c r="A512" s="23">
        <f>IFERROR(__xludf.DUMMYFUNCTION("""COMPUTED_VALUE"""),44783.0)</f>
        <v>44783</v>
      </c>
      <c r="B512" s="24" t="str">
        <f>IFERROR(__xludf.DUMMYFUNCTION("""COMPUTED_VALUE"""),"Claire")</f>
        <v>Claire</v>
      </c>
      <c r="C512" s="24">
        <f>IFERROR(__xludf.DUMMYFUNCTION("""COMPUTED_VALUE"""),564.0)</f>
        <v>564</v>
      </c>
      <c r="D512" s="24" t="str">
        <f>IFERROR(__xludf.DUMMYFUNCTION("""COMPUTED_VALUE"""),"First Fruits Farm")</f>
        <v>First Fruits Farm</v>
      </c>
      <c r="F512" s="23">
        <f>IFERROR(__xludf.DUMMYFUNCTION("""COMPUTED_VALUE"""),44742.55933505787)</f>
        <v>44742.55934</v>
      </c>
      <c r="G512" s="24" t="str">
        <f>IFERROR(__xludf.DUMMYFUNCTION("""COMPUTED_VALUE"""),"Jilleien Franquelli")</f>
        <v>Jilleien Franquelli</v>
      </c>
      <c r="H512" s="24">
        <f>IFERROR(__xludf.DUMMYFUNCTION("""COMPUTED_VALUE"""),152.0)</f>
        <v>152</v>
      </c>
      <c r="I512" s="24" t="str">
        <f>IFERROR(__xludf.DUMMYFUNCTION("""COMPUTED_VALUE"""),"Assorted option")</f>
        <v>Assorted option</v>
      </c>
    </row>
    <row r="513">
      <c r="A513" s="23">
        <f>IFERROR(__xludf.DUMMYFUNCTION("""COMPUTED_VALUE"""),44783.70347447917)</f>
        <v>44783.70347</v>
      </c>
      <c r="B513" s="24" t="str">
        <f>IFERROR(__xludf.DUMMYFUNCTION("""COMPUTED_VALUE"""),"Dorja ")</f>
        <v>Dorja </v>
      </c>
      <c r="C513" s="24">
        <f>IFERROR(__xludf.DUMMYFUNCTION("""COMPUTED_VALUE"""),470.0)</f>
        <v>470</v>
      </c>
      <c r="D513" s="24" t="str">
        <f>IFERROR(__xludf.DUMMYFUNCTION("""COMPUTED_VALUE"""),"First Fruits Farm")</f>
        <v>First Fruits Farm</v>
      </c>
      <c r="F513" s="23">
        <f>IFERROR(__xludf.DUMMYFUNCTION("""COMPUTED_VALUE"""),44742.59950762731)</f>
        <v>44742.59951</v>
      </c>
      <c r="G513" s="24" t="str">
        <f>IFERROR(__xludf.DUMMYFUNCTION("""COMPUTED_VALUE"""),"Jean")</f>
        <v>Jean</v>
      </c>
      <c r="H513" s="24">
        <f>IFERROR(__xludf.DUMMYFUNCTION("""COMPUTED_VALUE"""),385.0)</f>
        <v>385</v>
      </c>
      <c r="I513" s="24" t="str">
        <f>IFERROR(__xludf.DUMMYFUNCTION("""COMPUTED_VALUE"""),"Frozen")</f>
        <v>Frozen</v>
      </c>
    </row>
    <row r="514">
      <c r="A514" s="23">
        <f>IFERROR(__xludf.DUMMYFUNCTION("""COMPUTED_VALUE"""),44783.707530462954)</f>
        <v>44783.70753</v>
      </c>
      <c r="B514" s="24" t="str">
        <f>IFERROR(__xludf.DUMMYFUNCTION("""COMPUTED_VALUE"""),"Dorja ")</f>
        <v>Dorja </v>
      </c>
      <c r="C514" s="24">
        <f>IFERROR(__xludf.DUMMYFUNCTION("""COMPUTED_VALUE"""),699.0)</f>
        <v>699</v>
      </c>
      <c r="D514" s="24" t="str">
        <f>IFERROR(__xludf.DUMMYFUNCTION("""COMPUTED_VALUE"""),"Fresh Fruit Farm")</f>
        <v>Fresh Fruit Farm</v>
      </c>
      <c r="F514" s="23">
        <f>IFERROR(__xludf.DUMMYFUNCTION("""COMPUTED_VALUE"""),44742.60084402777)</f>
        <v>44742.60084</v>
      </c>
      <c r="G514" s="24" t="str">
        <f>IFERROR(__xludf.DUMMYFUNCTION("""COMPUTED_VALUE"""),"Jean")</f>
        <v>Jean</v>
      </c>
      <c r="H514" s="24">
        <f>IFERROR(__xludf.DUMMYFUNCTION("""COMPUTED_VALUE"""),329.0)</f>
        <v>329</v>
      </c>
      <c r="I514" s="24" t="str">
        <f>IFERROR(__xludf.DUMMYFUNCTION("""COMPUTED_VALUE"""),"Produce")</f>
        <v>Produce</v>
      </c>
    </row>
    <row r="515">
      <c r="A515" s="23">
        <f>IFERROR(__xludf.DUMMYFUNCTION("""COMPUTED_VALUE"""),44783.70782326389)</f>
        <v>44783.70782</v>
      </c>
      <c r="B515" s="24" t="str">
        <f>IFERROR(__xludf.DUMMYFUNCTION("""COMPUTED_VALUE"""),"Dorja ")</f>
        <v>Dorja </v>
      </c>
      <c r="C515" s="24">
        <f>IFERROR(__xludf.DUMMYFUNCTION("""COMPUTED_VALUE"""),546.0)</f>
        <v>546</v>
      </c>
      <c r="D515" s="24" t="str">
        <f>IFERROR(__xludf.DUMMYFUNCTION("""COMPUTED_VALUE"""),"FFF")</f>
        <v>FFF</v>
      </c>
      <c r="F515" s="23">
        <f>IFERROR(__xludf.DUMMYFUNCTION("""COMPUTED_VALUE"""),44742.60197390046)</f>
        <v>44742.60197</v>
      </c>
      <c r="G515" s="24" t="str">
        <f>IFERROR(__xludf.DUMMYFUNCTION("""COMPUTED_VALUE"""),"Jean")</f>
        <v>Jean</v>
      </c>
      <c r="H515" s="24">
        <f>IFERROR(__xludf.DUMMYFUNCTION("""COMPUTED_VALUE"""),630.0)</f>
        <v>630</v>
      </c>
      <c r="I515" s="24" t="str">
        <f>IFERROR(__xludf.DUMMYFUNCTION("""COMPUTED_VALUE"""),"Drinks")</f>
        <v>Drinks</v>
      </c>
    </row>
    <row r="516">
      <c r="A516" s="23">
        <f>IFERROR(__xludf.DUMMYFUNCTION("""COMPUTED_VALUE"""),44783.7080978588)</f>
        <v>44783.7081</v>
      </c>
      <c r="B516" s="24" t="str">
        <f>IFERROR(__xludf.DUMMYFUNCTION("""COMPUTED_VALUE"""),"Dorja ")</f>
        <v>Dorja </v>
      </c>
      <c r="C516" s="24">
        <f>IFERROR(__xludf.DUMMYFUNCTION("""COMPUTED_VALUE"""),576.0)</f>
        <v>576</v>
      </c>
      <c r="D516" s="24" t="str">
        <f>IFERROR(__xludf.DUMMYFUNCTION("""COMPUTED_VALUE"""),"FFF")</f>
        <v>FFF</v>
      </c>
      <c r="F516" s="23">
        <f>IFERROR(__xludf.DUMMYFUNCTION("""COMPUTED_VALUE"""),44742.60295719908)</f>
        <v>44742.60296</v>
      </c>
      <c r="G516" s="24" t="str">
        <f>IFERROR(__xludf.DUMMYFUNCTION("""COMPUTED_VALUE"""),"Jean")</f>
        <v>Jean</v>
      </c>
      <c r="H516" s="24">
        <f>IFERROR(__xludf.DUMMYFUNCTION("""COMPUTED_VALUE"""),358.0)</f>
        <v>358</v>
      </c>
      <c r="I516" s="24" t="str">
        <f>IFERROR(__xludf.DUMMYFUNCTION("""COMPUTED_VALUE"""),"Produce")</f>
        <v>Produce</v>
      </c>
    </row>
    <row r="517">
      <c r="A517" s="23">
        <f>IFERROR(__xludf.DUMMYFUNCTION("""COMPUTED_VALUE"""),44787.0)</f>
        <v>44787</v>
      </c>
      <c r="B517" s="24" t="str">
        <f>IFERROR(__xludf.DUMMYFUNCTION("""COMPUTED_VALUE"""),"Claire")</f>
        <v>Claire</v>
      </c>
      <c r="C517" s="24">
        <f>IFERROR(__xludf.DUMMYFUNCTION("""COMPUTED_VALUE"""),37.0)</f>
        <v>37</v>
      </c>
      <c r="D517" s="24" t="str">
        <f>IFERROR(__xludf.DUMMYFUNCTION("""COMPUTED_VALUE"""),"Sandtown quakers")</f>
        <v>Sandtown quakers</v>
      </c>
      <c r="F517" s="23">
        <f>IFERROR(__xludf.DUMMYFUNCTION("""COMPUTED_VALUE"""),44742.603663912036)</f>
        <v>44742.60366</v>
      </c>
      <c r="G517" s="24" t="str">
        <f>IFERROR(__xludf.DUMMYFUNCTION("""COMPUTED_VALUE"""),"Jean")</f>
        <v>Jean</v>
      </c>
      <c r="H517" s="24">
        <f>IFERROR(__xludf.DUMMYFUNCTION("""COMPUTED_VALUE"""),1015.0)</f>
        <v>1015</v>
      </c>
      <c r="I517" s="24" t="str">
        <f>IFERROR(__xludf.DUMMYFUNCTION("""COMPUTED_VALUE"""),"Frozen")</f>
        <v>Frozen</v>
      </c>
    </row>
    <row r="518">
      <c r="A518" s="23">
        <f>IFERROR(__xludf.DUMMYFUNCTION("""COMPUTED_VALUE"""),44787.0)</f>
        <v>44787</v>
      </c>
      <c r="B518" s="24" t="str">
        <f>IFERROR(__xludf.DUMMYFUNCTION("""COMPUTED_VALUE"""),"Claire")</f>
        <v>Claire</v>
      </c>
      <c r="C518" s="24">
        <f>IFERROR(__xludf.DUMMYFUNCTION("""COMPUTED_VALUE"""),787.0)</f>
        <v>787</v>
      </c>
      <c r="D518" s="24" t="str">
        <f>IFERROR(__xludf.DUMMYFUNCTION("""COMPUTED_VALUE"""),"Amazon")</f>
        <v>Amazon</v>
      </c>
      <c r="F518" s="23">
        <f>IFERROR(__xludf.DUMMYFUNCTION("""COMPUTED_VALUE"""),44742.604380914345)</f>
        <v>44742.60438</v>
      </c>
      <c r="G518" s="24" t="str">
        <f>IFERROR(__xludf.DUMMYFUNCTION("""COMPUTED_VALUE"""),"Jean")</f>
        <v>Jean</v>
      </c>
      <c r="H518" s="24">
        <f>IFERROR(__xludf.DUMMYFUNCTION("""COMPUTED_VALUE"""),590.0)</f>
        <v>590</v>
      </c>
      <c r="I518" s="24" t="str">
        <f>IFERROR(__xludf.DUMMYFUNCTION("""COMPUTED_VALUE"""),"Frozen")</f>
        <v>Frozen</v>
      </c>
    </row>
    <row r="519">
      <c r="A519" s="23">
        <f>IFERROR(__xludf.DUMMYFUNCTION("""COMPUTED_VALUE"""),44787.0)</f>
        <v>44787</v>
      </c>
      <c r="B519" s="24" t="str">
        <f>IFERROR(__xludf.DUMMYFUNCTION("""COMPUTED_VALUE"""),"Claire")</f>
        <v>Claire</v>
      </c>
      <c r="C519" s="24">
        <f>IFERROR(__xludf.DUMMYFUNCTION("""COMPUTED_VALUE"""),460.0)</f>
        <v>460</v>
      </c>
      <c r="D519" s="24" t="str">
        <f>IFERROR(__xludf.DUMMYFUNCTION("""COMPUTED_VALUE"""),"Amazon")</f>
        <v>Amazon</v>
      </c>
      <c r="F519" s="23">
        <f>IFERROR(__xludf.DUMMYFUNCTION("""COMPUTED_VALUE"""),44742.61379880787)</f>
        <v>44742.6138</v>
      </c>
      <c r="G519" s="24" t="str">
        <f>IFERROR(__xludf.DUMMYFUNCTION("""COMPUTED_VALUE"""),"Jean")</f>
        <v>Jean</v>
      </c>
      <c r="H519" s="24">
        <f>IFERROR(__xludf.DUMMYFUNCTION("""COMPUTED_VALUE"""),733.0)</f>
        <v>733</v>
      </c>
      <c r="I519" s="24" t="str">
        <f>IFERROR(__xludf.DUMMYFUNCTION("""COMPUTED_VALUE"""),"Frozen")</f>
        <v>Frozen</v>
      </c>
    </row>
    <row r="520">
      <c r="A520" s="23">
        <f>IFERROR(__xludf.DUMMYFUNCTION("""COMPUTED_VALUE"""),44787.0)</f>
        <v>44787</v>
      </c>
      <c r="B520" s="24" t="str">
        <f>IFERROR(__xludf.DUMMYFUNCTION("""COMPUTED_VALUE"""),"Claire")</f>
        <v>Claire</v>
      </c>
      <c r="C520" s="24">
        <f>IFERROR(__xludf.DUMMYFUNCTION("""COMPUTED_VALUE"""),844.0)</f>
        <v>844</v>
      </c>
      <c r="D520" s="24" t="str">
        <f>IFERROR(__xludf.DUMMYFUNCTION("""COMPUTED_VALUE"""),"Amazon")</f>
        <v>Amazon</v>
      </c>
      <c r="F520" s="23">
        <f>IFERROR(__xludf.DUMMYFUNCTION("""COMPUTED_VALUE"""),44742.61456791667)</f>
        <v>44742.61457</v>
      </c>
      <c r="G520" s="24" t="str">
        <f>IFERROR(__xludf.DUMMYFUNCTION("""COMPUTED_VALUE"""),"Jean")</f>
        <v>Jean</v>
      </c>
      <c r="H520" s="24">
        <f>IFERROR(__xludf.DUMMYFUNCTION("""COMPUTED_VALUE"""),632.0)</f>
        <v>632</v>
      </c>
      <c r="I520" s="24" t="str">
        <f>IFERROR(__xludf.DUMMYFUNCTION("""COMPUTED_VALUE"""),"Frozen")</f>
        <v>Frozen</v>
      </c>
    </row>
    <row r="521">
      <c r="A521" s="23">
        <f>IFERROR(__xludf.DUMMYFUNCTION("""COMPUTED_VALUE"""),44789.660655347216)</f>
        <v>44789.66066</v>
      </c>
      <c r="B521" s="24" t="str">
        <f>IFERROR(__xludf.DUMMYFUNCTION("""COMPUTED_VALUE"""),"Spencer Ellsworth")</f>
        <v>Spencer Ellsworth</v>
      </c>
      <c r="C521" s="24">
        <f>IFERROR(__xludf.DUMMYFUNCTION("""COMPUTED_VALUE"""),88.0)</f>
        <v>88</v>
      </c>
      <c r="D521" s="24" t="str">
        <f>IFERROR(__xludf.DUMMYFUNCTION("""COMPUTED_VALUE"""),"Alto Dale Farm")</f>
        <v>Alto Dale Farm</v>
      </c>
      <c r="F521" s="23">
        <f>IFERROR(__xludf.DUMMYFUNCTION("""COMPUTED_VALUE"""),44742.707302696756)</f>
        <v>44742.7073</v>
      </c>
      <c r="G521" s="24" t="str">
        <f>IFERROR(__xludf.DUMMYFUNCTION("""COMPUTED_VALUE"""),"Norma kriger")</f>
        <v>Norma kriger</v>
      </c>
      <c r="H521" s="24">
        <f>IFERROR(__xludf.DUMMYFUNCTION("""COMPUTED_VALUE"""),11.0)</f>
        <v>11</v>
      </c>
      <c r="I521" s="24"/>
    </row>
    <row r="522">
      <c r="A522" s="23">
        <f>IFERROR(__xludf.DUMMYFUNCTION("""COMPUTED_VALUE"""),44790.84317833333)</f>
        <v>44790.84318</v>
      </c>
      <c r="B522" s="24" t="str">
        <f>IFERROR(__xludf.DUMMYFUNCTION("""COMPUTED_VALUE"""),"Vincent Faulk")</f>
        <v>Vincent Faulk</v>
      </c>
      <c r="C522" s="24">
        <f>IFERROR(__xludf.DUMMYFUNCTION("""COMPUTED_VALUE"""),673.0)</f>
        <v>673</v>
      </c>
      <c r="D522" s="24" t="str">
        <f>IFERROR(__xludf.DUMMYFUNCTION("""COMPUTED_VALUE"""),"Fresh fruit farm ")</f>
        <v>Fresh fruit farm </v>
      </c>
      <c r="F522" s="23">
        <f>IFERROR(__xludf.DUMMYFUNCTION("""COMPUTED_VALUE"""),44742.71967123843)</f>
        <v>44742.71967</v>
      </c>
      <c r="G522" s="24" t="str">
        <f>IFERROR(__xludf.DUMMYFUNCTION("""COMPUTED_VALUE"""),"Jean")</f>
        <v>Jean</v>
      </c>
      <c r="H522" s="24">
        <f>IFERROR(__xludf.DUMMYFUNCTION("""COMPUTED_VALUE"""),35.0)</f>
        <v>35</v>
      </c>
      <c r="I522" s="24"/>
    </row>
    <row r="523">
      <c r="A523" s="23">
        <f>IFERROR(__xludf.DUMMYFUNCTION("""COMPUTED_VALUE"""),44790.84383864583)</f>
        <v>44790.84384</v>
      </c>
      <c r="B523" s="24" t="str">
        <f>IFERROR(__xludf.DUMMYFUNCTION("""COMPUTED_VALUE"""),"Vincent Faulk")</f>
        <v>Vincent Faulk</v>
      </c>
      <c r="C523" s="24">
        <f>IFERROR(__xludf.DUMMYFUNCTION("""COMPUTED_VALUE"""),701.0)</f>
        <v>701</v>
      </c>
      <c r="D523" s="24" t="str">
        <f>IFERROR(__xludf.DUMMYFUNCTION("""COMPUTED_VALUE"""),"Fresh fruit farm ")</f>
        <v>Fresh fruit farm </v>
      </c>
      <c r="F523" s="23">
        <f>IFERROR(__xludf.DUMMYFUNCTION("""COMPUTED_VALUE"""),44742.71991452546)</f>
        <v>44742.71991</v>
      </c>
      <c r="G523" s="24" t="str">
        <f>IFERROR(__xludf.DUMMYFUNCTION("""COMPUTED_VALUE"""),"Jean")</f>
        <v>Jean</v>
      </c>
      <c r="H523" s="24">
        <f>IFERROR(__xludf.DUMMYFUNCTION("""COMPUTED_VALUE"""),12.0)</f>
        <v>12</v>
      </c>
      <c r="I523" s="24"/>
    </row>
    <row r="524">
      <c r="A524" s="23">
        <f>IFERROR(__xludf.DUMMYFUNCTION("""COMPUTED_VALUE"""),44790.844850497684)</f>
        <v>44790.84485</v>
      </c>
      <c r="B524" s="24" t="str">
        <f>IFERROR(__xludf.DUMMYFUNCTION("""COMPUTED_VALUE"""),"Vincent Faulk")</f>
        <v>Vincent Faulk</v>
      </c>
      <c r="C524" s="24">
        <f>IFERROR(__xludf.DUMMYFUNCTION("""COMPUTED_VALUE"""),596.0)</f>
        <v>596</v>
      </c>
      <c r="D524" s="24" t="str">
        <f>IFERROR(__xludf.DUMMYFUNCTION("""COMPUTED_VALUE"""),"Fresh fruit farm ")</f>
        <v>Fresh fruit farm </v>
      </c>
      <c r="F524" s="23">
        <f>IFERROR(__xludf.DUMMYFUNCTION("""COMPUTED_VALUE"""),44742.84105068287)</f>
        <v>44742.84105</v>
      </c>
      <c r="G524" s="24" t="str">
        <f>IFERROR(__xludf.DUMMYFUNCTION("""COMPUTED_VALUE"""),"Seth Crawford")</f>
        <v>Seth Crawford</v>
      </c>
      <c r="H524" s="24">
        <f>IFERROR(__xludf.DUMMYFUNCTION("""COMPUTED_VALUE"""),642.0)</f>
        <v>642</v>
      </c>
      <c r="I524" s="24" t="str">
        <f>IFERROR(__xludf.DUMMYFUNCTION("""COMPUTED_VALUE"""),"Amazon")</f>
        <v>Amazon</v>
      </c>
    </row>
    <row r="525">
      <c r="A525" s="23">
        <f>IFERROR(__xludf.DUMMYFUNCTION("""COMPUTED_VALUE"""),44790.8456678588)</f>
        <v>44790.84567</v>
      </c>
      <c r="B525" s="24" t="str">
        <f>IFERROR(__xludf.DUMMYFUNCTION("""COMPUTED_VALUE"""),"Vincent Faulk")</f>
        <v>Vincent Faulk</v>
      </c>
      <c r="C525" s="24">
        <f>IFERROR(__xludf.DUMMYFUNCTION("""COMPUTED_VALUE"""),531.0)</f>
        <v>531</v>
      </c>
      <c r="D525" s="24" t="str">
        <f>IFERROR(__xludf.DUMMYFUNCTION("""COMPUTED_VALUE"""),"Fresh fruit farm ")</f>
        <v>Fresh fruit farm </v>
      </c>
      <c r="F525" s="23">
        <f>IFERROR(__xludf.DUMMYFUNCTION("""COMPUTED_VALUE"""),44742.84243320602)</f>
        <v>44742.84243</v>
      </c>
      <c r="G525" s="24" t="str">
        <f>IFERROR(__xludf.DUMMYFUNCTION("""COMPUTED_VALUE"""),"Seth Crawford")</f>
        <v>Seth Crawford</v>
      </c>
      <c r="H525" s="24">
        <f>IFERROR(__xludf.DUMMYFUNCTION("""COMPUTED_VALUE"""),768.0)</f>
        <v>768</v>
      </c>
      <c r="I525" s="24" t="str">
        <f>IFERROR(__xludf.DUMMYFUNCTION("""COMPUTED_VALUE"""),"Amazon")</f>
        <v>Amazon</v>
      </c>
    </row>
    <row r="526">
      <c r="A526" s="23">
        <f>IFERROR(__xludf.DUMMYFUNCTION("""COMPUTED_VALUE"""),44790.846073043984)</f>
        <v>44790.84607</v>
      </c>
      <c r="B526" s="24" t="str">
        <f>IFERROR(__xludf.DUMMYFUNCTION("""COMPUTED_VALUE"""),"Vincent Faulk")</f>
        <v>Vincent Faulk</v>
      </c>
      <c r="C526" s="24">
        <f>IFERROR(__xludf.DUMMYFUNCTION("""COMPUTED_VALUE"""),833.0)</f>
        <v>833</v>
      </c>
      <c r="D526" s="24" t="str">
        <f>IFERROR(__xludf.DUMMYFUNCTION("""COMPUTED_VALUE"""),"Fresh fruit farm ")</f>
        <v>Fresh fruit farm </v>
      </c>
      <c r="F526" s="23">
        <f>IFERROR(__xludf.DUMMYFUNCTION("""COMPUTED_VALUE"""),44742.84440153935)</f>
        <v>44742.8444</v>
      </c>
      <c r="G526" s="24" t="str">
        <f>IFERROR(__xludf.DUMMYFUNCTION("""COMPUTED_VALUE"""),"Seth Crawford")</f>
        <v>Seth Crawford</v>
      </c>
      <c r="H526" s="24">
        <f>IFERROR(__xludf.DUMMYFUNCTION("""COMPUTED_VALUE"""),348.0)</f>
        <v>348</v>
      </c>
      <c r="I526" s="24" t="str">
        <f>IFERROR(__xludf.DUMMYFUNCTION("""COMPUTED_VALUE"""),"Amazon")</f>
        <v>Amazon</v>
      </c>
    </row>
    <row r="527">
      <c r="A527" s="23">
        <f>IFERROR(__xludf.DUMMYFUNCTION("""COMPUTED_VALUE"""),44792.66681607639)</f>
        <v>44792.66682</v>
      </c>
      <c r="B527" s="24" t="str">
        <f>IFERROR(__xludf.DUMMYFUNCTION("""COMPUTED_VALUE"""),"Spencer Ellsworth ")</f>
        <v>Spencer Ellsworth </v>
      </c>
      <c r="C527" s="24">
        <f>IFERROR(__xludf.DUMMYFUNCTION("""COMPUTED_VALUE"""),30.0)</f>
        <v>30</v>
      </c>
      <c r="D527" s="24" t="str">
        <f>IFERROR(__xludf.DUMMYFUNCTION("""COMPUTED_VALUE"""),"Alto Dale Farm")</f>
        <v>Alto Dale Farm</v>
      </c>
      <c r="F527" s="23">
        <f>IFERROR(__xludf.DUMMYFUNCTION("""COMPUTED_VALUE"""),44742.84711153935)</f>
        <v>44742.84711</v>
      </c>
      <c r="G527" s="24" t="str">
        <f>IFERROR(__xludf.DUMMYFUNCTION("""COMPUTED_VALUE"""),"Seth Crawford")</f>
        <v>Seth Crawford</v>
      </c>
      <c r="H527" s="24">
        <f>IFERROR(__xludf.DUMMYFUNCTION("""COMPUTED_VALUE"""),746.0)</f>
        <v>746</v>
      </c>
      <c r="I527" s="24" t="str">
        <f>IFERROR(__xludf.DUMMYFUNCTION("""COMPUTED_VALUE"""),"Amazon")</f>
        <v>Amazon</v>
      </c>
    </row>
    <row r="528">
      <c r="A528" s="23">
        <f>IFERROR(__xludf.DUMMYFUNCTION("""COMPUTED_VALUE"""),44794.73654776621)</f>
        <v>44794.73655</v>
      </c>
      <c r="B528" s="24" t="str">
        <f>IFERROR(__xludf.DUMMYFUNCTION("""COMPUTED_VALUE"""),"Zoe")</f>
        <v>Zoe</v>
      </c>
      <c r="C528" s="24">
        <f>IFERROR(__xludf.DUMMYFUNCTION("""COMPUTED_VALUE"""),163.0)</f>
        <v>163</v>
      </c>
      <c r="D528" s="24" t="str">
        <f>IFERROR(__xludf.DUMMYFUNCTION("""COMPUTED_VALUE"""),"Amazon")</f>
        <v>Amazon</v>
      </c>
      <c r="F528" s="23">
        <f>IFERROR(__xludf.DUMMYFUNCTION("""COMPUTED_VALUE"""),44742.84883965278)</f>
        <v>44742.84884</v>
      </c>
      <c r="G528" s="24" t="str">
        <f>IFERROR(__xludf.DUMMYFUNCTION("""COMPUTED_VALUE"""),"Seth Crawford")</f>
        <v>Seth Crawford</v>
      </c>
      <c r="H528" s="24">
        <f>IFERROR(__xludf.DUMMYFUNCTION("""COMPUTED_VALUE"""),710.0)</f>
        <v>710</v>
      </c>
      <c r="I528" s="24" t="str">
        <f>IFERROR(__xludf.DUMMYFUNCTION("""COMPUTED_VALUE"""),"Amazon")</f>
        <v>Amazon</v>
      </c>
    </row>
    <row r="529">
      <c r="A529" s="23">
        <f>IFERROR(__xludf.DUMMYFUNCTION("""COMPUTED_VALUE"""),44794.73690043981)</f>
        <v>44794.7369</v>
      </c>
      <c r="B529" s="24" t="str">
        <f>IFERROR(__xludf.DUMMYFUNCTION("""COMPUTED_VALUE"""),"Zoe")</f>
        <v>Zoe</v>
      </c>
      <c r="C529" s="24">
        <f>IFERROR(__xludf.DUMMYFUNCTION("""COMPUTED_VALUE"""),418.0)</f>
        <v>418</v>
      </c>
      <c r="D529" s="24" t="str">
        <f>IFERROR(__xludf.DUMMYFUNCTION("""COMPUTED_VALUE"""),"Amazon")</f>
        <v>Amazon</v>
      </c>
      <c r="F529" s="23">
        <f>IFERROR(__xludf.DUMMYFUNCTION("""COMPUTED_VALUE"""),44742.85027241898)</f>
        <v>44742.85027</v>
      </c>
      <c r="G529" s="24" t="str">
        <f>IFERROR(__xludf.DUMMYFUNCTION("""COMPUTED_VALUE"""),"Seth Crawford")</f>
        <v>Seth Crawford</v>
      </c>
      <c r="H529" s="24">
        <f>IFERROR(__xludf.DUMMYFUNCTION("""COMPUTED_VALUE"""),687.0)</f>
        <v>687</v>
      </c>
      <c r="I529" s="24" t="str">
        <f>IFERROR(__xludf.DUMMYFUNCTION("""COMPUTED_VALUE"""),"Amazon")</f>
        <v>Amazon</v>
      </c>
    </row>
    <row r="530">
      <c r="A530" s="23">
        <f>IFERROR(__xludf.DUMMYFUNCTION("""COMPUTED_VALUE"""),44794.7374796875)</f>
        <v>44794.73748</v>
      </c>
      <c r="B530" s="24" t="str">
        <f>IFERROR(__xludf.DUMMYFUNCTION("""COMPUTED_VALUE"""),"Zoe")</f>
        <v>Zoe</v>
      </c>
      <c r="C530" s="24">
        <f>IFERROR(__xludf.DUMMYFUNCTION("""COMPUTED_VALUE"""),302.0)</f>
        <v>302</v>
      </c>
      <c r="D530" s="24" t="str">
        <f>IFERROR(__xludf.DUMMYFUNCTION("""COMPUTED_VALUE"""),"Amazon")</f>
        <v>Amazon</v>
      </c>
      <c r="F530" s="23">
        <f>IFERROR(__xludf.DUMMYFUNCTION("""COMPUTED_VALUE"""),44742.8529836574)</f>
        <v>44742.85298</v>
      </c>
      <c r="G530" s="24" t="str">
        <f>IFERROR(__xludf.DUMMYFUNCTION("""COMPUTED_VALUE"""),"Seth Crawford")</f>
        <v>Seth Crawford</v>
      </c>
      <c r="H530" s="24">
        <f>IFERROR(__xludf.DUMMYFUNCTION("""COMPUTED_VALUE"""),687.0)</f>
        <v>687</v>
      </c>
      <c r="I530" s="24" t="str">
        <f>IFERROR(__xludf.DUMMYFUNCTION("""COMPUTED_VALUE"""),"Amazon")</f>
        <v>Amazon</v>
      </c>
    </row>
    <row r="531">
      <c r="A531" s="23">
        <f>IFERROR(__xludf.DUMMYFUNCTION("""COMPUTED_VALUE"""),44794.739626481474)</f>
        <v>44794.73963</v>
      </c>
      <c r="B531" s="24" t="str">
        <f>IFERROR(__xludf.DUMMYFUNCTION("""COMPUTED_VALUE"""),"Zoe")</f>
        <v>Zoe</v>
      </c>
      <c r="C531" s="24">
        <f>IFERROR(__xludf.DUMMYFUNCTION("""COMPUTED_VALUE"""),1014.0)</f>
        <v>1014</v>
      </c>
      <c r="D531" s="24" t="str">
        <f>IFERROR(__xludf.DUMMYFUNCTION("""COMPUTED_VALUE"""),"Amazon")</f>
        <v>Amazon</v>
      </c>
      <c r="F531" s="23">
        <f>IFERROR(__xludf.DUMMYFUNCTION("""COMPUTED_VALUE"""),44742.85325167824)</f>
        <v>44742.85325</v>
      </c>
      <c r="G531" s="24" t="str">
        <f>IFERROR(__xludf.DUMMYFUNCTION("""COMPUTED_VALUE"""),"Seth Crawford")</f>
        <v>Seth Crawford</v>
      </c>
      <c r="H531" s="24">
        <f>IFERROR(__xludf.DUMMYFUNCTION("""COMPUTED_VALUE"""),1032.0)</f>
        <v>1032</v>
      </c>
      <c r="I531" s="24" t="str">
        <f>IFERROR(__xludf.DUMMYFUNCTION("""COMPUTED_VALUE"""),"Amazon")</f>
        <v>Amazon</v>
      </c>
    </row>
    <row r="532">
      <c r="A532" s="23">
        <f>IFERROR(__xludf.DUMMYFUNCTION("""COMPUTED_VALUE"""),44794.74102555555)</f>
        <v>44794.74103</v>
      </c>
      <c r="B532" s="24" t="str">
        <f>IFERROR(__xludf.DUMMYFUNCTION("""COMPUTED_VALUE"""),"Zoe")</f>
        <v>Zoe</v>
      </c>
      <c r="C532" s="24">
        <f>IFERROR(__xludf.DUMMYFUNCTION("""COMPUTED_VALUE"""),492.0)</f>
        <v>492</v>
      </c>
      <c r="D532" s="24" t="str">
        <f>IFERROR(__xludf.DUMMYFUNCTION("""COMPUTED_VALUE"""),"Amazon")</f>
        <v>Amazon</v>
      </c>
      <c r="F532" s="23">
        <f>IFERROR(__xludf.DUMMYFUNCTION("""COMPUTED_VALUE"""),44742.86957678241)</f>
        <v>44742.86958</v>
      </c>
      <c r="G532" s="24" t="str">
        <f>IFERROR(__xludf.DUMMYFUNCTION("""COMPUTED_VALUE"""),"Kay Fenton")</f>
        <v>Kay Fenton</v>
      </c>
      <c r="H532" s="24">
        <f>IFERROR(__xludf.DUMMYFUNCTION("""COMPUTED_VALUE"""),8.0)</f>
        <v>8</v>
      </c>
      <c r="I532" s="24"/>
    </row>
    <row r="533">
      <c r="A533" s="23">
        <f>IFERROR(__xludf.DUMMYFUNCTION("""COMPUTED_VALUE"""),44794.743448622685)</f>
        <v>44794.74345</v>
      </c>
      <c r="B533" s="24" t="str">
        <f>IFERROR(__xludf.DUMMYFUNCTION("""COMPUTED_VALUE"""),"Zoe")</f>
        <v>Zoe</v>
      </c>
      <c r="C533" s="24">
        <f>IFERROR(__xludf.DUMMYFUNCTION("""COMPUTED_VALUE"""),839.0)</f>
        <v>839</v>
      </c>
      <c r="D533" s="24" t="str">
        <f>IFERROR(__xludf.DUMMYFUNCTION("""COMPUTED_VALUE"""),"Amazon")</f>
        <v>Amazon</v>
      </c>
      <c r="F533" s="23">
        <f>IFERROR(__xludf.DUMMYFUNCTION("""COMPUTED_VALUE"""),44742.875007766204)</f>
        <v>44742.87501</v>
      </c>
      <c r="G533" s="24" t="str">
        <f>IFERROR(__xludf.DUMMYFUNCTION("""COMPUTED_VALUE"""),"Aziza ")</f>
        <v>Aziza </v>
      </c>
      <c r="H533" s="24">
        <f>IFERROR(__xludf.DUMMYFUNCTION("""COMPUTED_VALUE"""),20.0)</f>
        <v>20</v>
      </c>
      <c r="I533" s="24"/>
    </row>
    <row r="534">
      <c r="A534" s="23">
        <f>IFERROR(__xludf.DUMMYFUNCTION("""COMPUTED_VALUE"""),44794.7466871875)</f>
        <v>44794.74669</v>
      </c>
      <c r="B534" s="24" t="str">
        <f>IFERROR(__xludf.DUMMYFUNCTION("""COMPUTED_VALUE"""),"Zoe")</f>
        <v>Zoe</v>
      </c>
      <c r="C534" s="24">
        <f>IFERROR(__xludf.DUMMYFUNCTION("""COMPUTED_VALUE"""),1261.0)</f>
        <v>1261</v>
      </c>
      <c r="D534" s="24" t="str">
        <f>IFERROR(__xludf.DUMMYFUNCTION("""COMPUTED_VALUE"""),"Amazon")</f>
        <v>Amazon</v>
      </c>
      <c r="F534" s="23">
        <f>IFERROR(__xludf.DUMMYFUNCTION("""COMPUTED_VALUE"""),44742.87736104167)</f>
        <v>44742.87736</v>
      </c>
      <c r="G534" s="24" t="str">
        <f>IFERROR(__xludf.DUMMYFUNCTION("""COMPUTED_VALUE"""),"Aziza - pet kitty litter ")</f>
        <v>Aziza - pet kitty litter </v>
      </c>
      <c r="H534" s="24">
        <f>IFERROR(__xludf.DUMMYFUNCTION("""COMPUTED_VALUE"""),17.0)</f>
        <v>17</v>
      </c>
      <c r="I534" s="24"/>
    </row>
    <row r="535">
      <c r="A535" s="23">
        <f>IFERROR(__xludf.DUMMYFUNCTION("""COMPUTED_VALUE"""),44794.75007991898)</f>
        <v>44794.75008</v>
      </c>
      <c r="B535" s="24" t="str">
        <f>IFERROR(__xludf.DUMMYFUNCTION("""COMPUTED_VALUE"""),"Zoe")</f>
        <v>Zoe</v>
      </c>
      <c r="C535" s="24">
        <f>IFERROR(__xludf.DUMMYFUNCTION("""COMPUTED_VALUE"""),736.0)</f>
        <v>736</v>
      </c>
      <c r="D535" s="24" t="str">
        <f>IFERROR(__xludf.DUMMYFUNCTION("""COMPUTED_VALUE"""),"Amazon")</f>
        <v>Amazon</v>
      </c>
      <c r="F535" s="23">
        <f>IFERROR(__xludf.DUMMYFUNCTION("""COMPUTED_VALUE"""),44742.87772212963)</f>
        <v>44742.87772</v>
      </c>
      <c r="G535" s="24" t="str">
        <f>IFERROR(__xludf.DUMMYFUNCTION("""COMPUTED_VALUE"""),"Nathaniel ")</f>
        <v>Nathaniel </v>
      </c>
      <c r="H535" s="24">
        <f>IFERROR(__xludf.DUMMYFUNCTION("""COMPUTED_VALUE"""),20.0)</f>
        <v>20</v>
      </c>
      <c r="I535" s="24"/>
    </row>
    <row r="536">
      <c r="A536" s="23">
        <f>IFERROR(__xludf.DUMMYFUNCTION("""COMPUTED_VALUE"""),44797.0)</f>
        <v>44797</v>
      </c>
      <c r="B536" s="24" t="str">
        <f>IFERROR(__xludf.DUMMYFUNCTION("""COMPUTED_VALUE"""),"Claire")</f>
        <v>Claire</v>
      </c>
      <c r="C536" s="24">
        <f>IFERROR(__xludf.DUMMYFUNCTION("""COMPUTED_VALUE"""),639.0)</f>
        <v>639</v>
      </c>
      <c r="D536" s="24" t="str">
        <f>IFERROR(__xludf.DUMMYFUNCTION("""COMPUTED_VALUE"""),"First fruits farm")</f>
        <v>First fruits farm</v>
      </c>
      <c r="F536" s="23">
        <f>IFERROR(__xludf.DUMMYFUNCTION("""COMPUTED_VALUE"""),44742.888072800924)</f>
        <v>44742.88807</v>
      </c>
      <c r="G536" s="24" t="str">
        <f>IFERROR(__xludf.DUMMYFUNCTION("""COMPUTED_VALUE"""),"Sheneil ")</f>
        <v>Sheneil </v>
      </c>
      <c r="H536" s="24">
        <f>IFERROR(__xludf.DUMMYFUNCTION("""COMPUTED_VALUE"""),20.0)</f>
        <v>20</v>
      </c>
      <c r="I536" s="24"/>
    </row>
    <row r="537">
      <c r="A537" s="23">
        <f>IFERROR(__xludf.DUMMYFUNCTION("""COMPUTED_VALUE"""),44797.68659407407)</f>
        <v>44797.68659</v>
      </c>
      <c r="B537" s="24" t="str">
        <f>IFERROR(__xludf.DUMMYFUNCTION("""COMPUTED_VALUE"""),"Claire")</f>
        <v>Claire</v>
      </c>
      <c r="C537" s="24">
        <f>IFERROR(__xludf.DUMMYFUNCTION("""COMPUTED_VALUE"""),814.0)</f>
        <v>814</v>
      </c>
      <c r="D537" s="24" t="str">
        <f>IFERROR(__xludf.DUMMYFUNCTION("""COMPUTED_VALUE"""),"First fruits farm ")</f>
        <v>First fruits farm </v>
      </c>
      <c r="F537" s="23">
        <f>IFERROR(__xludf.DUMMYFUNCTION("""COMPUTED_VALUE"""),44743.69914131945)</f>
        <v>44743.69914</v>
      </c>
      <c r="G537" s="24" t="str">
        <f>IFERROR(__xludf.DUMMYFUNCTION("""COMPUTED_VALUE"""),"Claire")</f>
        <v>Claire</v>
      </c>
      <c r="H537" s="24">
        <f>IFERROR(__xludf.DUMMYFUNCTION("""COMPUTED_VALUE"""),371.0)</f>
        <v>371</v>
      </c>
      <c r="I537" s="24" t="str">
        <f>IFERROR(__xludf.DUMMYFUNCTION("""COMPUTED_VALUE"""),"Dry goods")</f>
        <v>Dry goods</v>
      </c>
    </row>
    <row r="538">
      <c r="A538" s="23">
        <f>IFERROR(__xludf.DUMMYFUNCTION("""COMPUTED_VALUE"""),44797.68718616898)</f>
        <v>44797.68719</v>
      </c>
      <c r="B538" s="24" t="str">
        <f>IFERROR(__xludf.DUMMYFUNCTION("""COMPUTED_VALUE"""),"Claire")</f>
        <v>Claire</v>
      </c>
      <c r="C538" s="24">
        <f>IFERROR(__xludf.DUMMYFUNCTION("""COMPUTED_VALUE"""),686.0)</f>
        <v>686</v>
      </c>
      <c r="D538" s="24" t="str">
        <f>IFERROR(__xludf.DUMMYFUNCTION("""COMPUTED_VALUE"""),"First fruits farm")</f>
        <v>First fruits farm</v>
      </c>
      <c r="F538" s="23">
        <f>IFERROR(__xludf.DUMMYFUNCTION("""COMPUTED_VALUE"""),44743.699368692134)</f>
        <v>44743.69937</v>
      </c>
      <c r="G538" s="24" t="str">
        <f>IFERROR(__xludf.DUMMYFUNCTION("""COMPUTED_VALUE"""),"Claire")</f>
        <v>Claire</v>
      </c>
      <c r="H538" s="24">
        <f>IFERROR(__xludf.DUMMYFUNCTION("""COMPUTED_VALUE"""),511.0)</f>
        <v>511</v>
      </c>
      <c r="I538" s="24" t="str">
        <f>IFERROR(__xludf.DUMMYFUNCTION("""COMPUTED_VALUE"""),"Dairy")</f>
        <v>Dairy</v>
      </c>
    </row>
    <row r="539">
      <c r="A539" s="23">
        <f>IFERROR(__xludf.DUMMYFUNCTION("""COMPUTED_VALUE"""),44797.68744778935)</f>
        <v>44797.68745</v>
      </c>
      <c r="B539" s="24" t="str">
        <f>IFERROR(__xludf.DUMMYFUNCTION("""COMPUTED_VALUE"""),"Claire")</f>
        <v>Claire</v>
      </c>
      <c r="C539" s="24">
        <f>IFERROR(__xludf.DUMMYFUNCTION("""COMPUTED_VALUE"""),598.0)</f>
        <v>598</v>
      </c>
      <c r="D539" s="24" t="str">
        <f>IFERROR(__xludf.DUMMYFUNCTION("""COMPUTED_VALUE"""),"First fruits farm")</f>
        <v>First fruits farm</v>
      </c>
      <c r="F539" s="23">
        <f>IFERROR(__xludf.DUMMYFUNCTION("""COMPUTED_VALUE"""),44743.72751436343)</f>
        <v>44743.72751</v>
      </c>
      <c r="G539" s="24" t="str">
        <f>IFERROR(__xludf.DUMMYFUNCTION("""COMPUTED_VALUE"""),"Dorja ")</f>
        <v>Dorja </v>
      </c>
      <c r="H539" s="24">
        <f>IFERROR(__xludf.DUMMYFUNCTION("""COMPUTED_VALUE"""),13.0)</f>
        <v>13</v>
      </c>
      <c r="I539" s="24"/>
    </row>
    <row r="540">
      <c r="A540" s="23">
        <f>IFERROR(__xludf.DUMMYFUNCTION("""COMPUTED_VALUE"""),44797.68769481481)</f>
        <v>44797.68769</v>
      </c>
      <c r="B540" s="24" t="str">
        <f>IFERROR(__xludf.DUMMYFUNCTION("""COMPUTED_VALUE"""),"Claire")</f>
        <v>Claire</v>
      </c>
      <c r="C540" s="24">
        <f>IFERROR(__xludf.DUMMYFUNCTION("""COMPUTED_VALUE"""),906.0)</f>
        <v>906</v>
      </c>
      <c r="D540" s="24" t="str">
        <f>IFERROR(__xludf.DUMMYFUNCTION("""COMPUTED_VALUE"""),"First fruits farm")</f>
        <v>First fruits farm</v>
      </c>
      <c r="F540" s="23">
        <f>IFERROR(__xludf.DUMMYFUNCTION("""COMPUTED_VALUE"""),44743.730831469904)</f>
        <v>44743.73083</v>
      </c>
      <c r="G540" s="24" t="str">
        <f>IFERROR(__xludf.DUMMYFUNCTION("""COMPUTED_VALUE"""),"Dorja ")</f>
        <v>Dorja </v>
      </c>
      <c r="H540" s="24">
        <f>IFERROR(__xludf.DUMMYFUNCTION("""COMPUTED_VALUE"""),25.0)</f>
        <v>25</v>
      </c>
      <c r="I540" s="24"/>
    </row>
    <row r="541">
      <c r="A541" s="23">
        <f>IFERROR(__xludf.DUMMYFUNCTION("""COMPUTED_VALUE"""),44797.68793296296)</f>
        <v>44797.68793</v>
      </c>
      <c r="B541" s="24" t="str">
        <f>IFERROR(__xludf.DUMMYFUNCTION("""COMPUTED_VALUE"""),"Claire")</f>
        <v>Claire</v>
      </c>
      <c r="C541" s="24">
        <f>IFERROR(__xludf.DUMMYFUNCTION("""COMPUTED_VALUE"""),891.0)</f>
        <v>891</v>
      </c>
      <c r="D541" s="24" t="str">
        <f>IFERROR(__xludf.DUMMYFUNCTION("""COMPUTED_VALUE"""),"First fruits farm")</f>
        <v>First fruits farm</v>
      </c>
      <c r="F541" s="23">
        <f>IFERROR(__xludf.DUMMYFUNCTION("""COMPUTED_VALUE"""),44743.73233266204)</f>
        <v>44743.73233</v>
      </c>
      <c r="G541" s="24" t="str">
        <f>IFERROR(__xludf.DUMMYFUNCTION("""COMPUTED_VALUE"""),"Juanita Chandler ")</f>
        <v>Juanita Chandler </v>
      </c>
      <c r="H541" s="24">
        <f>IFERROR(__xludf.DUMMYFUNCTION("""COMPUTED_VALUE"""),26.0)</f>
        <v>26</v>
      </c>
      <c r="I541" s="24"/>
    </row>
    <row r="542">
      <c r="A542" s="23">
        <f>IFERROR(__xludf.DUMMYFUNCTION("""COMPUTED_VALUE"""),44799.66432984953)</f>
        <v>44799.66433</v>
      </c>
      <c r="B542" s="24" t="str">
        <f>IFERROR(__xludf.DUMMYFUNCTION("""COMPUTED_VALUE"""),"Spencer Ellsworth ")</f>
        <v>Spencer Ellsworth </v>
      </c>
      <c r="C542" s="24">
        <f>IFERROR(__xludf.DUMMYFUNCTION("""COMPUTED_VALUE"""),143.0)</f>
        <v>143</v>
      </c>
      <c r="D542" s="24" t="str">
        <f>IFERROR(__xludf.DUMMYFUNCTION("""COMPUTED_VALUE"""),"Alto Dale Farm")</f>
        <v>Alto Dale Farm</v>
      </c>
      <c r="F542" s="23">
        <f>IFERROR(__xludf.DUMMYFUNCTION("""COMPUTED_VALUE"""),44743.73264608796)</f>
        <v>44743.73265</v>
      </c>
      <c r="G542" s="24" t="str">
        <f>IFERROR(__xludf.DUMMYFUNCTION("""COMPUTED_VALUE"""),"Juanita Chandler ")</f>
        <v>Juanita Chandler </v>
      </c>
      <c r="H542" s="24">
        <f>IFERROR(__xludf.DUMMYFUNCTION("""COMPUTED_VALUE"""),19.0)</f>
        <v>19</v>
      </c>
      <c r="I542" s="24"/>
    </row>
    <row r="543">
      <c r="A543" s="23">
        <f>IFERROR(__xludf.DUMMYFUNCTION("""COMPUTED_VALUE"""),44801.0)</f>
        <v>44801</v>
      </c>
      <c r="B543" s="24" t="str">
        <f>IFERROR(__xludf.DUMMYFUNCTION("""COMPUTED_VALUE"""),"Claire")</f>
        <v>Claire</v>
      </c>
      <c r="C543" s="24">
        <f>IFERROR(__xludf.DUMMYFUNCTION("""COMPUTED_VALUE"""),190.0)</f>
        <v>190</v>
      </c>
      <c r="D543" s="24" t="str">
        <f>IFERROR(__xludf.DUMMYFUNCTION("""COMPUTED_VALUE"""),"Amazon")</f>
        <v>Amazon</v>
      </c>
      <c r="F543" s="23">
        <f>IFERROR(__xludf.DUMMYFUNCTION("""COMPUTED_VALUE"""),44744.0)</f>
        <v>44744</v>
      </c>
      <c r="G543" s="24" t="str">
        <f>IFERROR(__xludf.DUMMYFUNCTION("""COMPUTED_VALUE"""),"Claire")</f>
        <v>Claire</v>
      </c>
      <c r="H543" s="24">
        <f>IFERROR(__xludf.DUMMYFUNCTION("""COMPUTED_VALUE"""),-221.0)</f>
        <v>-221</v>
      </c>
      <c r="I543" s="24" t="str">
        <f>IFERROR(__xludf.DUMMYFUNCTION("""COMPUTED_VALUE"""),"J2")</f>
        <v>J2</v>
      </c>
    </row>
    <row r="544">
      <c r="A544" s="23">
        <f>IFERROR(__xludf.DUMMYFUNCTION("""COMPUTED_VALUE"""),44801.0)</f>
        <v>44801</v>
      </c>
      <c r="B544" s="24" t="str">
        <f>IFERROR(__xludf.DUMMYFUNCTION("""COMPUTED_VALUE"""),"Claire")</f>
        <v>Claire</v>
      </c>
      <c r="C544" s="24">
        <f>IFERROR(__xludf.DUMMYFUNCTION("""COMPUTED_VALUE"""),488.0)</f>
        <v>488</v>
      </c>
      <c r="D544" s="24" t="str">
        <f>IFERROR(__xludf.DUMMYFUNCTION("""COMPUTED_VALUE"""),"Amazon")</f>
        <v>Amazon</v>
      </c>
      <c r="F544" s="23">
        <f>IFERROR(__xludf.DUMMYFUNCTION("""COMPUTED_VALUE"""),44744.0)</f>
        <v>44744</v>
      </c>
      <c r="G544" s="24" t="str">
        <f>IFERROR(__xludf.DUMMYFUNCTION("""COMPUTED_VALUE"""),"Claire")</f>
        <v>Claire</v>
      </c>
      <c r="H544" s="24">
        <f>IFERROR(__xludf.DUMMYFUNCTION("""COMPUTED_VALUE"""),-1379.0)</f>
        <v>-1379</v>
      </c>
      <c r="I544" s="24" t="str">
        <f>IFERROR(__xludf.DUMMYFUNCTION("""COMPUTED_VALUE"""),"J5")</f>
        <v>J5</v>
      </c>
    </row>
    <row r="545">
      <c r="A545" s="23">
        <f>IFERROR(__xludf.DUMMYFUNCTION("""COMPUTED_VALUE"""),44801.55130744213)</f>
        <v>44801.55131</v>
      </c>
      <c r="B545" s="24" t="str">
        <f>IFERROR(__xludf.DUMMYFUNCTION("""COMPUTED_VALUE"""),"Dorja ")</f>
        <v>Dorja </v>
      </c>
      <c r="C545" s="24">
        <f>IFERROR(__xludf.DUMMYFUNCTION("""COMPUTED_VALUE"""),549.0)</f>
        <v>549</v>
      </c>
      <c r="D545" s="24" t="str">
        <f>IFERROR(__xludf.DUMMYFUNCTION("""COMPUTED_VALUE"""),"Amazon")</f>
        <v>Amazon</v>
      </c>
      <c r="F545" s="23">
        <f>IFERROR(__xludf.DUMMYFUNCTION("""COMPUTED_VALUE"""),44744.0)</f>
        <v>44744</v>
      </c>
      <c r="G545" s="24" t="str">
        <f>IFERROR(__xludf.DUMMYFUNCTION("""COMPUTED_VALUE"""),"Claire")</f>
        <v>Claire</v>
      </c>
      <c r="H545" s="24">
        <f>IFERROR(__xludf.DUMMYFUNCTION("""COMPUTED_VALUE"""),-1210.0)</f>
        <v>-1210</v>
      </c>
      <c r="I545" s="24" t="str">
        <f>IFERROR(__xludf.DUMMYFUNCTION("""COMPUTED_VALUE"""),"I3")</f>
        <v>I3</v>
      </c>
    </row>
    <row r="546">
      <c r="A546" s="23">
        <f>IFERROR(__xludf.DUMMYFUNCTION("""COMPUTED_VALUE"""),44801.55469326389)</f>
        <v>44801.55469</v>
      </c>
      <c r="B546" s="24" t="str">
        <f>IFERROR(__xludf.DUMMYFUNCTION("""COMPUTED_VALUE"""),"Dorja ")</f>
        <v>Dorja </v>
      </c>
      <c r="C546" s="24">
        <f>IFERROR(__xludf.DUMMYFUNCTION("""COMPUTED_VALUE"""),704.0)</f>
        <v>704</v>
      </c>
      <c r="D546" s="24" t="str">
        <f>IFERROR(__xludf.DUMMYFUNCTION("""COMPUTED_VALUE"""),"Amazon")</f>
        <v>Amazon</v>
      </c>
      <c r="F546" s="23">
        <f>IFERROR(__xludf.DUMMYFUNCTION("""COMPUTED_VALUE"""),44744.0)</f>
        <v>44744</v>
      </c>
      <c r="G546" s="24" t="str">
        <f>IFERROR(__xludf.DUMMYFUNCTION("""COMPUTED_VALUE"""),"Claire")</f>
        <v>Claire</v>
      </c>
      <c r="H546" s="24">
        <f>IFERROR(__xludf.DUMMYFUNCTION("""COMPUTED_VALUE"""),-1666.0)</f>
        <v>-1666</v>
      </c>
      <c r="I546" s="24" t="str">
        <f>IFERROR(__xludf.DUMMYFUNCTION("""COMPUTED_VALUE"""),"J6")</f>
        <v>J6</v>
      </c>
    </row>
    <row r="547">
      <c r="A547" s="23">
        <f>IFERROR(__xludf.DUMMYFUNCTION("""COMPUTED_VALUE"""),44804.697192604166)</f>
        <v>44804.69719</v>
      </c>
      <c r="B547" s="24" t="str">
        <f>IFERROR(__xludf.DUMMYFUNCTION("""COMPUTED_VALUE"""),"Claire")</f>
        <v>Claire</v>
      </c>
      <c r="C547" s="24">
        <f>IFERROR(__xludf.DUMMYFUNCTION("""COMPUTED_VALUE"""),1024.0)</f>
        <v>1024</v>
      </c>
      <c r="D547" s="24" t="str">
        <f>IFERROR(__xludf.DUMMYFUNCTION("""COMPUTED_VALUE"""),"First fruits farm")</f>
        <v>First fruits farm</v>
      </c>
      <c r="F547" s="23">
        <f>IFERROR(__xludf.DUMMYFUNCTION("""COMPUTED_VALUE"""),44744.0)</f>
        <v>44744</v>
      </c>
      <c r="G547" s="24" t="str">
        <f>IFERROR(__xludf.DUMMYFUNCTION("""COMPUTED_VALUE"""),"Claire")</f>
        <v>Claire</v>
      </c>
      <c r="H547" s="24">
        <f>IFERROR(__xludf.DUMMYFUNCTION("""COMPUTED_VALUE"""),-1238.0)</f>
        <v>-1238</v>
      </c>
      <c r="I547" s="24" t="str">
        <f>IFERROR(__xludf.DUMMYFUNCTION("""COMPUTED_VALUE"""),"XX")</f>
        <v>XX</v>
      </c>
    </row>
    <row r="548">
      <c r="A548" s="23">
        <f>IFERROR(__xludf.DUMMYFUNCTION("""COMPUTED_VALUE"""),44804.697549004624)</f>
        <v>44804.69755</v>
      </c>
      <c r="B548" s="24" t="str">
        <f>IFERROR(__xludf.DUMMYFUNCTION("""COMPUTED_VALUE"""),"Claire")</f>
        <v>Claire</v>
      </c>
      <c r="C548" s="24">
        <f>IFERROR(__xludf.DUMMYFUNCTION("""COMPUTED_VALUE"""),1092.0)</f>
        <v>1092</v>
      </c>
      <c r="D548" s="24" t="str">
        <f>IFERROR(__xludf.DUMMYFUNCTION("""COMPUTED_VALUE"""),"First fruits farm")</f>
        <v>First fruits farm</v>
      </c>
      <c r="F548" s="23">
        <f>IFERROR(__xludf.DUMMYFUNCTION("""COMPUTED_VALUE"""),44744.0)</f>
        <v>44744</v>
      </c>
      <c r="G548" s="24" t="str">
        <f>IFERROR(__xludf.DUMMYFUNCTION("""COMPUTED_VALUE"""),"Claire")</f>
        <v>Claire</v>
      </c>
      <c r="H548" s="24">
        <f>IFERROR(__xludf.DUMMYFUNCTION("""COMPUTED_VALUE"""),-164.0)</f>
        <v>-164</v>
      </c>
      <c r="I548" s="24" t="str">
        <f>IFERROR(__xludf.DUMMYFUNCTION("""COMPUTED_VALUE"""),"XX")</f>
        <v>XX</v>
      </c>
    </row>
    <row r="549">
      <c r="A549" s="23">
        <f>IFERROR(__xludf.DUMMYFUNCTION("""COMPUTED_VALUE"""),44804.69784354167)</f>
        <v>44804.69784</v>
      </c>
      <c r="B549" s="24" t="str">
        <f>IFERROR(__xludf.DUMMYFUNCTION("""COMPUTED_VALUE"""),"Claire")</f>
        <v>Claire</v>
      </c>
      <c r="C549" s="24">
        <f>IFERROR(__xludf.DUMMYFUNCTION("""COMPUTED_VALUE"""),1039.0)</f>
        <v>1039</v>
      </c>
      <c r="D549" s="24" t="str">
        <f>IFERROR(__xludf.DUMMYFUNCTION("""COMPUTED_VALUE"""),"First fruits farm")</f>
        <v>First fruits farm</v>
      </c>
      <c r="F549" s="23">
        <f>IFERROR(__xludf.DUMMYFUNCTION("""COMPUTED_VALUE"""),44744.0)</f>
        <v>44744</v>
      </c>
      <c r="G549" s="24" t="str">
        <f>IFERROR(__xludf.DUMMYFUNCTION("""COMPUTED_VALUE"""),"Claire")</f>
        <v>Claire</v>
      </c>
      <c r="H549" s="24">
        <f>IFERROR(__xludf.DUMMYFUNCTION("""COMPUTED_VALUE"""),-600.0)</f>
        <v>-600</v>
      </c>
      <c r="I549" s="24" t="str">
        <f>IFERROR(__xludf.DUMMYFUNCTION("""COMPUTED_VALUE"""),"F2")</f>
        <v>F2</v>
      </c>
    </row>
    <row r="550">
      <c r="A550" s="23">
        <f>IFERROR(__xludf.DUMMYFUNCTION("""COMPUTED_VALUE"""),44804.698312905086)</f>
        <v>44804.69831</v>
      </c>
      <c r="B550" s="24" t="str">
        <f>IFERROR(__xludf.DUMMYFUNCTION("""COMPUTED_VALUE"""),"Claire")</f>
        <v>Claire</v>
      </c>
      <c r="C550" s="24">
        <f>IFERROR(__xludf.DUMMYFUNCTION("""COMPUTED_VALUE"""),1046.0)</f>
        <v>1046</v>
      </c>
      <c r="D550" s="24" t="str">
        <f>IFERROR(__xludf.DUMMYFUNCTION("""COMPUTED_VALUE"""),"First fruits farm")</f>
        <v>First fruits farm</v>
      </c>
      <c r="F550" s="23">
        <f>IFERROR(__xludf.DUMMYFUNCTION("""COMPUTED_VALUE"""),44744.0)</f>
        <v>44744</v>
      </c>
      <c r="G550" s="24" t="str">
        <f>IFERROR(__xludf.DUMMYFUNCTION("""COMPUTED_VALUE"""),"Claire")</f>
        <v>Claire</v>
      </c>
      <c r="H550" s="24">
        <f>IFERROR(__xludf.DUMMYFUNCTION("""COMPUTED_VALUE"""),-371.0)</f>
        <v>-371</v>
      </c>
      <c r="I550" s="24" t="str">
        <f>IFERROR(__xludf.DUMMYFUNCTION("""COMPUTED_VALUE"""),"I1")</f>
        <v>I1</v>
      </c>
    </row>
    <row r="551">
      <c r="A551" s="23">
        <f>IFERROR(__xludf.DUMMYFUNCTION("""COMPUTED_VALUE"""),44808.5666800463)</f>
        <v>44808.56668</v>
      </c>
      <c r="B551" s="24" t="str">
        <f>IFERROR(__xludf.DUMMYFUNCTION("""COMPUTED_VALUE"""),"Alex")</f>
        <v>Alex</v>
      </c>
      <c r="C551" s="24">
        <f>IFERROR(__xludf.DUMMYFUNCTION("""COMPUTED_VALUE"""),452.0)</f>
        <v>452</v>
      </c>
      <c r="D551" s="24" t="str">
        <f>IFERROR(__xludf.DUMMYFUNCTION("""COMPUTED_VALUE"""),"Amazon")</f>
        <v>Amazon</v>
      </c>
      <c r="F551" s="23">
        <f>IFERROR(__xludf.DUMMYFUNCTION("""COMPUTED_VALUE"""),44744.0)</f>
        <v>44744</v>
      </c>
      <c r="G551" s="24" t="str">
        <f>IFERROR(__xludf.DUMMYFUNCTION("""COMPUTED_VALUE"""),"Claire")</f>
        <v>Claire</v>
      </c>
      <c r="H551" s="24">
        <f>IFERROR(__xludf.DUMMYFUNCTION("""COMPUTED_VALUE"""),-502.0)</f>
        <v>-502</v>
      </c>
      <c r="I551" s="24" t="str">
        <f>IFERROR(__xludf.DUMMYFUNCTION("""COMPUTED_VALUE"""),"I6")</f>
        <v>I6</v>
      </c>
    </row>
    <row r="552">
      <c r="A552" s="23">
        <f>IFERROR(__xludf.DUMMYFUNCTION("""COMPUTED_VALUE"""),44808.61032119213)</f>
        <v>44808.61032</v>
      </c>
      <c r="B552" s="24" t="str">
        <f>IFERROR(__xludf.DUMMYFUNCTION("""COMPUTED_VALUE"""),"JC")</f>
        <v>JC</v>
      </c>
      <c r="C552" s="24">
        <f>IFERROR(__xludf.DUMMYFUNCTION("""COMPUTED_VALUE"""),955.0)</f>
        <v>955</v>
      </c>
      <c r="D552" s="24" t="str">
        <f>IFERROR(__xludf.DUMMYFUNCTION("""COMPUTED_VALUE"""),"Amazon")</f>
        <v>Amazon</v>
      </c>
      <c r="F552" s="23">
        <f>IFERROR(__xludf.DUMMYFUNCTION("""COMPUTED_VALUE"""),44744.0)</f>
        <v>44744</v>
      </c>
      <c r="G552" s="24" t="str">
        <f>IFERROR(__xludf.DUMMYFUNCTION("""COMPUTED_VALUE"""),"Claire")</f>
        <v>Claire</v>
      </c>
      <c r="H552" s="24">
        <f>IFERROR(__xludf.DUMMYFUNCTION("""COMPUTED_VALUE"""),-866.0)</f>
        <v>-866</v>
      </c>
      <c r="I552" s="24" t="str">
        <f>IFERROR(__xludf.DUMMYFUNCTION("""COMPUTED_VALUE"""),"XX")</f>
        <v>XX</v>
      </c>
    </row>
    <row r="553">
      <c r="A553" s="23">
        <f>IFERROR(__xludf.DUMMYFUNCTION("""COMPUTED_VALUE"""),44808.61064881944)</f>
        <v>44808.61065</v>
      </c>
      <c r="B553" s="24" t="str">
        <f>IFERROR(__xludf.DUMMYFUNCTION("""COMPUTED_VALUE"""),"JC")</f>
        <v>JC</v>
      </c>
      <c r="C553" s="24">
        <f>IFERROR(__xludf.DUMMYFUNCTION("""COMPUTED_VALUE"""),921.0)</f>
        <v>921</v>
      </c>
      <c r="D553" s="24" t="str">
        <f>IFERROR(__xludf.DUMMYFUNCTION("""COMPUTED_VALUE"""),"Amazon")</f>
        <v>Amazon</v>
      </c>
      <c r="F553" s="23">
        <f>IFERROR(__xludf.DUMMYFUNCTION("""COMPUTED_VALUE"""),44744.0)</f>
        <v>44744</v>
      </c>
      <c r="G553" s="24" t="str">
        <f>IFERROR(__xludf.DUMMYFUNCTION("""COMPUTED_VALUE"""),"Claire")</f>
        <v>Claire</v>
      </c>
      <c r="H553" s="24">
        <f>IFERROR(__xludf.DUMMYFUNCTION("""COMPUTED_VALUE"""),-639.0)</f>
        <v>-639</v>
      </c>
      <c r="I553" s="24" t="str">
        <f>IFERROR(__xludf.DUMMYFUNCTION("""COMPUTED_VALUE"""),"XX")</f>
        <v>XX</v>
      </c>
    </row>
    <row r="554">
      <c r="A554" s="23">
        <f>IFERROR(__xludf.DUMMYFUNCTION("""COMPUTED_VALUE"""),44808.61096658565)</f>
        <v>44808.61097</v>
      </c>
      <c r="B554" s="24" t="str">
        <f>IFERROR(__xludf.DUMMYFUNCTION("""COMPUTED_VALUE"""),"JC")</f>
        <v>JC</v>
      </c>
      <c r="C554" s="24">
        <f>IFERROR(__xludf.DUMMYFUNCTION("""COMPUTED_VALUE"""),724.0)</f>
        <v>724</v>
      </c>
      <c r="D554" s="24" t="str">
        <f>IFERROR(__xludf.DUMMYFUNCTION("""COMPUTED_VALUE"""),"Amazon")</f>
        <v>Amazon</v>
      </c>
      <c r="F554" s="23">
        <f>IFERROR(__xludf.DUMMYFUNCTION("""COMPUTED_VALUE"""),44744.0)</f>
        <v>44744</v>
      </c>
      <c r="G554" s="24" t="str">
        <f>IFERROR(__xludf.DUMMYFUNCTION("""COMPUTED_VALUE"""),"Claire")</f>
        <v>Claire</v>
      </c>
      <c r="H554" s="24">
        <f>IFERROR(__xludf.DUMMYFUNCTION("""COMPUTED_VALUE"""),-197.0)</f>
        <v>-197</v>
      </c>
      <c r="I554" s="24" t="str">
        <f>IFERROR(__xludf.DUMMYFUNCTION("""COMPUTED_VALUE"""),"XX")</f>
        <v>XX</v>
      </c>
    </row>
    <row r="555">
      <c r="A555" s="23">
        <f>IFERROR(__xludf.DUMMYFUNCTION("""COMPUTED_VALUE"""),44808.61151892361)</f>
        <v>44808.61152</v>
      </c>
      <c r="B555" s="24" t="str">
        <f>IFERROR(__xludf.DUMMYFUNCTION("""COMPUTED_VALUE"""),"JC")</f>
        <v>JC</v>
      </c>
      <c r="C555" s="24">
        <f>IFERROR(__xludf.DUMMYFUNCTION("""COMPUTED_VALUE"""),674.0)</f>
        <v>674</v>
      </c>
      <c r="D555" s="24" t="str">
        <f>IFERROR(__xludf.DUMMYFUNCTION("""COMPUTED_VALUE"""),"Amazon")</f>
        <v>Amazon</v>
      </c>
      <c r="F555" s="23">
        <f>IFERROR(__xludf.DUMMYFUNCTION("""COMPUTED_VALUE"""),44744.0)</f>
        <v>44744</v>
      </c>
      <c r="G555" s="24" t="str">
        <f>IFERROR(__xludf.DUMMYFUNCTION("""COMPUTED_VALUE"""),"Claire")</f>
        <v>Claire</v>
      </c>
      <c r="H555" s="24">
        <f>IFERROR(__xludf.DUMMYFUNCTION("""COMPUTED_VALUE"""),-853.0)</f>
        <v>-853</v>
      </c>
      <c r="I555" s="24" t="str">
        <f>IFERROR(__xludf.DUMMYFUNCTION("""COMPUTED_VALUE"""),"XX")</f>
        <v>XX</v>
      </c>
    </row>
    <row r="556">
      <c r="A556" s="23">
        <f>IFERROR(__xludf.DUMMYFUNCTION("""COMPUTED_VALUE"""),44808.61183986111)</f>
        <v>44808.61184</v>
      </c>
      <c r="B556" s="24" t="str">
        <f>IFERROR(__xludf.DUMMYFUNCTION("""COMPUTED_VALUE"""),"JC")</f>
        <v>JC</v>
      </c>
      <c r="C556" s="24">
        <f>IFERROR(__xludf.DUMMYFUNCTION("""COMPUTED_VALUE"""),739.0)</f>
        <v>739</v>
      </c>
      <c r="D556" s="24" t="str">
        <f>IFERROR(__xludf.DUMMYFUNCTION("""COMPUTED_VALUE"""),"Amazon")</f>
        <v>Amazon</v>
      </c>
      <c r="F556" s="23">
        <f>IFERROR(__xludf.DUMMYFUNCTION("""COMPUTED_VALUE"""),44744.0)</f>
        <v>44744</v>
      </c>
      <c r="G556" s="24" t="str">
        <f>IFERROR(__xludf.DUMMYFUNCTION("""COMPUTED_VALUE"""),"Claire")</f>
        <v>Claire</v>
      </c>
      <c r="H556" s="24">
        <f>IFERROR(__xludf.DUMMYFUNCTION("""COMPUTED_VALUE"""),-710.0)</f>
        <v>-710</v>
      </c>
      <c r="I556" s="24" t="str">
        <f>IFERROR(__xludf.DUMMYFUNCTION("""COMPUTED_VALUE"""),"XX")</f>
        <v>XX</v>
      </c>
    </row>
    <row r="557">
      <c r="A557" s="23">
        <f>IFERROR(__xludf.DUMMYFUNCTION("""COMPUTED_VALUE"""),44812.56464087963)</f>
        <v>44812.56464</v>
      </c>
      <c r="B557" s="24" t="str">
        <f>IFERROR(__xludf.DUMMYFUNCTION("""COMPUTED_VALUE"""),"Claire")</f>
        <v>Claire</v>
      </c>
      <c r="C557" s="24">
        <f>IFERROR(__xludf.DUMMYFUNCTION("""COMPUTED_VALUE"""),76.0)</f>
        <v>76</v>
      </c>
      <c r="D557" s="24" t="str">
        <f>IFERROR(__xludf.DUMMYFUNCTION("""COMPUTED_VALUE"""),"White Box")</f>
        <v>White Box</v>
      </c>
      <c r="F557" s="23">
        <f>IFERROR(__xludf.DUMMYFUNCTION("""COMPUTED_VALUE"""),44744.0)</f>
        <v>44744</v>
      </c>
      <c r="G557" s="24" t="str">
        <f>IFERROR(__xludf.DUMMYFUNCTION("""COMPUTED_VALUE"""),"Claire")</f>
        <v>Claire</v>
      </c>
      <c r="H557" s="24">
        <f>IFERROR(__xludf.DUMMYFUNCTION("""COMPUTED_VALUE"""),-660.0)</f>
        <v>-660</v>
      </c>
      <c r="I557" s="24" t="str">
        <f>IFERROR(__xludf.DUMMYFUNCTION("""COMPUTED_VALUE"""),"XX")</f>
        <v>XX</v>
      </c>
    </row>
    <row r="558">
      <c r="A558" s="23">
        <f>IFERROR(__xludf.DUMMYFUNCTION("""COMPUTED_VALUE"""),44812.56496428241)</f>
        <v>44812.56496</v>
      </c>
      <c r="B558" s="24" t="str">
        <f>IFERROR(__xludf.DUMMYFUNCTION("""COMPUTED_VALUE"""),"Claire")</f>
        <v>Claire</v>
      </c>
      <c r="C558" s="24">
        <f>IFERROR(__xludf.DUMMYFUNCTION("""COMPUTED_VALUE"""),211.0)</f>
        <v>211</v>
      </c>
      <c r="D558" s="24" t="str">
        <f>IFERROR(__xludf.DUMMYFUNCTION("""COMPUTED_VALUE"""),"White box")</f>
        <v>White box</v>
      </c>
      <c r="F558" s="23">
        <f>IFERROR(__xludf.DUMMYFUNCTION("""COMPUTED_VALUE"""),44744.0)</f>
        <v>44744</v>
      </c>
      <c r="G558" s="24" t="str">
        <f>IFERROR(__xludf.DUMMYFUNCTION("""COMPUTED_VALUE"""),"Claire")</f>
        <v>Claire</v>
      </c>
      <c r="H558" s="24">
        <f>IFERROR(__xludf.DUMMYFUNCTION("""COMPUTED_VALUE"""),-1157.0)</f>
        <v>-1157</v>
      </c>
      <c r="I558" s="24" t="str">
        <f>IFERROR(__xludf.DUMMYFUNCTION("""COMPUTED_VALUE"""),"XX")</f>
        <v>XX</v>
      </c>
    </row>
    <row r="559">
      <c r="A559" s="23">
        <f>IFERROR(__xludf.DUMMYFUNCTION("""COMPUTED_VALUE"""),44812.56523912037)</f>
        <v>44812.56524</v>
      </c>
      <c r="B559" s="24" t="str">
        <f>IFERROR(__xludf.DUMMYFUNCTION("""COMPUTED_VALUE"""),"Claire")</f>
        <v>Claire</v>
      </c>
      <c r="C559" s="24">
        <f>IFERROR(__xludf.DUMMYFUNCTION("""COMPUTED_VALUE"""),39.0)</f>
        <v>39</v>
      </c>
      <c r="D559" s="24" t="str">
        <f>IFERROR(__xludf.DUMMYFUNCTION("""COMPUTED_VALUE"""),"Donation")</f>
        <v>Donation</v>
      </c>
      <c r="F559" s="23">
        <f>IFERROR(__xludf.DUMMYFUNCTION("""COMPUTED_VALUE"""),44744.0)</f>
        <v>44744</v>
      </c>
      <c r="G559" s="24" t="str">
        <f>IFERROR(__xludf.DUMMYFUNCTION("""COMPUTED_VALUE"""),"Claire")</f>
        <v>Claire</v>
      </c>
      <c r="H559" s="24">
        <f>IFERROR(__xludf.DUMMYFUNCTION("""COMPUTED_VALUE"""),-230.0)</f>
        <v>-230</v>
      </c>
      <c r="I559" s="24" t="str">
        <f>IFERROR(__xludf.DUMMYFUNCTION("""COMPUTED_VALUE"""),"O5")</f>
        <v>O5</v>
      </c>
    </row>
    <row r="560">
      <c r="A560" s="23">
        <f>IFERROR(__xludf.DUMMYFUNCTION("""COMPUTED_VALUE"""),44812.69946640047)</f>
        <v>44812.69947</v>
      </c>
      <c r="B560" s="24" t="str">
        <f>IFERROR(__xludf.DUMMYFUNCTION("""COMPUTED_VALUE"""),"Claire")</f>
        <v>Claire</v>
      </c>
      <c r="C560" s="24">
        <f>IFERROR(__xludf.DUMMYFUNCTION("""COMPUTED_VALUE"""),251.0)</f>
        <v>251</v>
      </c>
      <c r="D560" s="24" t="str">
        <f>IFERROR(__xludf.DUMMYFUNCTION("""COMPUTED_VALUE"""),"White box")</f>
        <v>White box</v>
      </c>
      <c r="F560" s="23">
        <f>IFERROR(__xludf.DUMMYFUNCTION("""COMPUTED_VALUE"""),44744.0)</f>
        <v>44744</v>
      </c>
      <c r="G560" s="24" t="str">
        <f>IFERROR(__xludf.DUMMYFUNCTION("""COMPUTED_VALUE"""),"Claire")</f>
        <v>Claire</v>
      </c>
      <c r="H560" s="24">
        <f>IFERROR(__xludf.DUMMYFUNCTION("""COMPUTED_VALUE"""),-237.0)</f>
        <v>-237</v>
      </c>
      <c r="I560" s="24" t="str">
        <f>IFERROR(__xludf.DUMMYFUNCTION("""COMPUTED_VALUE"""),"H1")</f>
        <v>H1</v>
      </c>
    </row>
    <row r="561">
      <c r="A561" s="23">
        <f>IFERROR(__xludf.DUMMYFUNCTION("""COMPUTED_VALUE"""),44812.69990594907)</f>
        <v>44812.69991</v>
      </c>
      <c r="B561" s="24" t="str">
        <f>IFERROR(__xludf.DUMMYFUNCTION("""COMPUTED_VALUE"""),"Claire ")</f>
        <v>Claire </v>
      </c>
      <c r="C561" s="24">
        <f>IFERROR(__xludf.DUMMYFUNCTION("""COMPUTED_VALUE"""),1016.0)</f>
        <v>1016</v>
      </c>
      <c r="D561" s="24" t="str">
        <f>IFERROR(__xludf.DUMMYFUNCTION("""COMPUTED_VALUE"""),"Fresh Fruit Farm")</f>
        <v>Fresh Fruit Farm</v>
      </c>
      <c r="F561" s="23">
        <f>IFERROR(__xludf.DUMMYFUNCTION("""COMPUTED_VALUE"""),44744.0)</f>
        <v>44744</v>
      </c>
      <c r="G561" s="24" t="str">
        <f>IFERROR(__xludf.DUMMYFUNCTION("""COMPUTED_VALUE"""),"Claire")</f>
        <v>Claire</v>
      </c>
      <c r="H561" s="24">
        <f>IFERROR(__xludf.DUMMYFUNCTION("""COMPUTED_VALUE"""),-721.0)</f>
        <v>-721</v>
      </c>
      <c r="I561" s="24" t="str">
        <f>IFERROR(__xludf.DUMMYFUNCTION("""COMPUTED_VALUE"""),"K4")</f>
        <v>K4</v>
      </c>
    </row>
    <row r="562">
      <c r="A562" s="23">
        <f>IFERROR(__xludf.DUMMYFUNCTION("""COMPUTED_VALUE"""),44812.70028994213)</f>
        <v>44812.70029</v>
      </c>
      <c r="B562" s="24" t="str">
        <f>IFERROR(__xludf.DUMMYFUNCTION("""COMPUTED_VALUE"""),"Claire")</f>
        <v>Claire</v>
      </c>
      <c r="C562" s="24">
        <f>IFERROR(__xludf.DUMMYFUNCTION("""COMPUTED_VALUE"""),1027.0)</f>
        <v>1027</v>
      </c>
      <c r="D562" s="24" t="str">
        <f>IFERROR(__xludf.DUMMYFUNCTION("""COMPUTED_VALUE"""),"First Fruits Farm")</f>
        <v>First Fruits Farm</v>
      </c>
      <c r="F562" s="23">
        <f>IFERROR(__xludf.DUMMYFUNCTION("""COMPUTED_VALUE"""),44744.0)</f>
        <v>44744</v>
      </c>
      <c r="G562" s="24" t="str">
        <f>IFERROR(__xludf.DUMMYFUNCTION("""COMPUTED_VALUE"""),"Claire")</f>
        <v>Claire</v>
      </c>
      <c r="H562" s="24">
        <f>IFERROR(__xludf.DUMMYFUNCTION("""COMPUTED_VALUE"""),-872.0)</f>
        <v>-872</v>
      </c>
      <c r="I562" s="24" t="str">
        <f>IFERROR(__xludf.DUMMYFUNCTION("""COMPUTED_VALUE"""),"XX")</f>
        <v>XX</v>
      </c>
    </row>
    <row r="563">
      <c r="A563" s="23">
        <f>IFERROR(__xludf.DUMMYFUNCTION("""COMPUTED_VALUE"""),44812.70069138889)</f>
        <v>44812.70069</v>
      </c>
      <c r="B563" s="24" t="str">
        <f>IFERROR(__xludf.DUMMYFUNCTION("""COMPUTED_VALUE"""),"Claire")</f>
        <v>Claire</v>
      </c>
      <c r="C563" s="24">
        <f>IFERROR(__xludf.DUMMYFUNCTION("""COMPUTED_VALUE"""),894.0)</f>
        <v>894</v>
      </c>
      <c r="D563" s="24" t="str">
        <f>IFERROR(__xludf.DUMMYFUNCTION("""COMPUTED_VALUE"""),"First Fruits farm")</f>
        <v>First Fruits farm</v>
      </c>
      <c r="F563" s="23">
        <f>IFERROR(__xludf.DUMMYFUNCTION("""COMPUTED_VALUE"""),44744.0)</f>
        <v>44744</v>
      </c>
      <c r="G563" s="24" t="str">
        <f>IFERROR(__xludf.DUMMYFUNCTION("""COMPUTED_VALUE"""),"Claire")</f>
        <v>Claire</v>
      </c>
      <c r="H563" s="24">
        <f>IFERROR(__xludf.DUMMYFUNCTION("""COMPUTED_VALUE"""),-542.0)</f>
        <v>-542</v>
      </c>
      <c r="I563" s="24" t="str">
        <f>IFERROR(__xludf.DUMMYFUNCTION("""COMPUTED_VALUE"""),"XX")</f>
        <v>XX</v>
      </c>
    </row>
    <row r="564">
      <c r="A564" s="23">
        <f>IFERROR(__xludf.DUMMYFUNCTION("""COMPUTED_VALUE"""),44812.70114849537)</f>
        <v>44812.70115</v>
      </c>
      <c r="B564" s="24" t="str">
        <f>IFERROR(__xludf.DUMMYFUNCTION("""COMPUTED_VALUE"""),"Claire")</f>
        <v>Claire</v>
      </c>
      <c r="C564" s="24">
        <f>IFERROR(__xludf.DUMMYFUNCTION("""COMPUTED_VALUE"""),886.0)</f>
        <v>886</v>
      </c>
      <c r="D564" s="24" t="str">
        <f>IFERROR(__xludf.DUMMYFUNCTION("""COMPUTED_VALUE"""),"First fruits farm")</f>
        <v>First fruits farm</v>
      </c>
      <c r="F564" s="23">
        <f>IFERROR(__xludf.DUMMYFUNCTION("""COMPUTED_VALUE"""),44744.74784833333)</f>
        <v>44744.74785</v>
      </c>
      <c r="G564" s="24" t="str">
        <f>IFERROR(__xludf.DUMMYFUNCTION("""COMPUTED_VALUE"""),"Cybil Bailey")</f>
        <v>Cybil Bailey</v>
      </c>
      <c r="H564" s="24">
        <f>IFERROR(__xludf.DUMMYFUNCTION("""COMPUTED_VALUE"""),7.0)</f>
        <v>7</v>
      </c>
      <c r="I564" s="24"/>
    </row>
    <row r="565">
      <c r="A565" s="23">
        <f>IFERROR(__xludf.DUMMYFUNCTION("""COMPUTED_VALUE"""),44812.70140946759)</f>
        <v>44812.70141</v>
      </c>
      <c r="B565" s="24" t="str">
        <f>IFERROR(__xludf.DUMMYFUNCTION("""COMPUTED_VALUE"""),"Claire")</f>
        <v>Claire</v>
      </c>
      <c r="C565" s="24">
        <f>IFERROR(__xludf.DUMMYFUNCTION("""COMPUTED_VALUE"""),1014.0)</f>
        <v>1014</v>
      </c>
      <c r="D565" s="24" t="str">
        <f>IFERROR(__xludf.DUMMYFUNCTION("""COMPUTED_VALUE"""),"First fruits farm")</f>
        <v>First fruits farm</v>
      </c>
      <c r="F565" s="23">
        <f>IFERROR(__xludf.DUMMYFUNCTION("""COMPUTED_VALUE"""),44744.75243797454)</f>
        <v>44744.75244</v>
      </c>
      <c r="G565" s="24" t="str">
        <f>IFERROR(__xludf.DUMMYFUNCTION("""COMPUTED_VALUE"""),"Claire")</f>
        <v>Claire</v>
      </c>
      <c r="H565" s="24">
        <f>IFERROR(__xludf.DUMMYFUNCTION("""COMPUTED_VALUE"""),384.0)</f>
        <v>384</v>
      </c>
      <c r="I565" s="24" t="str">
        <f>IFERROR(__xludf.DUMMYFUNCTION("""COMPUTED_VALUE"""),"Frozen")</f>
        <v>Frozen</v>
      </c>
    </row>
    <row r="566">
      <c r="A566" s="23">
        <f>IFERROR(__xludf.DUMMYFUNCTION("""COMPUTED_VALUE"""),44812.77759175926)</f>
        <v>44812.77759</v>
      </c>
      <c r="B566" s="24"/>
      <c r="C566" s="24">
        <f>IFERROR(__xludf.DUMMYFUNCTION("""COMPUTED_VALUE"""),217.0)</f>
        <v>217</v>
      </c>
      <c r="D566" s="24" t="str">
        <f>IFERROR(__xludf.DUMMYFUNCTION("""COMPUTED_VALUE"""),"White box ")</f>
        <v>White box </v>
      </c>
      <c r="F566" s="23">
        <f>IFERROR(__xludf.DUMMYFUNCTION("""COMPUTED_VALUE"""),44744.75278607639)</f>
        <v>44744.75279</v>
      </c>
      <c r="G566" s="24" t="str">
        <f>IFERROR(__xludf.DUMMYFUNCTION("""COMPUTED_VALUE"""),"nathan")</f>
        <v>nathan</v>
      </c>
      <c r="H566" s="24">
        <f>IFERROR(__xludf.DUMMYFUNCTION("""COMPUTED_VALUE"""),18.0)</f>
        <v>18</v>
      </c>
      <c r="I566" s="24"/>
    </row>
    <row r="567">
      <c r="A567" s="23">
        <f>IFERROR(__xludf.DUMMYFUNCTION("""COMPUTED_VALUE"""),44812.77789791667)</f>
        <v>44812.7779</v>
      </c>
      <c r="B567" s="24"/>
      <c r="C567" s="24">
        <f>IFERROR(__xludf.DUMMYFUNCTION("""COMPUTED_VALUE"""),201.0)</f>
        <v>201</v>
      </c>
      <c r="D567" s="24" t="str">
        <f>IFERROR(__xludf.DUMMYFUNCTION("""COMPUTED_VALUE"""),"White box ")</f>
        <v>White box </v>
      </c>
      <c r="F567" s="23">
        <f>IFERROR(__xludf.DUMMYFUNCTION("""COMPUTED_VALUE"""),44744.75286047454)</f>
        <v>44744.75286</v>
      </c>
      <c r="G567" s="24" t="str">
        <f>IFERROR(__xludf.DUMMYFUNCTION("""COMPUTED_VALUE"""),"Claire")</f>
        <v>Claire</v>
      </c>
      <c r="H567" s="24">
        <f>IFERROR(__xludf.DUMMYFUNCTION("""COMPUTED_VALUE"""),456.0)</f>
        <v>456</v>
      </c>
      <c r="I567" s="24" t="str">
        <f>IFERROR(__xludf.DUMMYFUNCTION("""COMPUTED_VALUE"""),"Produce")</f>
        <v>Produce</v>
      </c>
    </row>
    <row r="568">
      <c r="A568" s="23">
        <f>IFERROR(__xludf.DUMMYFUNCTION("""COMPUTED_VALUE"""),44812.779951944445)</f>
        <v>44812.77995</v>
      </c>
      <c r="B568" s="24"/>
      <c r="C568" s="24">
        <f>IFERROR(__xludf.DUMMYFUNCTION("""COMPUTED_VALUE"""),194.0)</f>
        <v>194</v>
      </c>
      <c r="D568" s="24" t="str">
        <f>IFERROR(__xludf.DUMMYFUNCTION("""COMPUTED_VALUE"""),"White box ")</f>
        <v>White box </v>
      </c>
      <c r="F568" s="23">
        <f>IFERROR(__xludf.DUMMYFUNCTION("""COMPUTED_VALUE"""),44744.757923819445)</f>
        <v>44744.75792</v>
      </c>
      <c r="G568" s="24" t="str">
        <f>IFERROR(__xludf.DUMMYFUNCTION("""COMPUTED_VALUE"""),"Beverly Pinn")</f>
        <v>Beverly Pinn</v>
      </c>
      <c r="H568" s="24">
        <f>IFERROR(__xludf.DUMMYFUNCTION("""COMPUTED_VALUE"""),18.0)</f>
        <v>18</v>
      </c>
      <c r="I568" s="24"/>
    </row>
    <row r="569">
      <c r="A569" s="23">
        <f>IFERROR(__xludf.DUMMYFUNCTION("""COMPUTED_VALUE"""),44812.78016003472)</f>
        <v>44812.78016</v>
      </c>
      <c r="B569" s="24"/>
      <c r="C569" s="24">
        <f>IFERROR(__xludf.DUMMYFUNCTION("""COMPUTED_VALUE"""),188.0)</f>
        <v>188</v>
      </c>
      <c r="D569" s="24" t="str">
        <f>IFERROR(__xludf.DUMMYFUNCTION("""COMPUTED_VALUE"""),"White box ")</f>
        <v>White box </v>
      </c>
      <c r="F569" s="23">
        <f>IFERROR(__xludf.DUMMYFUNCTION("""COMPUTED_VALUE"""),44744.75827429398)</f>
        <v>44744.75827</v>
      </c>
      <c r="G569" s="24" t="str">
        <f>IFERROR(__xludf.DUMMYFUNCTION("""COMPUTED_VALUE"""),"Beverly Pinn")</f>
        <v>Beverly Pinn</v>
      </c>
      <c r="H569" s="24">
        <f>IFERROR(__xludf.DUMMYFUNCTION("""COMPUTED_VALUE"""),3.0)</f>
        <v>3</v>
      </c>
      <c r="I569" s="24"/>
    </row>
    <row r="570">
      <c r="A570" s="23">
        <f>IFERROR(__xludf.DUMMYFUNCTION("""COMPUTED_VALUE"""),44812.78078332176)</f>
        <v>44812.78078</v>
      </c>
      <c r="B570" s="24"/>
      <c r="C570" s="24">
        <f>IFERROR(__xludf.DUMMYFUNCTION("""COMPUTED_VALUE"""),253.0)</f>
        <v>253</v>
      </c>
      <c r="D570" s="24" t="str">
        <f>IFERROR(__xludf.DUMMYFUNCTION("""COMPUTED_VALUE"""),"White box ")</f>
        <v>White box </v>
      </c>
      <c r="F570" s="23">
        <f>IFERROR(__xludf.DUMMYFUNCTION("""COMPUTED_VALUE"""),44744.758275671295)</f>
        <v>44744.75828</v>
      </c>
      <c r="G570" s="24" t="str">
        <f>IFERROR(__xludf.DUMMYFUNCTION("""COMPUTED_VALUE"""),"Evelyn jiang")</f>
        <v>Evelyn jiang</v>
      </c>
      <c r="H570" s="24">
        <f>IFERROR(__xludf.DUMMYFUNCTION("""COMPUTED_VALUE"""),19.0)</f>
        <v>19</v>
      </c>
      <c r="I570" s="24"/>
    </row>
    <row r="571">
      <c r="A571" s="23">
        <f>IFERROR(__xludf.DUMMYFUNCTION("""COMPUTED_VALUE"""),44812.781075659725)</f>
        <v>44812.78108</v>
      </c>
      <c r="B571" s="24"/>
      <c r="C571" s="24">
        <f>IFERROR(__xludf.DUMMYFUNCTION("""COMPUTED_VALUE"""),207.0)</f>
        <v>207</v>
      </c>
      <c r="D571" s="24" t="str">
        <f>IFERROR(__xludf.DUMMYFUNCTION("""COMPUTED_VALUE"""),"White box ")</f>
        <v>White box </v>
      </c>
      <c r="F571" s="23">
        <f>IFERROR(__xludf.DUMMYFUNCTION("""COMPUTED_VALUE"""),44744.75848037037)</f>
        <v>44744.75848</v>
      </c>
      <c r="G571" s="24" t="str">
        <f>IFERROR(__xludf.DUMMYFUNCTION("""COMPUTED_VALUE"""),"Tiffany Jiang")</f>
        <v>Tiffany Jiang</v>
      </c>
      <c r="H571" s="24">
        <f>IFERROR(__xludf.DUMMYFUNCTION("""COMPUTED_VALUE"""),19.0)</f>
        <v>19</v>
      </c>
      <c r="I571" s="24"/>
    </row>
    <row r="572">
      <c r="A572" s="23">
        <f>IFERROR(__xludf.DUMMYFUNCTION("""COMPUTED_VALUE"""),44812.781263854165)</f>
        <v>44812.78126</v>
      </c>
      <c r="B572" s="24"/>
      <c r="C572" s="24">
        <f>IFERROR(__xludf.DUMMYFUNCTION("""COMPUTED_VALUE"""),187.0)</f>
        <v>187</v>
      </c>
      <c r="D572" s="24" t="str">
        <f>IFERROR(__xludf.DUMMYFUNCTION("""COMPUTED_VALUE"""),"White box ")</f>
        <v>White box </v>
      </c>
      <c r="F572" s="23">
        <f>IFERROR(__xludf.DUMMYFUNCTION("""COMPUTED_VALUE"""),44744.75898467593)</f>
        <v>44744.75898</v>
      </c>
      <c r="G572" s="24" t="str">
        <f>IFERROR(__xludf.DUMMYFUNCTION("""COMPUTED_VALUE"""),"Claire")</f>
        <v>Claire</v>
      </c>
      <c r="H572" s="24">
        <f>IFERROR(__xludf.DUMMYFUNCTION("""COMPUTED_VALUE"""),221.0)</f>
        <v>221</v>
      </c>
      <c r="I572" s="24" t="str">
        <f>IFERROR(__xludf.DUMMYFUNCTION("""COMPUTED_VALUE"""),"Paper products")</f>
        <v>Paper products</v>
      </c>
    </row>
    <row r="573">
      <c r="A573" s="23">
        <f>IFERROR(__xludf.DUMMYFUNCTION("""COMPUTED_VALUE"""),44812.78154854167)</f>
        <v>44812.78155</v>
      </c>
      <c r="B573" s="24"/>
      <c r="C573" s="24">
        <f>IFERROR(__xludf.DUMMYFUNCTION("""COMPUTED_VALUE"""),204.0)</f>
        <v>204</v>
      </c>
      <c r="D573" s="24" t="str">
        <f>IFERROR(__xludf.DUMMYFUNCTION("""COMPUTED_VALUE"""),"White box ")</f>
        <v>White box </v>
      </c>
      <c r="F573" s="23">
        <f>IFERROR(__xludf.DUMMYFUNCTION("""COMPUTED_VALUE"""),44744.75942453704)</f>
        <v>44744.75942</v>
      </c>
      <c r="G573" s="24" t="str">
        <f>IFERROR(__xludf.DUMMYFUNCTION("""COMPUTED_VALUE"""),"Claire")</f>
        <v>Claire</v>
      </c>
      <c r="H573" s="24">
        <f>IFERROR(__xludf.DUMMYFUNCTION("""COMPUTED_VALUE"""),1379.0)</f>
        <v>1379</v>
      </c>
      <c r="I573" s="24" t="str">
        <f>IFERROR(__xludf.DUMMYFUNCTION("""COMPUTED_VALUE"""),"Pet supplies")</f>
        <v>Pet supplies</v>
      </c>
    </row>
    <row r="574">
      <c r="A574" s="23">
        <f>IFERROR(__xludf.DUMMYFUNCTION("""COMPUTED_VALUE"""),44812.78175277778)</f>
        <v>44812.78175</v>
      </c>
      <c r="B574" s="24"/>
      <c r="C574" s="24">
        <f>IFERROR(__xludf.DUMMYFUNCTION("""COMPUTED_VALUE"""),190.0)</f>
        <v>190</v>
      </c>
      <c r="D574" s="24" t="str">
        <f>IFERROR(__xludf.DUMMYFUNCTION("""COMPUTED_VALUE"""),"White box ")</f>
        <v>White box </v>
      </c>
      <c r="F574" s="23">
        <f>IFERROR(__xludf.DUMMYFUNCTION("""COMPUTED_VALUE"""),44744.759961041666)</f>
        <v>44744.75996</v>
      </c>
      <c r="G574" s="24" t="str">
        <f>IFERROR(__xludf.DUMMYFUNCTION("""COMPUTED_VALUE"""),"Claire")</f>
        <v>Claire</v>
      </c>
      <c r="H574" s="24">
        <f>IFERROR(__xludf.DUMMYFUNCTION("""COMPUTED_VALUE"""),1210.0)</f>
        <v>1210</v>
      </c>
      <c r="I574" s="24" t="str">
        <f>IFERROR(__xludf.DUMMYFUNCTION("""COMPUTED_VALUE"""),"Cleaning")</f>
        <v>Cleaning</v>
      </c>
    </row>
    <row r="575">
      <c r="A575" s="23">
        <f>IFERROR(__xludf.DUMMYFUNCTION("""COMPUTED_VALUE"""),44812.781921284724)</f>
        <v>44812.78192</v>
      </c>
      <c r="B575" s="24"/>
      <c r="C575" s="24">
        <f>IFERROR(__xludf.DUMMYFUNCTION("""COMPUTED_VALUE"""),210.0)</f>
        <v>210</v>
      </c>
      <c r="D575" s="24" t="str">
        <f>IFERROR(__xludf.DUMMYFUNCTION("""COMPUTED_VALUE"""),"White box ")</f>
        <v>White box </v>
      </c>
      <c r="F575" s="23">
        <f>IFERROR(__xludf.DUMMYFUNCTION("""COMPUTED_VALUE"""),44744.760634652775)</f>
        <v>44744.76063</v>
      </c>
      <c r="G575" s="24" t="str">
        <f>IFERROR(__xludf.DUMMYFUNCTION("""COMPUTED_VALUE"""),"Claire")</f>
        <v>Claire</v>
      </c>
      <c r="H575" s="24">
        <f>IFERROR(__xludf.DUMMYFUNCTION("""COMPUTED_VALUE"""),1666.0)</f>
        <v>1666</v>
      </c>
      <c r="I575" s="24" t="str">
        <f>IFERROR(__xludf.DUMMYFUNCTION("""COMPUTED_VALUE"""),"Drinks")</f>
        <v>Drinks</v>
      </c>
    </row>
    <row r="576">
      <c r="A576" s="23">
        <f>IFERROR(__xludf.DUMMYFUNCTION("""COMPUTED_VALUE"""),44812.78207119213)</f>
        <v>44812.78207</v>
      </c>
      <c r="B576" s="24"/>
      <c r="C576" s="24">
        <f>IFERROR(__xludf.DUMMYFUNCTION("""COMPUTED_VALUE"""),182.0)</f>
        <v>182</v>
      </c>
      <c r="D576" s="24" t="str">
        <f>IFERROR(__xludf.DUMMYFUNCTION("""COMPUTED_VALUE"""),"White box ")</f>
        <v>White box </v>
      </c>
      <c r="F576" s="23">
        <f>IFERROR(__xludf.DUMMYFUNCTION("""COMPUTED_VALUE"""),44744.76100010416)</f>
        <v>44744.761</v>
      </c>
      <c r="G576" s="24" t="str">
        <f>IFERROR(__xludf.DUMMYFUNCTION("""COMPUTED_VALUE"""),"Claire")</f>
        <v>Claire</v>
      </c>
      <c r="H576" s="24">
        <f>IFERROR(__xludf.DUMMYFUNCTION("""COMPUTED_VALUE"""),1238.0)</f>
        <v>1238</v>
      </c>
      <c r="I576" s="24" t="str">
        <f>IFERROR(__xludf.DUMMYFUNCTION("""COMPUTED_VALUE"""),"Drinks")</f>
        <v>Drinks</v>
      </c>
    </row>
    <row r="577">
      <c r="A577" s="23">
        <f>IFERROR(__xludf.DUMMYFUNCTION("""COMPUTED_VALUE"""),44812.78233607639)</f>
        <v>44812.78234</v>
      </c>
      <c r="B577" s="24"/>
      <c r="C577" s="24">
        <f>IFERROR(__xludf.DUMMYFUNCTION("""COMPUTED_VALUE"""),198.0)</f>
        <v>198</v>
      </c>
      <c r="D577" s="24" t="str">
        <f>IFERROR(__xludf.DUMMYFUNCTION("""COMPUTED_VALUE"""),"White box ")</f>
        <v>White box </v>
      </c>
      <c r="F577" s="23">
        <f>IFERROR(__xludf.DUMMYFUNCTION("""COMPUTED_VALUE"""),44744.761409224535)</f>
        <v>44744.76141</v>
      </c>
      <c r="G577" s="24" t="str">
        <f>IFERROR(__xludf.DUMMYFUNCTION("""COMPUTED_VALUE"""),"Claire")</f>
        <v>Claire</v>
      </c>
      <c r="H577" s="24">
        <f>IFERROR(__xludf.DUMMYFUNCTION("""COMPUTED_VALUE"""),164.0)</f>
        <v>164</v>
      </c>
      <c r="I577" s="24" t="str">
        <f>IFERROR(__xludf.DUMMYFUNCTION("""COMPUTED_VALUE"""),"Paper products")</f>
        <v>Paper products</v>
      </c>
    </row>
    <row r="578">
      <c r="A578" s="23">
        <f>IFERROR(__xludf.DUMMYFUNCTION("""COMPUTED_VALUE"""),44812.78257277778)</f>
        <v>44812.78257</v>
      </c>
      <c r="B578" s="24"/>
      <c r="C578" s="24">
        <f>IFERROR(__xludf.DUMMYFUNCTION("""COMPUTED_VALUE"""),206.0)</f>
        <v>206</v>
      </c>
      <c r="D578" s="24" t="str">
        <f>IFERROR(__xludf.DUMMYFUNCTION("""COMPUTED_VALUE"""),"White box ")</f>
        <v>White box </v>
      </c>
      <c r="F578" s="23">
        <f>IFERROR(__xludf.DUMMYFUNCTION("""COMPUTED_VALUE"""),44744.76196413195)</f>
        <v>44744.76196</v>
      </c>
      <c r="G578" s="24" t="str">
        <f>IFERROR(__xludf.DUMMYFUNCTION("""COMPUTED_VALUE"""),"Claire")</f>
        <v>Claire</v>
      </c>
      <c r="H578" s="24">
        <f>IFERROR(__xludf.DUMMYFUNCTION("""COMPUTED_VALUE"""),600.0)</f>
        <v>600</v>
      </c>
      <c r="I578" s="24" t="str">
        <f>IFERROR(__xludf.DUMMYFUNCTION("""COMPUTED_VALUE"""),"Snacks")</f>
        <v>Snacks</v>
      </c>
    </row>
    <row r="579">
      <c r="A579" s="23">
        <f>IFERROR(__xludf.DUMMYFUNCTION("""COMPUTED_VALUE"""),44812.782748425925)</f>
        <v>44812.78275</v>
      </c>
      <c r="B579" s="24"/>
      <c r="C579" s="24">
        <f>IFERROR(__xludf.DUMMYFUNCTION("""COMPUTED_VALUE"""),199.0)</f>
        <v>199</v>
      </c>
      <c r="D579" s="24" t="str">
        <f>IFERROR(__xludf.DUMMYFUNCTION("""COMPUTED_VALUE"""),"White box ")</f>
        <v>White box </v>
      </c>
      <c r="F579" s="23">
        <f>IFERROR(__xludf.DUMMYFUNCTION("""COMPUTED_VALUE"""),44744.76225811343)</f>
        <v>44744.76226</v>
      </c>
      <c r="G579" s="24" t="str">
        <f>IFERROR(__xludf.DUMMYFUNCTION("""COMPUTED_VALUE"""),"Claire")</f>
        <v>Claire</v>
      </c>
      <c r="H579" s="24">
        <f>IFERROR(__xludf.DUMMYFUNCTION("""COMPUTED_VALUE"""),371.0)</f>
        <v>371</v>
      </c>
      <c r="I579" s="24" t="str">
        <f>IFERROR(__xludf.DUMMYFUNCTION("""COMPUTED_VALUE"""),"Baby products")</f>
        <v>Baby products</v>
      </c>
    </row>
    <row r="580">
      <c r="A580" s="23">
        <f>IFERROR(__xludf.DUMMYFUNCTION("""COMPUTED_VALUE"""),44812.78293768519)</f>
        <v>44812.78294</v>
      </c>
      <c r="B580" s="24"/>
      <c r="C580" s="24">
        <f>IFERROR(__xludf.DUMMYFUNCTION("""COMPUTED_VALUE"""),201.0)</f>
        <v>201</v>
      </c>
      <c r="D580" s="24" t="str">
        <f>IFERROR(__xludf.DUMMYFUNCTION("""COMPUTED_VALUE"""),"White box ")</f>
        <v>White box </v>
      </c>
      <c r="F580" s="23">
        <f>IFERROR(__xludf.DUMMYFUNCTION("""COMPUTED_VALUE"""),44744.76251921296)</f>
        <v>44744.76252</v>
      </c>
      <c r="G580" s="24" t="str">
        <f>IFERROR(__xludf.DUMMYFUNCTION("""COMPUTED_VALUE"""),"Claire")</f>
        <v>Claire</v>
      </c>
      <c r="H580" s="24">
        <f>IFERROR(__xludf.DUMMYFUNCTION("""COMPUTED_VALUE"""),502.0)</f>
        <v>502</v>
      </c>
      <c r="I580" s="24" t="str">
        <f>IFERROR(__xludf.DUMMYFUNCTION("""COMPUTED_VALUE"""),"Grains (rice, pasta, etc.)")</f>
        <v>Grains (rice, pasta, etc.)</v>
      </c>
    </row>
    <row r="581">
      <c r="A581" s="23">
        <f>IFERROR(__xludf.DUMMYFUNCTION("""COMPUTED_VALUE"""),44812.78311004629)</f>
        <v>44812.78311</v>
      </c>
      <c r="B581" s="24"/>
      <c r="C581" s="24">
        <f>IFERROR(__xludf.DUMMYFUNCTION("""COMPUTED_VALUE"""),184.0)</f>
        <v>184</v>
      </c>
      <c r="D581" s="24" t="str">
        <f>IFERROR(__xludf.DUMMYFUNCTION("""COMPUTED_VALUE"""),"White box ")</f>
        <v>White box </v>
      </c>
      <c r="F581" s="23">
        <f>IFERROR(__xludf.DUMMYFUNCTION("""COMPUTED_VALUE"""),44744.762745081025)</f>
        <v>44744.76275</v>
      </c>
      <c r="G581" s="24" t="str">
        <f>IFERROR(__xludf.DUMMYFUNCTION("""COMPUTED_VALUE"""),"Claire")</f>
        <v>Claire</v>
      </c>
      <c r="H581" s="24">
        <f>IFERROR(__xludf.DUMMYFUNCTION("""COMPUTED_VALUE"""),866.0)</f>
        <v>866</v>
      </c>
      <c r="I581" s="24" t="str">
        <f>IFERROR(__xludf.DUMMYFUNCTION("""COMPUTED_VALUE"""),"Produce")</f>
        <v>Produce</v>
      </c>
    </row>
    <row r="582">
      <c r="A582" s="23">
        <f>IFERROR(__xludf.DUMMYFUNCTION("""COMPUTED_VALUE"""),44813.58999519676)</f>
        <v>44813.59</v>
      </c>
      <c r="B582" s="24" t="str">
        <f>IFERROR(__xludf.DUMMYFUNCTION("""COMPUTED_VALUE"""),"Claire")</f>
        <v>Claire</v>
      </c>
      <c r="C582" s="24">
        <f>IFERROR(__xludf.DUMMYFUNCTION("""COMPUTED_VALUE"""),207.0)</f>
        <v>207</v>
      </c>
      <c r="D582" s="24" t="str">
        <f>IFERROR(__xludf.DUMMYFUNCTION("""COMPUTED_VALUE"""),"White box")</f>
        <v>White box</v>
      </c>
      <c r="F582" s="23">
        <f>IFERROR(__xludf.DUMMYFUNCTION("""COMPUTED_VALUE"""),44744.76299180555)</f>
        <v>44744.76299</v>
      </c>
      <c r="G582" s="24" t="str">
        <f>IFERROR(__xludf.DUMMYFUNCTION("""COMPUTED_VALUE"""),"Claire")</f>
        <v>Claire</v>
      </c>
      <c r="H582" s="24">
        <f>IFERROR(__xludf.DUMMYFUNCTION("""COMPUTED_VALUE"""),197.0)</f>
        <v>197</v>
      </c>
      <c r="I582" s="24" t="str">
        <f>IFERROR(__xludf.DUMMYFUNCTION("""COMPUTED_VALUE"""),"Meat")</f>
        <v>Meat</v>
      </c>
    </row>
    <row r="583">
      <c r="A583" s="23">
        <f>IFERROR(__xludf.DUMMYFUNCTION("""COMPUTED_VALUE"""),44813.590218275465)</f>
        <v>44813.59022</v>
      </c>
      <c r="B583" s="24" t="str">
        <f>IFERROR(__xludf.DUMMYFUNCTION("""COMPUTED_VALUE"""),"Claire")</f>
        <v>Claire</v>
      </c>
      <c r="C583" s="24">
        <f>IFERROR(__xludf.DUMMYFUNCTION("""COMPUTED_VALUE"""),192.0)</f>
        <v>192</v>
      </c>
      <c r="D583" s="24" t="str">
        <f>IFERROR(__xludf.DUMMYFUNCTION("""COMPUTED_VALUE"""),"White box ")</f>
        <v>White box </v>
      </c>
      <c r="F583" s="23">
        <f>IFERROR(__xludf.DUMMYFUNCTION("""COMPUTED_VALUE"""),44744.76334760417)</f>
        <v>44744.76335</v>
      </c>
      <c r="G583" s="24" t="str">
        <f>IFERROR(__xludf.DUMMYFUNCTION("""COMPUTED_VALUE"""),"Claire")</f>
        <v>Claire</v>
      </c>
      <c r="H583" s="24">
        <f>IFERROR(__xludf.DUMMYFUNCTION("""COMPUTED_VALUE"""),853.0)</f>
        <v>853</v>
      </c>
      <c r="I583" s="24" t="str">
        <f>IFERROR(__xludf.DUMMYFUNCTION("""COMPUTED_VALUE"""),"Produce")</f>
        <v>Produce</v>
      </c>
    </row>
    <row r="584">
      <c r="A584" s="23">
        <f>IFERROR(__xludf.DUMMYFUNCTION("""COMPUTED_VALUE"""),44813.59060607639)</f>
        <v>44813.59061</v>
      </c>
      <c r="B584" s="24" t="str">
        <f>IFERROR(__xludf.DUMMYFUNCTION("""COMPUTED_VALUE"""),"Claire")</f>
        <v>Claire</v>
      </c>
      <c r="C584" s="24">
        <f>IFERROR(__xludf.DUMMYFUNCTION("""COMPUTED_VALUE"""),215.0)</f>
        <v>215</v>
      </c>
      <c r="D584" s="24" t="str">
        <f>IFERROR(__xludf.DUMMYFUNCTION("""COMPUTED_VALUE"""),"White box")</f>
        <v>White box</v>
      </c>
      <c r="F584" s="23">
        <f>IFERROR(__xludf.DUMMYFUNCTION("""COMPUTED_VALUE"""),44744.763562418986)</f>
        <v>44744.76356</v>
      </c>
      <c r="G584" s="24" t="str">
        <f>IFERROR(__xludf.DUMMYFUNCTION("""COMPUTED_VALUE"""),"Claire")</f>
        <v>Claire</v>
      </c>
      <c r="H584" s="24">
        <f>IFERROR(__xludf.DUMMYFUNCTION("""COMPUTED_VALUE"""),639.0)</f>
        <v>639</v>
      </c>
      <c r="I584" s="24" t="str">
        <f>IFERROR(__xludf.DUMMYFUNCTION("""COMPUTED_VALUE"""),"Frozen")</f>
        <v>Frozen</v>
      </c>
    </row>
    <row r="585">
      <c r="A585" s="23">
        <f>IFERROR(__xludf.DUMMYFUNCTION("""COMPUTED_VALUE"""),44813.59178596065)</f>
        <v>44813.59179</v>
      </c>
      <c r="B585" s="24" t="str">
        <f>IFERROR(__xludf.DUMMYFUNCTION("""COMPUTED_VALUE"""),"Claire")</f>
        <v>Claire</v>
      </c>
      <c r="C585" s="24">
        <f>IFERROR(__xludf.DUMMYFUNCTION("""COMPUTED_VALUE"""),197.0)</f>
        <v>197</v>
      </c>
      <c r="D585" s="24" t="str">
        <f>IFERROR(__xludf.DUMMYFUNCTION("""COMPUTED_VALUE"""),"White box")</f>
        <v>White box</v>
      </c>
      <c r="F585" s="23">
        <f>IFERROR(__xludf.DUMMYFUNCTION("""COMPUTED_VALUE"""),44744.76392236111)</f>
        <v>44744.76392</v>
      </c>
      <c r="G585" s="24" t="str">
        <f>IFERROR(__xludf.DUMMYFUNCTION("""COMPUTED_VALUE"""),"Claire")</f>
        <v>Claire</v>
      </c>
      <c r="H585" s="24">
        <f>IFERROR(__xludf.DUMMYFUNCTION("""COMPUTED_VALUE"""),710.0)</f>
        <v>710</v>
      </c>
      <c r="I585" s="24" t="str">
        <f>IFERROR(__xludf.DUMMYFUNCTION("""COMPUTED_VALUE"""),"Meat")</f>
        <v>Meat</v>
      </c>
    </row>
    <row r="586">
      <c r="A586" s="23">
        <f>IFERROR(__xludf.DUMMYFUNCTION("""COMPUTED_VALUE"""),44813.0)</f>
        <v>44813</v>
      </c>
      <c r="B586" s="24" t="str">
        <f>IFERROR(__xludf.DUMMYFUNCTION("""COMPUTED_VALUE"""),"Claire")</f>
        <v>Claire</v>
      </c>
      <c r="C586" s="24">
        <f>IFERROR(__xludf.DUMMYFUNCTION("""COMPUTED_VALUE"""),112.0)</f>
        <v>112</v>
      </c>
      <c r="D586" s="24" t="str">
        <f>IFERROR(__xludf.DUMMYFUNCTION("""COMPUTED_VALUE"""),"White box")</f>
        <v>White box</v>
      </c>
      <c r="F586" s="23">
        <f>IFERROR(__xludf.DUMMYFUNCTION("""COMPUTED_VALUE"""),44744.764121354165)</f>
        <v>44744.76412</v>
      </c>
      <c r="G586" s="24" t="str">
        <f>IFERROR(__xludf.DUMMYFUNCTION("""COMPUTED_VALUE"""),"Claire")</f>
        <v>Claire</v>
      </c>
      <c r="H586" s="24">
        <f>IFERROR(__xludf.DUMMYFUNCTION("""COMPUTED_VALUE"""),660.0)</f>
        <v>660</v>
      </c>
      <c r="I586" s="24" t="str">
        <f>IFERROR(__xludf.DUMMYFUNCTION("""COMPUTED_VALUE"""),"Frozen")</f>
        <v>Frozen</v>
      </c>
    </row>
    <row r="587">
      <c r="A587" s="23">
        <f>IFERROR(__xludf.DUMMYFUNCTION("""COMPUTED_VALUE"""),44813.592101863425)</f>
        <v>44813.5921</v>
      </c>
      <c r="B587" s="24" t="str">
        <f>IFERROR(__xludf.DUMMYFUNCTION("""COMPUTED_VALUE"""),"Claire")</f>
        <v>Claire</v>
      </c>
      <c r="C587" s="24">
        <f>IFERROR(__xludf.DUMMYFUNCTION("""COMPUTED_VALUE"""),149.0)</f>
        <v>149</v>
      </c>
      <c r="D587" s="24" t="str">
        <f>IFERROR(__xludf.DUMMYFUNCTION("""COMPUTED_VALUE"""),"White box")</f>
        <v>White box</v>
      </c>
      <c r="F587" s="23">
        <f>IFERROR(__xludf.DUMMYFUNCTION("""COMPUTED_VALUE"""),44744.764443680564)</f>
        <v>44744.76444</v>
      </c>
      <c r="G587" s="24" t="str">
        <f>IFERROR(__xludf.DUMMYFUNCTION("""COMPUTED_VALUE"""),"Claire")</f>
        <v>Claire</v>
      </c>
      <c r="H587" s="24">
        <f>IFERROR(__xludf.DUMMYFUNCTION("""COMPUTED_VALUE"""),1157.0)</f>
        <v>1157</v>
      </c>
      <c r="I587" s="24" t="str">
        <f>IFERROR(__xludf.DUMMYFUNCTION("""COMPUTED_VALUE"""),"Frozen")</f>
        <v>Frozen</v>
      </c>
    </row>
    <row r="588">
      <c r="A588" s="23">
        <f>IFERROR(__xludf.DUMMYFUNCTION("""COMPUTED_VALUE"""),44814.714988125)</f>
        <v>44814.71499</v>
      </c>
      <c r="B588" s="24" t="str">
        <f>IFERROR(__xludf.DUMMYFUNCTION("""COMPUTED_VALUE"""),"Claire")</f>
        <v>Claire</v>
      </c>
      <c r="C588" s="24">
        <f>IFERROR(__xludf.DUMMYFUNCTION("""COMPUTED_VALUE"""),1196.0)</f>
        <v>1196</v>
      </c>
      <c r="D588" s="24" t="str">
        <f>IFERROR(__xludf.DUMMYFUNCTION("""COMPUTED_VALUE"""),"Marci")</f>
        <v>Marci</v>
      </c>
      <c r="F588" s="23">
        <f>IFERROR(__xludf.DUMMYFUNCTION("""COMPUTED_VALUE"""),44744.76486056713)</f>
        <v>44744.76486</v>
      </c>
      <c r="G588" s="24" t="str">
        <f>IFERROR(__xludf.DUMMYFUNCTION("""COMPUTED_VALUE"""),"Claire")</f>
        <v>Claire</v>
      </c>
      <c r="H588" s="24">
        <f>IFERROR(__xludf.DUMMYFUNCTION("""COMPUTED_VALUE"""),230.0)</f>
        <v>230</v>
      </c>
      <c r="I588" s="24" t="str">
        <f>IFERROR(__xludf.DUMMYFUNCTION("""COMPUTED_VALUE"""),"Paper products")</f>
        <v>Paper products</v>
      </c>
    </row>
    <row r="589">
      <c r="A589" s="23">
        <f>IFERROR(__xludf.DUMMYFUNCTION("""COMPUTED_VALUE"""),44814.716154062495)</f>
        <v>44814.71615</v>
      </c>
      <c r="B589" s="24" t="str">
        <f>IFERROR(__xludf.DUMMYFUNCTION("""COMPUTED_VALUE"""),"Claire")</f>
        <v>Claire</v>
      </c>
      <c r="C589" s="24">
        <f>IFERROR(__xludf.DUMMYFUNCTION("""COMPUTED_VALUE"""),1296.0)</f>
        <v>1296</v>
      </c>
      <c r="D589" s="24" t="str">
        <f>IFERROR(__xludf.DUMMYFUNCTION("""COMPUTED_VALUE"""),"Marci")</f>
        <v>Marci</v>
      </c>
      <c r="F589" s="23">
        <f>IFERROR(__xludf.DUMMYFUNCTION("""COMPUTED_VALUE"""),44744.76511053241)</f>
        <v>44744.76511</v>
      </c>
      <c r="G589" s="24" t="str">
        <f>IFERROR(__xludf.DUMMYFUNCTION("""COMPUTED_VALUE"""),"Claire")</f>
        <v>Claire</v>
      </c>
      <c r="H589" s="24">
        <f>IFERROR(__xludf.DUMMYFUNCTION("""COMPUTED_VALUE"""),237.0)</f>
        <v>237</v>
      </c>
      <c r="I589" s="24" t="str">
        <f>IFERROR(__xludf.DUMMYFUNCTION("""COMPUTED_VALUE"""),"Paper products")</f>
        <v>Paper products</v>
      </c>
    </row>
    <row r="590">
      <c r="A590" s="23">
        <f>IFERROR(__xludf.DUMMYFUNCTION("""COMPUTED_VALUE"""),44814.71662085648)</f>
        <v>44814.71662</v>
      </c>
      <c r="B590" s="24" t="str">
        <f>IFERROR(__xludf.DUMMYFUNCTION("""COMPUTED_VALUE"""),"Claire")</f>
        <v>Claire</v>
      </c>
      <c r="C590" s="24">
        <f>IFERROR(__xludf.DUMMYFUNCTION("""COMPUTED_VALUE"""),602.0)</f>
        <v>602</v>
      </c>
      <c r="D590" s="24" t="str">
        <f>IFERROR(__xludf.DUMMYFUNCTION("""COMPUTED_VALUE"""),"Marci")</f>
        <v>Marci</v>
      </c>
      <c r="F590" s="23">
        <f>IFERROR(__xludf.DUMMYFUNCTION("""COMPUTED_VALUE"""),44744.76532571759)</f>
        <v>44744.76533</v>
      </c>
      <c r="G590" s="24" t="str">
        <f>IFERROR(__xludf.DUMMYFUNCTION("""COMPUTED_VALUE"""),"Claire")</f>
        <v>Claire</v>
      </c>
      <c r="H590" s="24">
        <f>IFERROR(__xludf.DUMMYFUNCTION("""COMPUTED_VALUE"""),721.0)</f>
        <v>721</v>
      </c>
      <c r="I590" s="24" t="str">
        <f>IFERROR(__xludf.DUMMYFUNCTION("""COMPUTED_VALUE"""),"Cleaning")</f>
        <v>Cleaning</v>
      </c>
    </row>
    <row r="591">
      <c r="A591" s="23">
        <f>IFERROR(__xludf.DUMMYFUNCTION("""COMPUTED_VALUE"""),44815.67769469908)</f>
        <v>44815.67769</v>
      </c>
      <c r="B591" s="24" t="str">
        <f>IFERROR(__xludf.DUMMYFUNCTION("""COMPUTED_VALUE"""),"Zoe")</f>
        <v>Zoe</v>
      </c>
      <c r="C591" s="24">
        <f>IFERROR(__xludf.DUMMYFUNCTION("""COMPUTED_VALUE"""),698.0)</f>
        <v>698</v>
      </c>
      <c r="D591" s="24" t="str">
        <f>IFERROR(__xludf.DUMMYFUNCTION("""COMPUTED_VALUE"""),"Amazon")</f>
        <v>Amazon</v>
      </c>
      <c r="F591" s="23">
        <f>IFERROR(__xludf.DUMMYFUNCTION("""COMPUTED_VALUE"""),44744.76561023148)</f>
        <v>44744.76561</v>
      </c>
      <c r="G591" s="24" t="str">
        <f>IFERROR(__xludf.DUMMYFUNCTION("""COMPUTED_VALUE"""),"Claire")</f>
        <v>Claire</v>
      </c>
      <c r="H591" s="24">
        <f>IFERROR(__xludf.DUMMYFUNCTION("""COMPUTED_VALUE"""),872.0)</f>
        <v>872</v>
      </c>
      <c r="I591" s="24" t="str">
        <f>IFERROR(__xludf.DUMMYFUNCTION("""COMPUTED_VALUE"""),"Frozen")</f>
        <v>Frozen</v>
      </c>
    </row>
    <row r="592">
      <c r="A592" s="23">
        <f>IFERROR(__xludf.DUMMYFUNCTION("""COMPUTED_VALUE"""),44815.67842222222)</f>
        <v>44815.67842</v>
      </c>
      <c r="B592" s="24" t="str">
        <f>IFERROR(__xludf.DUMMYFUNCTION("""COMPUTED_VALUE"""),"Zoe")</f>
        <v>Zoe</v>
      </c>
      <c r="C592" s="24">
        <f>IFERROR(__xludf.DUMMYFUNCTION("""COMPUTED_VALUE"""),361.0)</f>
        <v>361</v>
      </c>
      <c r="D592" s="24" t="str">
        <f>IFERROR(__xludf.DUMMYFUNCTION("""COMPUTED_VALUE"""),"Amazon")</f>
        <v>Amazon</v>
      </c>
      <c r="F592" s="23">
        <f>IFERROR(__xludf.DUMMYFUNCTION("""COMPUTED_VALUE"""),44744.76588041667)</f>
        <v>44744.76588</v>
      </c>
      <c r="G592" s="24" t="str">
        <f>IFERROR(__xludf.DUMMYFUNCTION("""COMPUTED_VALUE"""),"Claire")</f>
        <v>Claire</v>
      </c>
      <c r="H592" s="24">
        <f>IFERROR(__xludf.DUMMYFUNCTION("""COMPUTED_VALUE"""),542.0)</f>
        <v>542</v>
      </c>
      <c r="I592" s="24" t="str">
        <f>IFERROR(__xludf.DUMMYFUNCTION("""COMPUTED_VALUE"""),"Produce")</f>
        <v>Produce</v>
      </c>
    </row>
    <row r="593">
      <c r="A593" s="23">
        <f>IFERROR(__xludf.DUMMYFUNCTION("""COMPUTED_VALUE"""),44815.67804172454)</f>
        <v>44815.67804</v>
      </c>
      <c r="B593" s="24" t="str">
        <f>IFERROR(__xludf.DUMMYFUNCTION("""COMPUTED_VALUE"""),"Zoe")</f>
        <v>Zoe</v>
      </c>
      <c r="C593" s="24">
        <f>IFERROR(__xludf.DUMMYFUNCTION("""COMPUTED_VALUE"""),795.0)</f>
        <v>795</v>
      </c>
      <c r="D593" s="24" t="str">
        <f>IFERROR(__xludf.DUMMYFUNCTION("""COMPUTED_VALUE"""),"Amazon")</f>
        <v>Amazon</v>
      </c>
      <c r="F593" s="23">
        <f>IFERROR(__xludf.DUMMYFUNCTION("""COMPUTED_VALUE"""),44744.768094907406)</f>
        <v>44744.76809</v>
      </c>
      <c r="G593" s="24" t="str">
        <f>IFERROR(__xludf.DUMMYFUNCTION("""COMPUTED_VALUE"""),"Claire")</f>
        <v>Claire</v>
      </c>
      <c r="H593" s="24">
        <f>IFERROR(__xludf.DUMMYFUNCTION("""COMPUTED_VALUE"""),390.0)</f>
        <v>390</v>
      </c>
      <c r="I593" s="24" t="str">
        <f>IFERROR(__xludf.DUMMYFUNCTION("""COMPUTED_VALUE"""),"Amazon")</f>
        <v>Amazon</v>
      </c>
    </row>
    <row r="594">
      <c r="A594" s="23">
        <f>IFERROR(__xludf.DUMMYFUNCTION("""COMPUTED_VALUE"""),44815.67885564815)</f>
        <v>44815.67886</v>
      </c>
      <c r="B594" s="24" t="str">
        <f>IFERROR(__xludf.DUMMYFUNCTION("""COMPUTED_VALUE"""),"Zoe")</f>
        <v>Zoe</v>
      </c>
      <c r="C594" s="24">
        <f>IFERROR(__xludf.DUMMYFUNCTION("""COMPUTED_VALUE"""),705.0)</f>
        <v>705</v>
      </c>
      <c r="D594" s="24" t="str">
        <f>IFERROR(__xludf.DUMMYFUNCTION("""COMPUTED_VALUE"""),"Amazon")</f>
        <v>Amazon</v>
      </c>
      <c r="F594" s="23">
        <f>IFERROR(__xludf.DUMMYFUNCTION("""COMPUTED_VALUE"""),44744.768552974536)</f>
        <v>44744.76855</v>
      </c>
      <c r="G594" s="24" t="str">
        <f>IFERROR(__xludf.DUMMYFUNCTION("""COMPUTED_VALUE"""),"Claire")</f>
        <v>Claire</v>
      </c>
      <c r="H594" s="24">
        <f>IFERROR(__xludf.DUMMYFUNCTION("""COMPUTED_VALUE"""),460.0)</f>
        <v>460</v>
      </c>
      <c r="I594" s="24" t="str">
        <f>IFERROR(__xludf.DUMMYFUNCTION("""COMPUTED_VALUE"""),"Amazon")</f>
        <v>Amazon</v>
      </c>
    </row>
    <row r="595">
      <c r="A595" s="23">
        <f>IFERROR(__xludf.DUMMYFUNCTION("""COMPUTED_VALUE"""),44815.67960964121)</f>
        <v>44815.67961</v>
      </c>
      <c r="B595" s="24" t="str">
        <f>IFERROR(__xludf.DUMMYFUNCTION("""COMPUTED_VALUE"""),"Zoe")</f>
        <v>Zoe</v>
      </c>
      <c r="C595" s="24">
        <f>IFERROR(__xludf.DUMMYFUNCTION("""COMPUTED_VALUE"""),19.0)</f>
        <v>19</v>
      </c>
      <c r="D595" s="24" t="str">
        <f>IFERROR(__xludf.DUMMYFUNCTION("""COMPUTED_VALUE"""),"Sandtown quakers")</f>
        <v>Sandtown quakers</v>
      </c>
      <c r="F595" s="23">
        <f>IFERROR(__xludf.DUMMYFUNCTION("""COMPUTED_VALUE"""),44744.76873844907)</f>
        <v>44744.76874</v>
      </c>
      <c r="G595" s="24" t="str">
        <f>IFERROR(__xludf.DUMMYFUNCTION("""COMPUTED_VALUE"""),"Claire")</f>
        <v>Claire</v>
      </c>
      <c r="H595" s="24">
        <f>IFERROR(__xludf.DUMMYFUNCTION("""COMPUTED_VALUE"""),528.0)</f>
        <v>528</v>
      </c>
      <c r="I595" s="24" t="str">
        <f>IFERROR(__xludf.DUMMYFUNCTION("""COMPUTED_VALUE"""),"Amazon")</f>
        <v>Amazon</v>
      </c>
    </row>
    <row r="596">
      <c r="A596" s="23">
        <f>IFERROR(__xludf.DUMMYFUNCTION("""COMPUTED_VALUE"""),44815.68021114583)</f>
        <v>44815.68021</v>
      </c>
      <c r="B596" s="24" t="str">
        <f>IFERROR(__xludf.DUMMYFUNCTION("""COMPUTED_VALUE"""),"Zoe")</f>
        <v>Zoe</v>
      </c>
      <c r="C596" s="24">
        <f>IFERROR(__xludf.DUMMYFUNCTION("""COMPUTED_VALUE"""),132.0)</f>
        <v>132</v>
      </c>
      <c r="D596" s="24" t="str">
        <f>IFERROR(__xludf.DUMMYFUNCTION("""COMPUTED_VALUE"""),"Arce")</f>
        <v>Arce</v>
      </c>
      <c r="F596" s="23">
        <f>IFERROR(__xludf.DUMMYFUNCTION("""COMPUTED_VALUE"""),44744.769014201396)</f>
        <v>44744.76901</v>
      </c>
      <c r="G596" s="24" t="str">
        <f>IFERROR(__xludf.DUMMYFUNCTION("""COMPUTED_VALUE"""),"Claire")</f>
        <v>Claire</v>
      </c>
      <c r="H596" s="24">
        <f>IFERROR(__xludf.DUMMYFUNCTION("""COMPUTED_VALUE"""),755.0)</f>
        <v>755</v>
      </c>
      <c r="I596" s="24" t="str">
        <f>IFERROR(__xludf.DUMMYFUNCTION("""COMPUTED_VALUE"""),"Amazon")</f>
        <v>Amazon</v>
      </c>
    </row>
    <row r="597">
      <c r="A597" s="23">
        <f>IFERROR(__xludf.DUMMYFUNCTION("""COMPUTED_VALUE"""),44816.68644114583)</f>
        <v>44816.68644</v>
      </c>
      <c r="B597" s="24" t="str">
        <f>IFERROR(__xludf.DUMMYFUNCTION("""COMPUTED_VALUE"""),"JC")</f>
        <v>JC</v>
      </c>
      <c r="C597" s="24">
        <f>IFERROR(__xludf.DUMMYFUNCTION("""COMPUTED_VALUE"""),344.0)</f>
        <v>344</v>
      </c>
      <c r="D597" s="24" t="str">
        <f>IFERROR(__xludf.DUMMYFUNCTION("""COMPUTED_VALUE"""),"Amazon")</f>
        <v>Amazon</v>
      </c>
      <c r="F597" s="23">
        <f>IFERROR(__xludf.DUMMYFUNCTION("""COMPUTED_VALUE"""),44744.769282407404)</f>
        <v>44744.76928</v>
      </c>
      <c r="G597" s="24" t="str">
        <f>IFERROR(__xludf.DUMMYFUNCTION("""COMPUTED_VALUE"""),"Claire")</f>
        <v>Claire</v>
      </c>
      <c r="H597" s="24">
        <f>IFERROR(__xludf.DUMMYFUNCTION("""COMPUTED_VALUE"""),950.0)</f>
        <v>950</v>
      </c>
      <c r="I597" s="24" t="str">
        <f>IFERROR(__xludf.DUMMYFUNCTION("""COMPUTED_VALUE"""),"Amazon")</f>
        <v>Amazon</v>
      </c>
    </row>
    <row r="598">
      <c r="A598" s="23">
        <f>IFERROR(__xludf.DUMMYFUNCTION("""COMPUTED_VALUE"""),44816.68671373843)</f>
        <v>44816.68671</v>
      </c>
      <c r="B598" s="24" t="str">
        <f>IFERROR(__xludf.DUMMYFUNCTION("""COMPUTED_VALUE"""),"JC")</f>
        <v>JC</v>
      </c>
      <c r="C598" s="24">
        <f>IFERROR(__xludf.DUMMYFUNCTION("""COMPUTED_VALUE"""),331.0)</f>
        <v>331</v>
      </c>
      <c r="D598" s="24" t="str">
        <f>IFERROR(__xludf.DUMMYFUNCTION("""COMPUTED_VALUE"""),"Amazon")</f>
        <v>Amazon</v>
      </c>
      <c r="F598" s="23">
        <f>IFERROR(__xludf.DUMMYFUNCTION("""COMPUTED_VALUE"""),44744.76946684028)</f>
        <v>44744.76947</v>
      </c>
      <c r="G598" s="24" t="str">
        <f>IFERROR(__xludf.DUMMYFUNCTION("""COMPUTED_VALUE"""),"Claire")</f>
        <v>Claire</v>
      </c>
      <c r="H598" s="24">
        <f>IFERROR(__xludf.DUMMYFUNCTION("""COMPUTED_VALUE"""),799.0)</f>
        <v>799</v>
      </c>
      <c r="I598" s="24" t="str">
        <f>IFERROR(__xludf.DUMMYFUNCTION("""COMPUTED_VALUE"""),"Amazon")</f>
        <v>Amazon</v>
      </c>
    </row>
    <row r="599">
      <c r="A599" s="23">
        <f>IFERROR(__xludf.DUMMYFUNCTION("""COMPUTED_VALUE"""),44816.686999108795)</f>
        <v>44816.687</v>
      </c>
      <c r="B599" s="24" t="str">
        <f>IFERROR(__xludf.DUMMYFUNCTION("""COMPUTED_VALUE"""),"JC")</f>
        <v>JC</v>
      </c>
      <c r="C599" s="24">
        <f>IFERROR(__xludf.DUMMYFUNCTION("""COMPUTED_VALUE"""),838.0)</f>
        <v>838</v>
      </c>
      <c r="D599" s="24" t="str">
        <f>IFERROR(__xludf.DUMMYFUNCTION("""COMPUTED_VALUE"""),"Amazon")</f>
        <v>Amazon</v>
      </c>
      <c r="F599" s="23">
        <f>IFERROR(__xludf.DUMMYFUNCTION("""COMPUTED_VALUE"""),44744.76988262731)</f>
        <v>44744.76988</v>
      </c>
      <c r="G599" s="24" t="str">
        <f>IFERROR(__xludf.DUMMYFUNCTION("""COMPUTED_VALUE"""),"Claire")</f>
        <v>Claire</v>
      </c>
      <c r="H599" s="24">
        <f>IFERROR(__xludf.DUMMYFUNCTION("""COMPUTED_VALUE"""),1056.0)</f>
        <v>1056</v>
      </c>
      <c r="I599" s="24" t="str">
        <f>IFERROR(__xludf.DUMMYFUNCTION("""COMPUTED_VALUE"""),"Amazon")</f>
        <v>Amazon</v>
      </c>
    </row>
    <row r="600">
      <c r="A600" s="23">
        <f>IFERROR(__xludf.DUMMYFUNCTION("""COMPUTED_VALUE"""),44816.68728121528)</f>
        <v>44816.68728</v>
      </c>
      <c r="B600" s="24" t="str">
        <f>IFERROR(__xludf.DUMMYFUNCTION("""COMPUTED_VALUE"""),"JC")</f>
        <v>JC</v>
      </c>
      <c r="C600" s="24">
        <f>IFERROR(__xludf.DUMMYFUNCTION("""COMPUTED_VALUE"""),813.0)</f>
        <v>813</v>
      </c>
      <c r="D600" s="24" t="str">
        <f>IFERROR(__xludf.DUMMYFUNCTION("""COMPUTED_VALUE"""),"Amazon")</f>
        <v>Amazon</v>
      </c>
      <c r="F600" s="23">
        <f>IFERROR(__xludf.DUMMYFUNCTION("""COMPUTED_VALUE"""),44744.77006700231)</f>
        <v>44744.77007</v>
      </c>
      <c r="G600" s="24" t="str">
        <f>IFERROR(__xludf.DUMMYFUNCTION("""COMPUTED_VALUE"""),"Claire")</f>
        <v>Claire</v>
      </c>
      <c r="H600" s="24">
        <f>IFERROR(__xludf.DUMMYFUNCTION("""COMPUTED_VALUE"""),526.0)</f>
        <v>526</v>
      </c>
      <c r="I600" s="24" t="str">
        <f>IFERROR(__xludf.DUMMYFUNCTION("""COMPUTED_VALUE"""),"Amazon")</f>
        <v>Amazon</v>
      </c>
    </row>
    <row r="601">
      <c r="A601" s="23">
        <f>IFERROR(__xludf.DUMMYFUNCTION("""COMPUTED_VALUE"""),44817.63697892361)</f>
        <v>44817.63698</v>
      </c>
      <c r="B601" s="24" t="str">
        <f>IFERROR(__xludf.DUMMYFUNCTION("""COMPUTED_VALUE"""),"First Fruit Farm - Corn")</f>
        <v>First Fruit Farm - Corn</v>
      </c>
      <c r="C601" s="24">
        <f>IFERROR(__xludf.DUMMYFUNCTION("""COMPUTED_VALUE"""),529.0)</f>
        <v>529</v>
      </c>
      <c r="D601" s="24" t="str">
        <f>IFERROR(__xludf.DUMMYFUNCTION("""COMPUTED_VALUE"""),"First Fruit Farms ")</f>
        <v>First Fruit Farms </v>
      </c>
      <c r="F601" s="23">
        <f>IFERROR(__xludf.DUMMYFUNCTION("""COMPUTED_VALUE"""),44744.77040659723)</f>
        <v>44744.77041</v>
      </c>
      <c r="G601" s="24" t="str">
        <f>IFERROR(__xludf.DUMMYFUNCTION("""COMPUTED_VALUE"""),"Claire")</f>
        <v>Claire</v>
      </c>
      <c r="H601" s="24">
        <f>IFERROR(__xludf.DUMMYFUNCTION("""COMPUTED_VALUE"""),64.0)</f>
        <v>64</v>
      </c>
      <c r="I601" s="24" t="str">
        <f>IFERROR(__xludf.DUMMYFUNCTION("""COMPUTED_VALUE"""),"Amazon")</f>
        <v>Amazon</v>
      </c>
    </row>
    <row r="602">
      <c r="A602" s="23">
        <f>IFERROR(__xludf.DUMMYFUNCTION("""COMPUTED_VALUE"""),44817.63765929398)</f>
        <v>44817.63766</v>
      </c>
      <c r="B602" s="24" t="str">
        <f>IFERROR(__xludf.DUMMYFUNCTION("""COMPUTED_VALUE"""),"First Fruit Farm")</f>
        <v>First Fruit Farm</v>
      </c>
      <c r="C602" s="24">
        <f>IFERROR(__xludf.DUMMYFUNCTION("""COMPUTED_VALUE"""),525.0)</f>
        <v>525</v>
      </c>
      <c r="D602" s="24" t="str">
        <f>IFERROR(__xludf.DUMMYFUNCTION("""COMPUTED_VALUE"""),"First Fruit Farm ")</f>
        <v>First Fruit Farm </v>
      </c>
      <c r="F602" s="23">
        <f>IFERROR(__xludf.DUMMYFUNCTION("""COMPUTED_VALUE"""),44744.77072136574)</f>
        <v>44744.77072</v>
      </c>
      <c r="G602" s="24" t="str">
        <f>IFERROR(__xludf.DUMMYFUNCTION("""COMPUTED_VALUE"""),"Claire")</f>
        <v>Claire</v>
      </c>
      <c r="H602" s="24">
        <f>IFERROR(__xludf.DUMMYFUNCTION("""COMPUTED_VALUE"""),681.0)</f>
        <v>681</v>
      </c>
      <c r="I602" s="24" t="str">
        <f>IFERROR(__xludf.DUMMYFUNCTION("""COMPUTED_VALUE"""),"Amazon")</f>
        <v>Amazon</v>
      </c>
    </row>
    <row r="603">
      <c r="A603" s="23">
        <f>IFERROR(__xludf.DUMMYFUNCTION("""COMPUTED_VALUE"""),44817.6382390625)</f>
        <v>44817.63824</v>
      </c>
      <c r="B603" s="24" t="str">
        <f>IFERROR(__xludf.DUMMYFUNCTION("""COMPUTED_VALUE"""),"First Fruit Farm")</f>
        <v>First Fruit Farm</v>
      </c>
      <c r="C603" s="24">
        <f>IFERROR(__xludf.DUMMYFUNCTION("""COMPUTED_VALUE"""),967.0)</f>
        <v>967</v>
      </c>
      <c r="D603" s="24" t="str">
        <f>IFERROR(__xludf.DUMMYFUNCTION("""COMPUTED_VALUE"""),"First Fruit Farm")</f>
        <v>First Fruit Farm</v>
      </c>
      <c r="F603" s="23">
        <f>IFERROR(__xludf.DUMMYFUNCTION("""COMPUTED_VALUE"""),44744.77091017361)</f>
        <v>44744.77091</v>
      </c>
      <c r="G603" s="24" t="str">
        <f>IFERROR(__xludf.DUMMYFUNCTION("""COMPUTED_VALUE"""),"Claire")</f>
        <v>Claire</v>
      </c>
      <c r="H603" s="24">
        <f>IFERROR(__xludf.DUMMYFUNCTION("""COMPUTED_VALUE"""),421.0)</f>
        <v>421</v>
      </c>
      <c r="I603" s="24" t="str">
        <f>IFERROR(__xludf.DUMMYFUNCTION("""COMPUTED_VALUE"""),"Amazon")</f>
        <v>Amazon</v>
      </c>
    </row>
    <row r="604">
      <c r="A604" s="23">
        <f>IFERROR(__xludf.DUMMYFUNCTION("""COMPUTED_VALUE"""),44817.638700034724)</f>
        <v>44817.6387</v>
      </c>
      <c r="B604" s="24" t="str">
        <f>IFERROR(__xludf.DUMMYFUNCTION("""COMPUTED_VALUE"""),"First Fruit Farm")</f>
        <v>First Fruit Farm</v>
      </c>
      <c r="C604" s="24">
        <f>IFERROR(__xludf.DUMMYFUNCTION("""COMPUTED_VALUE"""),934.0)</f>
        <v>934</v>
      </c>
      <c r="D604" s="24" t="str">
        <f>IFERROR(__xludf.DUMMYFUNCTION("""COMPUTED_VALUE"""),"First Fruit Farm")</f>
        <v>First Fruit Farm</v>
      </c>
      <c r="F604" s="23">
        <f>IFERROR(__xludf.DUMMYFUNCTION("""COMPUTED_VALUE"""),44744.7710816088)</f>
        <v>44744.77108</v>
      </c>
      <c r="G604" s="24" t="str">
        <f>IFERROR(__xludf.DUMMYFUNCTION("""COMPUTED_VALUE"""),"Claire")</f>
        <v>Claire</v>
      </c>
      <c r="H604" s="24">
        <f>IFERROR(__xludf.DUMMYFUNCTION("""COMPUTED_VALUE"""),639.0)</f>
        <v>639</v>
      </c>
      <c r="I604" s="24" t="str">
        <f>IFERROR(__xludf.DUMMYFUNCTION("""COMPUTED_VALUE"""),"Amazon")</f>
        <v>Amazon</v>
      </c>
    </row>
    <row r="605">
      <c r="A605" s="23">
        <f>IFERROR(__xludf.DUMMYFUNCTION("""COMPUTED_VALUE"""),44817.63988420139)</f>
        <v>44817.63988</v>
      </c>
      <c r="B605" s="24" t="str">
        <f>IFERROR(__xludf.DUMMYFUNCTION("""COMPUTED_VALUE"""),"First Fruit Farm")</f>
        <v>First Fruit Farm</v>
      </c>
      <c r="C605" s="24">
        <f>IFERROR(__xludf.DUMMYFUNCTION("""COMPUTED_VALUE"""),316.0)</f>
        <v>316</v>
      </c>
      <c r="D605" s="24" t="str">
        <f>IFERROR(__xludf.DUMMYFUNCTION("""COMPUTED_VALUE"""),"First Fruit Farm")</f>
        <v>First Fruit Farm</v>
      </c>
      <c r="F605" s="23">
        <f>IFERROR(__xludf.DUMMYFUNCTION("""COMPUTED_VALUE"""),44744.771255231484)</f>
        <v>44744.77126</v>
      </c>
      <c r="G605" s="24" t="str">
        <f>IFERROR(__xludf.DUMMYFUNCTION("""COMPUTED_VALUE"""),"Claire")</f>
        <v>Claire</v>
      </c>
      <c r="H605" s="24">
        <f>IFERROR(__xludf.DUMMYFUNCTION("""COMPUTED_VALUE"""),882.0)</f>
        <v>882</v>
      </c>
      <c r="I605" s="24" t="str">
        <f>IFERROR(__xludf.DUMMYFUNCTION("""COMPUTED_VALUE"""),"Amazon")</f>
        <v>Amazon</v>
      </c>
    </row>
    <row r="606">
      <c r="A606" s="23">
        <f>IFERROR(__xludf.DUMMYFUNCTION("""COMPUTED_VALUE"""),44817.6413609838)</f>
        <v>44817.64136</v>
      </c>
      <c r="B606" s="24" t="str">
        <f>IFERROR(__xludf.DUMMYFUNCTION("""COMPUTED_VALUE"""),"First Fruit Farm")</f>
        <v>First Fruit Farm</v>
      </c>
      <c r="C606" s="24">
        <f>IFERROR(__xludf.DUMMYFUNCTION("""COMPUTED_VALUE"""),959.0)</f>
        <v>959</v>
      </c>
      <c r="D606" s="24" t="str">
        <f>IFERROR(__xludf.DUMMYFUNCTION("""COMPUTED_VALUE"""),"First Fruit Farm")</f>
        <v>First Fruit Farm</v>
      </c>
      <c r="F606" s="23">
        <f>IFERROR(__xludf.DUMMYFUNCTION("""COMPUTED_VALUE"""),44744.771440856486)</f>
        <v>44744.77144</v>
      </c>
      <c r="G606" s="24" t="str">
        <f>IFERROR(__xludf.DUMMYFUNCTION("""COMPUTED_VALUE"""),"Claire")</f>
        <v>Claire</v>
      </c>
      <c r="H606" s="24">
        <f>IFERROR(__xludf.DUMMYFUNCTION("""COMPUTED_VALUE"""),944.0)</f>
        <v>944</v>
      </c>
      <c r="I606" s="24" t="str">
        <f>IFERROR(__xludf.DUMMYFUNCTION("""COMPUTED_VALUE"""),"Amazon")</f>
        <v>Amazon</v>
      </c>
    </row>
    <row r="607">
      <c r="A607" s="23">
        <f>IFERROR(__xludf.DUMMYFUNCTION("""COMPUTED_VALUE"""),44817.64220682871)</f>
        <v>44817.64221</v>
      </c>
      <c r="B607" s="24" t="str">
        <f>IFERROR(__xludf.DUMMYFUNCTION("""COMPUTED_VALUE"""),"First Fruit Farm")</f>
        <v>First Fruit Farm</v>
      </c>
      <c r="C607" s="24">
        <f>IFERROR(__xludf.DUMMYFUNCTION("""COMPUTED_VALUE"""),878.0)</f>
        <v>878</v>
      </c>
      <c r="D607" s="24" t="str">
        <f>IFERROR(__xludf.DUMMYFUNCTION("""COMPUTED_VALUE"""),"First Fruit Farm")</f>
        <v>First Fruit Farm</v>
      </c>
      <c r="F607" s="23">
        <f>IFERROR(__xludf.DUMMYFUNCTION("""COMPUTED_VALUE"""),44744.771565393516)</f>
        <v>44744.77157</v>
      </c>
      <c r="G607" s="24" t="str">
        <f>IFERROR(__xludf.DUMMYFUNCTION("""COMPUTED_VALUE"""),"Claire")</f>
        <v>Claire</v>
      </c>
      <c r="H607" s="24">
        <f>IFERROR(__xludf.DUMMYFUNCTION("""COMPUTED_VALUE"""),1080.0)</f>
        <v>1080</v>
      </c>
      <c r="I607" s="24" t="str">
        <f>IFERROR(__xludf.DUMMYFUNCTION("""COMPUTED_VALUE"""),"Amazon")</f>
        <v>Amazon</v>
      </c>
    </row>
    <row r="608">
      <c r="A608" s="23">
        <f>IFERROR(__xludf.DUMMYFUNCTION("""COMPUTED_VALUE"""),44819.8459745486)</f>
        <v>44819.84597</v>
      </c>
      <c r="B608" s="24" t="str">
        <f>IFERROR(__xludf.DUMMYFUNCTION("""COMPUTED_VALUE"""),"Vincent Faulk")</f>
        <v>Vincent Faulk</v>
      </c>
      <c r="C608" s="24">
        <f>IFERROR(__xludf.DUMMYFUNCTION("""COMPUTED_VALUE"""),276.0)</f>
        <v>276</v>
      </c>
      <c r="D608" s="24" t="str">
        <f>IFERROR(__xludf.DUMMYFUNCTION("""COMPUTED_VALUE"""),"Whitebox ")</f>
        <v>Whitebox </v>
      </c>
      <c r="F608" s="23">
        <f>IFERROR(__xludf.DUMMYFUNCTION("""COMPUTED_VALUE"""),44744.77594730324)</f>
        <v>44744.77595</v>
      </c>
      <c r="G608" s="24" t="str">
        <f>IFERROR(__xludf.DUMMYFUNCTION("""COMPUTED_VALUE"""),"Lynnette ")</f>
        <v>Lynnette </v>
      </c>
      <c r="H608" s="24">
        <f>IFERROR(__xludf.DUMMYFUNCTION("""COMPUTED_VALUE"""),20.0)</f>
        <v>20</v>
      </c>
      <c r="I608" s="24"/>
    </row>
    <row r="609">
      <c r="A609" s="23">
        <f>IFERROR(__xludf.DUMMYFUNCTION("""COMPUTED_VALUE"""),44819.847187037034)</f>
        <v>44819.84719</v>
      </c>
      <c r="B609" s="24" t="str">
        <f>IFERROR(__xludf.DUMMYFUNCTION("""COMPUTED_VALUE"""),"Vincent Faulk")</f>
        <v>Vincent Faulk</v>
      </c>
      <c r="C609" s="24">
        <f>IFERROR(__xludf.DUMMYFUNCTION("""COMPUTED_VALUE"""),444.0)</f>
        <v>444</v>
      </c>
      <c r="D609" s="24" t="str">
        <f>IFERROR(__xludf.DUMMYFUNCTION("""COMPUTED_VALUE"""),"Whitebox ")</f>
        <v>Whitebox </v>
      </c>
      <c r="F609" s="23">
        <f>IFERROR(__xludf.DUMMYFUNCTION("""COMPUTED_VALUE"""),44744.77617210648)</f>
        <v>44744.77617</v>
      </c>
      <c r="G609" s="24" t="str">
        <f>IFERROR(__xludf.DUMMYFUNCTION("""COMPUTED_VALUE"""),"Lynnette danage")</f>
        <v>Lynnette danage</v>
      </c>
      <c r="H609" s="24">
        <f>IFERROR(__xludf.DUMMYFUNCTION("""COMPUTED_VALUE"""),4.0)</f>
        <v>4</v>
      </c>
      <c r="I609" s="24"/>
    </row>
    <row r="610">
      <c r="A610" s="23">
        <f>IFERROR(__xludf.DUMMYFUNCTION("""COMPUTED_VALUE"""),44819.847805694444)</f>
        <v>44819.84781</v>
      </c>
      <c r="B610" s="24" t="str">
        <f>IFERROR(__xludf.DUMMYFUNCTION("""COMPUTED_VALUE"""),"Vincent Faulk")</f>
        <v>Vincent Faulk</v>
      </c>
      <c r="C610" s="24">
        <f>IFERROR(__xludf.DUMMYFUNCTION("""COMPUTED_VALUE"""),791.0)</f>
        <v>791</v>
      </c>
      <c r="D610" s="24" t="str">
        <f>IFERROR(__xludf.DUMMYFUNCTION("""COMPUTED_VALUE"""),"Whitebox ")</f>
        <v>Whitebox </v>
      </c>
      <c r="F610" s="23">
        <f>IFERROR(__xludf.DUMMYFUNCTION("""COMPUTED_VALUE"""),44745.0)</f>
        <v>44745</v>
      </c>
      <c r="G610" s="24" t="str">
        <f>IFERROR(__xludf.DUMMYFUNCTION("""COMPUTED_VALUE"""),"Claire")</f>
        <v>Claire</v>
      </c>
      <c r="H610" s="24">
        <f>IFERROR(__xludf.DUMMYFUNCTION("""COMPUTED_VALUE"""),-365.0)</f>
        <v>-365</v>
      </c>
      <c r="I610" s="24" t="str">
        <f>IFERROR(__xludf.DUMMYFUNCTION("""COMPUTED_VALUE"""),"XX")</f>
        <v>XX</v>
      </c>
    </row>
    <row r="611">
      <c r="A611" s="23">
        <f>IFERROR(__xludf.DUMMYFUNCTION("""COMPUTED_VALUE"""),44819.84827416667)</f>
        <v>44819.84827</v>
      </c>
      <c r="B611" s="24" t="str">
        <f>IFERROR(__xludf.DUMMYFUNCTION("""COMPUTED_VALUE"""),"Vincent Faulk")</f>
        <v>Vincent Faulk</v>
      </c>
      <c r="C611" s="24">
        <f>IFERROR(__xludf.DUMMYFUNCTION("""COMPUTED_VALUE"""),357.0)</f>
        <v>357</v>
      </c>
      <c r="D611" s="24" t="str">
        <f>IFERROR(__xludf.DUMMYFUNCTION("""COMPUTED_VALUE"""),"Whitebox ")</f>
        <v>Whitebox </v>
      </c>
      <c r="F611" s="23">
        <f>IFERROR(__xludf.DUMMYFUNCTION("""COMPUTED_VALUE"""),44745.0)</f>
        <v>44745</v>
      </c>
      <c r="G611" s="24" t="str">
        <f>IFERROR(__xludf.DUMMYFUNCTION("""COMPUTED_VALUE"""),"Claire")</f>
        <v>Claire</v>
      </c>
      <c r="H611" s="24">
        <f>IFERROR(__xludf.DUMMYFUNCTION("""COMPUTED_VALUE"""),-277.0)</f>
        <v>-277</v>
      </c>
      <c r="I611" s="24" t="str">
        <f>IFERROR(__xludf.DUMMYFUNCTION("""COMPUTED_VALUE"""),"XX")</f>
        <v>XX</v>
      </c>
    </row>
    <row r="612">
      <c r="A612" s="23">
        <f>IFERROR(__xludf.DUMMYFUNCTION("""COMPUTED_VALUE"""),44819.84952386574)</f>
        <v>44819.84952</v>
      </c>
      <c r="B612" s="24" t="str">
        <f>IFERROR(__xludf.DUMMYFUNCTION("""COMPUTED_VALUE"""),"Vincent Faulk")</f>
        <v>Vincent Faulk</v>
      </c>
      <c r="C612" s="24">
        <f>IFERROR(__xludf.DUMMYFUNCTION("""COMPUTED_VALUE"""),588.0)</f>
        <v>588</v>
      </c>
      <c r="D612" s="24" t="str">
        <f>IFERROR(__xludf.DUMMYFUNCTION("""COMPUTED_VALUE"""),"Whitebox ")</f>
        <v>Whitebox </v>
      </c>
      <c r="F612" s="23">
        <f>IFERROR(__xludf.DUMMYFUNCTION("""COMPUTED_VALUE"""),44745.0)</f>
        <v>44745</v>
      </c>
      <c r="G612" s="24" t="str">
        <f>IFERROR(__xludf.DUMMYFUNCTION("""COMPUTED_VALUE"""),"Claire")</f>
        <v>Claire</v>
      </c>
      <c r="H612" s="24">
        <f>IFERROR(__xludf.DUMMYFUNCTION("""COMPUTED_VALUE"""),-73.0)</f>
        <v>-73</v>
      </c>
      <c r="I612" s="24" t="str">
        <f>IFERROR(__xludf.DUMMYFUNCTION("""COMPUTED_VALUE"""),"XX")</f>
        <v>XX</v>
      </c>
    </row>
    <row r="613">
      <c r="A613" s="23">
        <f>IFERROR(__xludf.DUMMYFUNCTION("""COMPUTED_VALUE"""),44819.85046667824)</f>
        <v>44819.85047</v>
      </c>
      <c r="B613" s="24" t="str">
        <f>IFERROR(__xludf.DUMMYFUNCTION("""COMPUTED_VALUE"""),"Vincent Faulk")</f>
        <v>Vincent Faulk</v>
      </c>
      <c r="C613" s="24">
        <f>IFERROR(__xludf.DUMMYFUNCTION("""COMPUTED_VALUE"""),448.0)</f>
        <v>448</v>
      </c>
      <c r="D613" s="24" t="str">
        <f>IFERROR(__xludf.DUMMYFUNCTION("""COMPUTED_VALUE"""),"Whitebox ")</f>
        <v>Whitebox </v>
      </c>
      <c r="F613" s="23">
        <f>IFERROR(__xludf.DUMMYFUNCTION("""COMPUTED_VALUE"""),44745.0)</f>
        <v>44745</v>
      </c>
      <c r="G613" s="24" t="str">
        <f>IFERROR(__xludf.DUMMYFUNCTION("""COMPUTED_VALUE"""),"Claire")</f>
        <v>Claire</v>
      </c>
      <c r="H613" s="24">
        <f>IFERROR(__xludf.DUMMYFUNCTION("""COMPUTED_VALUE"""),-68.0)</f>
        <v>-68</v>
      </c>
      <c r="I613" s="24" t="str">
        <f>IFERROR(__xludf.DUMMYFUNCTION("""COMPUTED_VALUE"""),"XX")</f>
        <v>XX</v>
      </c>
    </row>
    <row r="614">
      <c r="A614" s="23">
        <f>IFERROR(__xludf.DUMMYFUNCTION("""COMPUTED_VALUE"""),44819.85148106481)</f>
        <v>44819.85148</v>
      </c>
      <c r="B614" s="24" t="str">
        <f>IFERROR(__xludf.DUMMYFUNCTION("""COMPUTED_VALUE"""),"Vincent Faulk")</f>
        <v>Vincent Faulk</v>
      </c>
      <c r="C614" s="24">
        <f>IFERROR(__xludf.DUMMYFUNCTION("""COMPUTED_VALUE"""),176.0)</f>
        <v>176</v>
      </c>
      <c r="D614" s="24" t="str">
        <f>IFERROR(__xludf.DUMMYFUNCTION("""COMPUTED_VALUE"""),"Whitebox ")</f>
        <v>Whitebox </v>
      </c>
      <c r="F614" s="23">
        <f>IFERROR(__xludf.DUMMYFUNCTION("""COMPUTED_VALUE"""),44745.0)</f>
        <v>44745</v>
      </c>
      <c r="G614" s="24" t="str">
        <f>IFERROR(__xludf.DUMMYFUNCTION("""COMPUTED_VALUE"""),"Claire")</f>
        <v>Claire</v>
      </c>
      <c r="H614" s="24">
        <f>IFERROR(__xludf.DUMMYFUNCTION("""COMPUTED_VALUE"""),-278.0)</f>
        <v>-278</v>
      </c>
      <c r="I614" s="24" t="str">
        <f>IFERROR(__xludf.DUMMYFUNCTION("""COMPUTED_VALUE"""),"XX")</f>
        <v>XX</v>
      </c>
    </row>
    <row r="615">
      <c r="A615" s="23">
        <f>IFERROR(__xludf.DUMMYFUNCTION("""COMPUTED_VALUE"""),44819.85213337963)</f>
        <v>44819.85213</v>
      </c>
      <c r="B615" s="24" t="str">
        <f>IFERROR(__xludf.DUMMYFUNCTION("""COMPUTED_VALUE"""),"Vincent Faulk")</f>
        <v>Vincent Faulk</v>
      </c>
      <c r="C615" s="24">
        <f>IFERROR(__xludf.DUMMYFUNCTION("""COMPUTED_VALUE"""),217.0)</f>
        <v>217</v>
      </c>
      <c r="D615" s="24" t="str">
        <f>IFERROR(__xludf.DUMMYFUNCTION("""COMPUTED_VALUE"""),"Whitebox ")</f>
        <v>Whitebox </v>
      </c>
      <c r="F615" s="23">
        <f>IFERROR(__xludf.DUMMYFUNCTION("""COMPUTED_VALUE"""),44745.0)</f>
        <v>44745</v>
      </c>
      <c r="G615" s="24" t="str">
        <f>IFERROR(__xludf.DUMMYFUNCTION("""COMPUTED_VALUE"""),"Claire")</f>
        <v>Claire</v>
      </c>
      <c r="H615" s="24">
        <f>IFERROR(__xludf.DUMMYFUNCTION("""COMPUTED_VALUE"""),-307.0)</f>
        <v>-307</v>
      </c>
      <c r="I615" s="24" t="str">
        <f>IFERROR(__xludf.DUMMYFUNCTION("""COMPUTED_VALUE"""),"XX")</f>
        <v>XX</v>
      </c>
    </row>
    <row r="616">
      <c r="A616" s="23">
        <f>IFERROR(__xludf.DUMMYFUNCTION("""COMPUTED_VALUE"""),44819.852698622686)</f>
        <v>44819.8527</v>
      </c>
      <c r="B616" s="24" t="str">
        <f>IFERROR(__xludf.DUMMYFUNCTION("""COMPUTED_VALUE"""),"Vincent Faulk")</f>
        <v>Vincent Faulk</v>
      </c>
      <c r="C616" s="24">
        <f>IFERROR(__xludf.DUMMYFUNCTION("""COMPUTED_VALUE"""),182.0)</f>
        <v>182</v>
      </c>
      <c r="D616" s="24" t="str">
        <f>IFERROR(__xludf.DUMMYFUNCTION("""COMPUTED_VALUE"""),"Whitebox ")</f>
        <v>Whitebox </v>
      </c>
      <c r="F616" s="23">
        <f>IFERROR(__xludf.DUMMYFUNCTION("""COMPUTED_VALUE"""),44745.0)</f>
        <v>44745</v>
      </c>
      <c r="G616" s="24" t="str">
        <f>IFERROR(__xludf.DUMMYFUNCTION("""COMPUTED_VALUE"""),"Claire")</f>
        <v>Claire</v>
      </c>
      <c r="H616" s="24">
        <f>IFERROR(__xludf.DUMMYFUNCTION("""COMPUTED_VALUE"""),-285.0)</f>
        <v>-285</v>
      </c>
      <c r="I616" s="24" t="str">
        <f>IFERROR(__xludf.DUMMYFUNCTION("""COMPUTED_VALUE"""),"XX")</f>
        <v>XX</v>
      </c>
    </row>
    <row r="617">
      <c r="A617" s="23">
        <f>IFERROR(__xludf.DUMMYFUNCTION("""COMPUTED_VALUE"""),44819.85335515046)</f>
        <v>44819.85336</v>
      </c>
      <c r="B617" s="24" t="str">
        <f>IFERROR(__xludf.DUMMYFUNCTION("""COMPUTED_VALUE"""),"Vincent Faulk")</f>
        <v>Vincent Faulk</v>
      </c>
      <c r="C617" s="24">
        <f>IFERROR(__xludf.DUMMYFUNCTION("""COMPUTED_VALUE"""),159.0)</f>
        <v>159</v>
      </c>
      <c r="D617" s="24" t="str">
        <f>IFERROR(__xludf.DUMMYFUNCTION("""COMPUTED_VALUE"""),"Whitebox ")</f>
        <v>Whitebox </v>
      </c>
      <c r="F617" s="23">
        <f>IFERROR(__xludf.DUMMYFUNCTION("""COMPUTED_VALUE"""),44745.0)</f>
        <v>44745</v>
      </c>
      <c r="G617" s="24" t="str">
        <f>IFERROR(__xludf.DUMMYFUNCTION("""COMPUTED_VALUE"""),"Claire")</f>
        <v>Claire</v>
      </c>
      <c r="H617" s="24">
        <f>IFERROR(__xludf.DUMMYFUNCTION("""COMPUTED_VALUE"""),-15.0)</f>
        <v>-15</v>
      </c>
      <c r="I617" s="24" t="str">
        <f>IFERROR(__xludf.DUMMYFUNCTION("""COMPUTED_VALUE"""),"XX")</f>
        <v>XX</v>
      </c>
    </row>
    <row r="618">
      <c r="A618" s="23">
        <f>IFERROR(__xludf.DUMMYFUNCTION("""COMPUTED_VALUE"""),44819.853921064816)</f>
        <v>44819.85392</v>
      </c>
      <c r="B618" s="24" t="str">
        <f>IFERROR(__xludf.DUMMYFUNCTION("""COMPUTED_VALUE"""),"Vincent Faulk")</f>
        <v>Vincent Faulk</v>
      </c>
      <c r="C618" s="24">
        <f>IFERROR(__xludf.DUMMYFUNCTION("""COMPUTED_VALUE"""),371.0)</f>
        <v>371</v>
      </c>
      <c r="D618" s="24" t="str">
        <f>IFERROR(__xludf.DUMMYFUNCTION("""COMPUTED_VALUE"""),"Whitebox ")</f>
        <v>Whitebox </v>
      </c>
      <c r="F618" s="23">
        <f>IFERROR(__xludf.DUMMYFUNCTION("""COMPUTED_VALUE"""),44745.0)</f>
        <v>44745</v>
      </c>
      <c r="G618" s="24" t="str">
        <f>IFERROR(__xludf.DUMMYFUNCTION("""COMPUTED_VALUE"""),"Claire")</f>
        <v>Claire</v>
      </c>
      <c r="H618" s="24">
        <f>IFERROR(__xludf.DUMMYFUNCTION("""COMPUTED_VALUE"""),-35.0)</f>
        <v>-35</v>
      </c>
      <c r="I618" s="24" t="str">
        <f>IFERROR(__xludf.DUMMYFUNCTION("""COMPUTED_VALUE"""),"XX")</f>
        <v>XX</v>
      </c>
    </row>
    <row r="619">
      <c r="A619" s="23">
        <f>IFERROR(__xludf.DUMMYFUNCTION("""COMPUTED_VALUE"""),44819.85428435185)</f>
        <v>44819.85428</v>
      </c>
      <c r="B619" s="24"/>
      <c r="C619" s="24">
        <f>IFERROR(__xludf.DUMMYFUNCTION("""COMPUTED_VALUE"""),1345.0)</f>
        <v>1345</v>
      </c>
      <c r="D619" s="24" t="str">
        <f>IFERROR(__xludf.DUMMYFUNCTION("""COMPUTED_VALUE"""),"Amazon")</f>
        <v>Amazon</v>
      </c>
      <c r="F619" s="23">
        <f>IFERROR(__xludf.DUMMYFUNCTION("""COMPUTED_VALUE"""),44745.0)</f>
        <v>44745</v>
      </c>
      <c r="G619" s="24" t="str">
        <f>IFERROR(__xludf.DUMMYFUNCTION("""COMPUTED_VALUE"""),"Claire")</f>
        <v>Claire</v>
      </c>
      <c r="H619" s="24">
        <f>IFERROR(__xludf.DUMMYFUNCTION("""COMPUTED_VALUE"""),-202.0)</f>
        <v>-202</v>
      </c>
      <c r="I619" s="24" t="str">
        <f>IFERROR(__xludf.DUMMYFUNCTION("""COMPUTED_VALUE"""),"XX")</f>
        <v>XX</v>
      </c>
    </row>
    <row r="620">
      <c r="A620" s="23">
        <f>IFERROR(__xludf.DUMMYFUNCTION("""COMPUTED_VALUE"""),44819.8546011574)</f>
        <v>44819.8546</v>
      </c>
      <c r="B620" s="24" t="str">
        <f>IFERROR(__xludf.DUMMYFUNCTION("""COMPUTED_VALUE"""),"Vincent Faulk")</f>
        <v>Vincent Faulk</v>
      </c>
      <c r="C620" s="24">
        <f>IFERROR(__xludf.DUMMYFUNCTION("""COMPUTED_VALUE"""),862.0)</f>
        <v>862</v>
      </c>
      <c r="D620" s="24" t="str">
        <f>IFERROR(__xludf.DUMMYFUNCTION("""COMPUTED_VALUE"""),"Amazon")</f>
        <v>Amazon</v>
      </c>
      <c r="F620" s="23">
        <f>IFERROR(__xludf.DUMMYFUNCTION("""COMPUTED_VALUE"""),44745.0)</f>
        <v>44745</v>
      </c>
      <c r="G620" s="24" t="str">
        <f>IFERROR(__xludf.DUMMYFUNCTION("""COMPUTED_VALUE"""),"Claire")</f>
        <v>Claire</v>
      </c>
      <c r="H620" s="24">
        <f>IFERROR(__xludf.DUMMYFUNCTION("""COMPUTED_VALUE"""),-44.0)</f>
        <v>-44</v>
      </c>
      <c r="I620" s="24" t="str">
        <f>IFERROR(__xludf.DUMMYFUNCTION("""COMPUTED_VALUE"""),"H2")</f>
        <v>H2</v>
      </c>
    </row>
    <row r="621">
      <c r="A621" s="23">
        <f>IFERROR(__xludf.DUMMYFUNCTION("""COMPUTED_VALUE"""),44821.48842769676)</f>
        <v>44821.48843</v>
      </c>
      <c r="B621" s="24" t="str">
        <f>IFERROR(__xludf.DUMMYFUNCTION("""COMPUTED_VALUE"""),"Claire")</f>
        <v>Claire</v>
      </c>
      <c r="C621" s="24">
        <f>IFERROR(__xludf.DUMMYFUNCTION("""COMPUTED_VALUE"""),226.0)</f>
        <v>226</v>
      </c>
      <c r="D621" s="24" t="str">
        <f>IFERROR(__xludf.DUMMYFUNCTION("""COMPUTED_VALUE"""),"Amazon")</f>
        <v>Amazon</v>
      </c>
      <c r="F621" s="23">
        <f>IFERROR(__xludf.DUMMYFUNCTION("""COMPUTED_VALUE"""),44745.0)</f>
        <v>44745</v>
      </c>
      <c r="G621" s="24" t="str">
        <f>IFERROR(__xludf.DUMMYFUNCTION("""COMPUTED_VALUE"""),"Claire")</f>
        <v>Claire</v>
      </c>
      <c r="H621" s="24">
        <f>IFERROR(__xludf.DUMMYFUNCTION("""COMPUTED_VALUE"""),389.0)</f>
        <v>389</v>
      </c>
      <c r="I621" s="24" t="str">
        <f>IFERROR(__xludf.DUMMYFUNCTION("""COMPUTED_VALUE"""),"O5")</f>
        <v>O5</v>
      </c>
    </row>
    <row r="622">
      <c r="A622" s="23">
        <f>IFERROR(__xludf.DUMMYFUNCTION("""COMPUTED_VALUE"""),44821.488656354166)</f>
        <v>44821.48866</v>
      </c>
      <c r="B622" s="24" t="str">
        <f>IFERROR(__xludf.DUMMYFUNCTION("""COMPUTED_VALUE"""),"Claire")</f>
        <v>Claire</v>
      </c>
      <c r="C622" s="24">
        <f>IFERROR(__xludf.DUMMYFUNCTION("""COMPUTED_VALUE"""),712.0)</f>
        <v>712</v>
      </c>
      <c r="D622" s="24" t="str">
        <f>IFERROR(__xludf.DUMMYFUNCTION("""COMPUTED_VALUE"""),"Amazon")</f>
        <v>Amazon</v>
      </c>
      <c r="F622" s="23">
        <f>IFERROR(__xludf.DUMMYFUNCTION("""COMPUTED_VALUE"""),44745.0)</f>
        <v>44745</v>
      </c>
      <c r="G622" s="24" t="str">
        <f>IFERROR(__xludf.DUMMYFUNCTION("""COMPUTED_VALUE"""),"Claire")</f>
        <v>Claire</v>
      </c>
      <c r="H622" s="24">
        <f>IFERROR(__xludf.DUMMYFUNCTION("""COMPUTED_VALUE"""),764.0)</f>
        <v>764</v>
      </c>
      <c r="I622" s="24" t="str">
        <f>IFERROR(__xludf.DUMMYFUNCTION("""COMPUTED_VALUE"""),"H1")</f>
        <v>H1</v>
      </c>
    </row>
    <row r="623">
      <c r="A623" s="23">
        <f>IFERROR(__xludf.DUMMYFUNCTION("""COMPUTED_VALUE"""),44821.48905141204)</f>
        <v>44821.48905</v>
      </c>
      <c r="B623" s="24" t="str">
        <f>IFERROR(__xludf.DUMMYFUNCTION("""COMPUTED_VALUE"""),"Claire")</f>
        <v>Claire</v>
      </c>
      <c r="C623" s="24">
        <f>IFERROR(__xludf.DUMMYFUNCTION("""COMPUTED_VALUE"""),496.0)</f>
        <v>496</v>
      </c>
      <c r="D623" s="24" t="str">
        <f>IFERROR(__xludf.DUMMYFUNCTION("""COMPUTED_VALUE"""),"Amazon")</f>
        <v>Amazon</v>
      </c>
      <c r="F623" s="23">
        <f>IFERROR(__xludf.DUMMYFUNCTION("""COMPUTED_VALUE"""),44745.0)</f>
        <v>44745</v>
      </c>
      <c r="G623" s="24" t="str">
        <f>IFERROR(__xludf.DUMMYFUNCTION("""COMPUTED_VALUE"""),"Claire")</f>
        <v>Claire</v>
      </c>
      <c r="H623" s="24">
        <f>IFERROR(__xludf.DUMMYFUNCTION("""COMPUTED_VALUE"""),285.0)</f>
        <v>285</v>
      </c>
      <c r="I623" s="24" t="str">
        <f>IFERROR(__xludf.DUMMYFUNCTION("""COMPUTED_VALUE"""),"C5")</f>
        <v>C5</v>
      </c>
    </row>
    <row r="624">
      <c r="A624" s="23">
        <f>IFERROR(__xludf.DUMMYFUNCTION("""COMPUTED_VALUE"""),44822.6498137963)</f>
        <v>44822.64981</v>
      </c>
      <c r="B624" s="24" t="str">
        <f>IFERROR(__xludf.DUMMYFUNCTION("""COMPUTED_VALUE"""),"Zoe")</f>
        <v>Zoe</v>
      </c>
      <c r="C624" s="24">
        <f>IFERROR(__xludf.DUMMYFUNCTION("""COMPUTED_VALUE"""),694.0)</f>
        <v>694</v>
      </c>
      <c r="D624" s="24" t="str">
        <f>IFERROR(__xludf.DUMMYFUNCTION("""COMPUTED_VALUE"""),"Amazon")</f>
        <v>Amazon</v>
      </c>
      <c r="F624" s="23">
        <f>IFERROR(__xludf.DUMMYFUNCTION("""COMPUTED_VALUE"""),44745.0)</f>
        <v>44745</v>
      </c>
      <c r="G624" s="24" t="str">
        <f>IFERROR(__xludf.DUMMYFUNCTION("""COMPUTED_VALUE"""),"Claire")</f>
        <v>Claire</v>
      </c>
      <c r="H624" s="24">
        <f>IFERROR(__xludf.DUMMYFUNCTION("""COMPUTED_VALUE"""),204.0)</f>
        <v>204</v>
      </c>
      <c r="I624" s="24" t="str">
        <f>IFERROR(__xludf.DUMMYFUNCTION("""COMPUTED_VALUE"""),"K4")</f>
        <v>K4</v>
      </c>
    </row>
    <row r="625">
      <c r="A625" s="23">
        <f>IFERROR(__xludf.DUMMYFUNCTION("""COMPUTED_VALUE"""),44822.65016846065)</f>
        <v>44822.65017</v>
      </c>
      <c r="B625" s="24" t="str">
        <f>IFERROR(__xludf.DUMMYFUNCTION("""COMPUTED_VALUE"""),"Zoe")</f>
        <v>Zoe</v>
      </c>
      <c r="C625" s="24">
        <f>IFERROR(__xludf.DUMMYFUNCTION("""COMPUTED_VALUE"""),640.0)</f>
        <v>640</v>
      </c>
      <c r="D625" s="24" t="str">
        <f>IFERROR(__xludf.DUMMYFUNCTION("""COMPUTED_VALUE"""),"Amazon")</f>
        <v>Amazon</v>
      </c>
      <c r="F625" s="23">
        <f>IFERROR(__xludf.DUMMYFUNCTION("""COMPUTED_VALUE"""),44745.0)</f>
        <v>44745</v>
      </c>
      <c r="G625" s="24" t="str">
        <f>IFERROR(__xludf.DUMMYFUNCTION("""COMPUTED_VALUE"""),"Claire")</f>
        <v>Claire</v>
      </c>
      <c r="H625" s="24">
        <f>IFERROR(__xludf.DUMMYFUNCTION("""COMPUTED_VALUE"""),549.0)</f>
        <v>549</v>
      </c>
      <c r="I625" s="24" t="str">
        <f>IFERROR(__xludf.DUMMYFUNCTION("""COMPUTED_VALUE"""),"K5")</f>
        <v>K5</v>
      </c>
    </row>
    <row r="626">
      <c r="A626" s="23">
        <f>IFERROR(__xludf.DUMMYFUNCTION("""COMPUTED_VALUE"""),44822.650928877316)</f>
        <v>44822.65093</v>
      </c>
      <c r="B626" s="24" t="str">
        <f>IFERROR(__xludf.DUMMYFUNCTION("""COMPUTED_VALUE"""),"Zoe")</f>
        <v>Zoe</v>
      </c>
      <c r="C626" s="24">
        <f>IFERROR(__xludf.DUMMYFUNCTION("""COMPUTED_VALUE"""),723.0)</f>
        <v>723</v>
      </c>
      <c r="D626" s="24" t="str">
        <f>IFERROR(__xludf.DUMMYFUNCTION("""COMPUTED_VALUE"""),"Amazon")</f>
        <v>Amazon</v>
      </c>
      <c r="F626" s="23">
        <f>IFERROR(__xludf.DUMMYFUNCTION("""COMPUTED_VALUE"""),44745.0)</f>
        <v>44745</v>
      </c>
      <c r="G626" s="24" t="str">
        <f>IFERROR(__xludf.DUMMYFUNCTION("""COMPUTED_VALUE"""),"Alex Wang")</f>
        <v>Alex Wang</v>
      </c>
      <c r="H626" s="24">
        <f>IFERROR(__xludf.DUMMYFUNCTION("""COMPUTED_VALUE"""),20.0)</f>
        <v>20</v>
      </c>
      <c r="I626" s="24"/>
    </row>
    <row r="627">
      <c r="A627" s="23">
        <f>IFERROR(__xludf.DUMMYFUNCTION("""COMPUTED_VALUE"""),44825.68056789352)</f>
        <v>44825.68057</v>
      </c>
      <c r="B627" s="24" t="str">
        <f>IFERROR(__xludf.DUMMYFUNCTION("""COMPUTED_VALUE"""),"Claire")</f>
        <v>Claire</v>
      </c>
      <c r="C627" s="24">
        <f>IFERROR(__xludf.DUMMYFUNCTION("""COMPUTED_VALUE"""),267.0)</f>
        <v>267</v>
      </c>
      <c r="D627" s="24" t="str">
        <f>IFERROR(__xludf.DUMMYFUNCTION("""COMPUTED_VALUE"""),"Amazon")</f>
        <v>Amazon</v>
      </c>
      <c r="F627" s="23">
        <f>IFERROR(__xludf.DUMMYFUNCTION("""COMPUTED_VALUE"""),44745.0)</f>
        <v>44745</v>
      </c>
      <c r="G627" s="24" t="str">
        <f>IFERROR(__xludf.DUMMYFUNCTION("""COMPUTED_VALUE"""),"Marci")</f>
        <v>Marci</v>
      </c>
      <c r="H627" s="24">
        <f>IFERROR(__xludf.DUMMYFUNCTION("""COMPUTED_VALUE"""),16.0)</f>
        <v>16</v>
      </c>
      <c r="I627" s="24"/>
    </row>
    <row r="628">
      <c r="A628" s="23">
        <f>IFERROR(__xludf.DUMMYFUNCTION("""COMPUTED_VALUE"""),44825.68089614584)</f>
        <v>44825.6809</v>
      </c>
      <c r="B628" s="24" t="str">
        <f>IFERROR(__xludf.DUMMYFUNCTION("""COMPUTED_VALUE"""),"Claire")</f>
        <v>Claire</v>
      </c>
      <c r="C628" s="24">
        <f>IFERROR(__xludf.DUMMYFUNCTION("""COMPUTED_VALUE"""),883.0)</f>
        <v>883</v>
      </c>
      <c r="D628" s="24" t="str">
        <f>IFERROR(__xludf.DUMMYFUNCTION("""COMPUTED_VALUE"""),"Amazon")</f>
        <v>Amazon</v>
      </c>
      <c r="F628" s="23">
        <f>IFERROR(__xludf.DUMMYFUNCTION("""COMPUTED_VALUE"""),44745.0)</f>
        <v>44745</v>
      </c>
      <c r="G628" s="24" t="str">
        <f>IFERROR(__xludf.DUMMYFUNCTION("""COMPUTED_VALUE"""),"Marci")</f>
        <v>Marci</v>
      </c>
      <c r="H628" s="24">
        <f>IFERROR(__xludf.DUMMYFUNCTION("""COMPUTED_VALUE"""),28.0)</f>
        <v>28</v>
      </c>
      <c r="I628" s="24"/>
    </row>
    <row r="629">
      <c r="A629" s="23">
        <f>IFERROR(__xludf.DUMMYFUNCTION("""COMPUTED_VALUE"""),44825.68116503472)</f>
        <v>44825.68117</v>
      </c>
      <c r="B629" s="24" t="str">
        <f>IFERROR(__xludf.DUMMYFUNCTION("""COMPUTED_VALUE"""),"Claire")</f>
        <v>Claire</v>
      </c>
      <c r="C629" s="24">
        <f>IFERROR(__xludf.DUMMYFUNCTION("""COMPUTED_VALUE"""),605.0)</f>
        <v>605</v>
      </c>
      <c r="D629" s="24" t="str">
        <f>IFERROR(__xludf.DUMMYFUNCTION("""COMPUTED_VALUE"""),"Amazon")</f>
        <v>Amazon</v>
      </c>
      <c r="F629" s="23">
        <f>IFERROR(__xludf.DUMMYFUNCTION("""COMPUTED_VALUE"""),44745.67547950232)</f>
        <v>44745.67548</v>
      </c>
      <c r="G629" s="24" t="str">
        <f>IFERROR(__xludf.DUMMYFUNCTION("""COMPUTED_VALUE"""),"Evan El-Halawani")</f>
        <v>Evan El-Halawani</v>
      </c>
      <c r="H629" s="24">
        <f>IFERROR(__xludf.DUMMYFUNCTION("""COMPUTED_VALUE"""),18.0)</f>
        <v>18</v>
      </c>
      <c r="I629" s="24"/>
    </row>
    <row r="630">
      <c r="A630" s="23">
        <f>IFERROR(__xludf.DUMMYFUNCTION("""COMPUTED_VALUE"""),44825.68138709491)</f>
        <v>44825.68139</v>
      </c>
      <c r="B630" s="24" t="str">
        <f>IFERROR(__xludf.DUMMYFUNCTION("""COMPUTED_VALUE"""),"Claire")</f>
        <v>Claire</v>
      </c>
      <c r="C630" s="24">
        <f>IFERROR(__xludf.DUMMYFUNCTION("""COMPUTED_VALUE"""),629.0)</f>
        <v>629</v>
      </c>
      <c r="D630" s="24" t="str">
        <f>IFERROR(__xludf.DUMMYFUNCTION("""COMPUTED_VALUE"""),"Amazon")</f>
        <v>Amazon</v>
      </c>
      <c r="F630" s="23">
        <f>IFERROR(__xludf.DUMMYFUNCTION("""COMPUTED_VALUE"""),44745.67560032407)</f>
        <v>44745.6756</v>
      </c>
      <c r="G630" s="24" t="str">
        <f>IFERROR(__xludf.DUMMYFUNCTION("""COMPUTED_VALUE"""),"Anna Nicosia")</f>
        <v>Anna Nicosia</v>
      </c>
      <c r="H630" s="24">
        <f>IFERROR(__xludf.DUMMYFUNCTION("""COMPUTED_VALUE"""),19.0)</f>
        <v>19</v>
      </c>
      <c r="I630" s="24"/>
    </row>
    <row r="631">
      <c r="A631" s="23">
        <f>IFERROR(__xludf.DUMMYFUNCTION("""COMPUTED_VALUE"""),44825.69324013889)</f>
        <v>44825.69324</v>
      </c>
      <c r="B631" s="24" t="str">
        <f>IFERROR(__xludf.DUMMYFUNCTION("""COMPUTED_VALUE"""),"Claire")</f>
        <v>Claire</v>
      </c>
      <c r="C631" s="24">
        <f>IFERROR(__xludf.DUMMYFUNCTION("""COMPUTED_VALUE"""),610.0)</f>
        <v>610</v>
      </c>
      <c r="D631" s="24" t="str">
        <f>IFERROR(__xludf.DUMMYFUNCTION("""COMPUTED_VALUE"""),"First fruits farm")</f>
        <v>First fruits farm</v>
      </c>
      <c r="F631" s="23">
        <f>IFERROR(__xludf.DUMMYFUNCTION("""COMPUTED_VALUE"""),44745.675687592586)</f>
        <v>44745.67569</v>
      </c>
      <c r="G631" s="24" t="str">
        <f>IFERROR(__xludf.DUMMYFUNCTION("""COMPUTED_VALUE"""),"Anna Nicosia")</f>
        <v>Anna Nicosia</v>
      </c>
      <c r="H631" s="24">
        <f>IFERROR(__xludf.DUMMYFUNCTION("""COMPUTED_VALUE"""),3.0)</f>
        <v>3</v>
      </c>
      <c r="I631" s="24"/>
    </row>
    <row r="632">
      <c r="A632" s="23">
        <f>IFERROR(__xludf.DUMMYFUNCTION("""COMPUTED_VALUE"""),44825.69359145833)</f>
        <v>44825.69359</v>
      </c>
      <c r="B632" s="24" t="str">
        <f>IFERROR(__xludf.DUMMYFUNCTION("""COMPUTED_VALUE"""),"Claire")</f>
        <v>Claire</v>
      </c>
      <c r="C632" s="24">
        <f>IFERROR(__xludf.DUMMYFUNCTION("""COMPUTED_VALUE"""),631.0)</f>
        <v>631</v>
      </c>
      <c r="D632" s="24" t="str">
        <f>IFERROR(__xludf.DUMMYFUNCTION("""COMPUTED_VALUE"""),"First fruits farm ")</f>
        <v>First fruits farm </v>
      </c>
      <c r="F632" s="23">
        <f>IFERROR(__xludf.DUMMYFUNCTION("""COMPUTED_VALUE"""),44745.678266620365)</f>
        <v>44745.67827</v>
      </c>
      <c r="G632" s="24" t="str">
        <f>IFERROR(__xludf.DUMMYFUNCTION("""COMPUTED_VALUE"""),"Kaneesha ")</f>
        <v>Kaneesha </v>
      </c>
      <c r="H632" s="24">
        <f>IFERROR(__xludf.DUMMYFUNCTION("""COMPUTED_VALUE"""),20.0)</f>
        <v>20</v>
      </c>
      <c r="I632" s="24"/>
    </row>
    <row r="633">
      <c r="A633" s="23">
        <f>IFERROR(__xludf.DUMMYFUNCTION("""COMPUTED_VALUE"""),44825.693898831014)</f>
        <v>44825.6939</v>
      </c>
      <c r="B633" s="24" t="str">
        <f>IFERROR(__xludf.DUMMYFUNCTION("""COMPUTED_VALUE"""),"Claire")</f>
        <v>Claire</v>
      </c>
      <c r="C633" s="24">
        <f>IFERROR(__xludf.DUMMYFUNCTION("""COMPUTED_VALUE"""),546.0)</f>
        <v>546</v>
      </c>
      <c r="D633" s="24" t="str">
        <f>IFERROR(__xludf.DUMMYFUNCTION("""COMPUTED_VALUE"""),"First fruits farm")</f>
        <v>First fruits farm</v>
      </c>
      <c r="F633" s="23">
        <f>IFERROR(__xludf.DUMMYFUNCTION("""COMPUTED_VALUE"""),44745.678487129626)</f>
        <v>44745.67849</v>
      </c>
      <c r="G633" s="24" t="str">
        <f>IFERROR(__xludf.DUMMYFUNCTION("""COMPUTED_VALUE"""),"Kaneesha (extra)")</f>
        <v>Kaneesha (extra)</v>
      </c>
      <c r="H633" s="24">
        <f>IFERROR(__xludf.DUMMYFUNCTION("""COMPUTED_VALUE"""),21.0)</f>
        <v>21</v>
      </c>
      <c r="I633" s="24"/>
    </row>
    <row r="634">
      <c r="A634" s="23">
        <f>IFERROR(__xludf.DUMMYFUNCTION("""COMPUTED_VALUE"""),44825.69426640047)</f>
        <v>44825.69427</v>
      </c>
      <c r="B634" s="24" t="str">
        <f>IFERROR(__xludf.DUMMYFUNCTION("""COMPUTED_VALUE"""),"Claire")</f>
        <v>Claire</v>
      </c>
      <c r="C634" s="24">
        <f>IFERROR(__xludf.DUMMYFUNCTION("""COMPUTED_VALUE"""),513.0)</f>
        <v>513</v>
      </c>
      <c r="D634" s="24" t="str">
        <f>IFERROR(__xludf.DUMMYFUNCTION("""COMPUTED_VALUE"""),"First fruits farm")</f>
        <v>First fruits farm</v>
      </c>
      <c r="F634" s="23">
        <f>IFERROR(__xludf.DUMMYFUNCTION("""COMPUTED_VALUE"""),44745.697990162036)</f>
        <v>44745.69799</v>
      </c>
      <c r="G634" s="24" t="str">
        <f>IFERROR(__xludf.DUMMYFUNCTION("""COMPUTED_VALUE"""),"Zoe")</f>
        <v>Zoe</v>
      </c>
      <c r="H634" s="24">
        <f>IFERROR(__xludf.DUMMYFUNCTION("""COMPUTED_VALUE"""),15.0)</f>
        <v>15</v>
      </c>
      <c r="I634" s="24" t="str">
        <f>IFERROR(__xludf.DUMMYFUNCTION("""COMPUTED_VALUE"""),"Ausar’s Food donations")</f>
        <v>Ausar’s Food donations</v>
      </c>
    </row>
    <row r="635">
      <c r="A635" s="23">
        <f>IFERROR(__xludf.DUMMYFUNCTION("""COMPUTED_VALUE"""),44825.694535277784)</f>
        <v>44825.69454</v>
      </c>
      <c r="B635" s="24" t="str">
        <f>IFERROR(__xludf.DUMMYFUNCTION("""COMPUTED_VALUE"""),"Claire")</f>
        <v>Claire</v>
      </c>
      <c r="C635" s="24">
        <f>IFERROR(__xludf.DUMMYFUNCTION("""COMPUTED_VALUE"""),1261.0)</f>
        <v>1261</v>
      </c>
      <c r="D635" s="24" t="str">
        <f>IFERROR(__xludf.DUMMYFUNCTION("""COMPUTED_VALUE"""),"First fruits farm")</f>
        <v>First fruits farm</v>
      </c>
      <c r="F635" s="23">
        <f>IFERROR(__xludf.DUMMYFUNCTION("""COMPUTED_VALUE"""),44745.69853001158)</f>
        <v>44745.69853</v>
      </c>
      <c r="G635" s="24" t="str">
        <f>IFERROR(__xludf.DUMMYFUNCTION("""COMPUTED_VALUE"""),"Zoe")</f>
        <v>Zoe</v>
      </c>
      <c r="H635" s="24">
        <f>IFERROR(__xludf.DUMMYFUNCTION("""COMPUTED_VALUE"""),817.0)</f>
        <v>817</v>
      </c>
      <c r="I635" s="24" t="str">
        <f>IFERROR(__xludf.DUMMYFUNCTION("""COMPUTED_VALUE"""),"Amazon")</f>
        <v>Amazon</v>
      </c>
    </row>
    <row r="636">
      <c r="A636" s="23">
        <f>IFERROR(__xludf.DUMMYFUNCTION("""COMPUTED_VALUE"""),44825.69475059028)</f>
        <v>44825.69475</v>
      </c>
      <c r="B636" s="24" t="str">
        <f>IFERROR(__xludf.DUMMYFUNCTION("""COMPUTED_VALUE"""),"Claire")</f>
        <v>Claire</v>
      </c>
      <c r="C636" s="24">
        <f>IFERROR(__xludf.DUMMYFUNCTION("""COMPUTED_VALUE"""),995.0)</f>
        <v>995</v>
      </c>
      <c r="D636" s="24" t="str">
        <f>IFERROR(__xludf.DUMMYFUNCTION("""COMPUTED_VALUE"""),"First fruits farm")</f>
        <v>First fruits farm</v>
      </c>
      <c r="F636" s="23">
        <f>IFERROR(__xludf.DUMMYFUNCTION("""COMPUTED_VALUE"""),44745.69905445602)</f>
        <v>44745.69905</v>
      </c>
      <c r="G636" s="24" t="str">
        <f>IFERROR(__xludf.DUMMYFUNCTION("""COMPUTED_VALUE"""),"Zoe")</f>
        <v>Zoe</v>
      </c>
      <c r="H636" s="24">
        <f>IFERROR(__xludf.DUMMYFUNCTION("""COMPUTED_VALUE"""),713.0)</f>
        <v>713</v>
      </c>
      <c r="I636" s="24" t="str">
        <f>IFERROR(__xludf.DUMMYFUNCTION("""COMPUTED_VALUE"""),"Amazon")</f>
        <v>Amazon</v>
      </c>
    </row>
    <row r="637">
      <c r="A637" s="23">
        <f>IFERROR(__xludf.DUMMYFUNCTION("""COMPUTED_VALUE"""),44825.69497048611)</f>
        <v>44825.69497</v>
      </c>
      <c r="B637" s="24" t="str">
        <f>IFERROR(__xludf.DUMMYFUNCTION("""COMPUTED_VALUE"""),"Claire")</f>
        <v>Claire</v>
      </c>
      <c r="C637" s="24">
        <f>IFERROR(__xludf.DUMMYFUNCTION("""COMPUTED_VALUE"""),977.0)</f>
        <v>977</v>
      </c>
      <c r="D637" s="24" t="str">
        <f>IFERROR(__xludf.DUMMYFUNCTION("""COMPUTED_VALUE"""),"First fruits farm")</f>
        <v>First fruits farm</v>
      </c>
      <c r="F637" s="23">
        <f>IFERROR(__xludf.DUMMYFUNCTION("""COMPUTED_VALUE"""),44745.69936011574)</f>
        <v>44745.69936</v>
      </c>
      <c r="G637" s="24" t="str">
        <f>IFERROR(__xludf.DUMMYFUNCTION("""COMPUTED_VALUE"""),"Zoe")</f>
        <v>Zoe</v>
      </c>
      <c r="H637" s="24">
        <f>IFERROR(__xludf.DUMMYFUNCTION("""COMPUTED_VALUE"""),832.0)</f>
        <v>832</v>
      </c>
      <c r="I637" s="24" t="str">
        <f>IFERROR(__xludf.DUMMYFUNCTION("""COMPUTED_VALUE"""),"Amazon")</f>
        <v>Amazon</v>
      </c>
    </row>
    <row r="638">
      <c r="A638" s="23">
        <f>IFERROR(__xludf.DUMMYFUNCTION("""COMPUTED_VALUE"""),44825.695202627314)</f>
        <v>44825.6952</v>
      </c>
      <c r="B638" s="24" t="str">
        <f>IFERROR(__xludf.DUMMYFUNCTION("""COMPUTED_VALUE"""),"Claire")</f>
        <v>Claire</v>
      </c>
      <c r="C638" s="24">
        <f>IFERROR(__xludf.DUMMYFUNCTION("""COMPUTED_VALUE"""),997.0)</f>
        <v>997</v>
      </c>
      <c r="D638" s="24" t="str">
        <f>IFERROR(__xludf.DUMMYFUNCTION("""COMPUTED_VALUE"""),"First fruits farm")</f>
        <v>First fruits farm</v>
      </c>
      <c r="F638" s="23">
        <f>IFERROR(__xludf.DUMMYFUNCTION("""COMPUTED_VALUE"""),44745.70239712963)</f>
        <v>44745.7024</v>
      </c>
      <c r="G638" s="24" t="str">
        <f>IFERROR(__xludf.DUMMYFUNCTION("""COMPUTED_VALUE"""),"Zoe")</f>
        <v>Zoe</v>
      </c>
      <c r="H638" s="24">
        <f>IFERROR(__xludf.DUMMYFUNCTION("""COMPUTED_VALUE"""),1141.0)</f>
        <v>1141</v>
      </c>
      <c r="I638" s="24" t="str">
        <f>IFERROR(__xludf.DUMMYFUNCTION("""COMPUTED_VALUE"""),"Amazon")</f>
        <v>Amazon</v>
      </c>
    </row>
    <row r="639">
      <c r="A639" s="23">
        <f>IFERROR(__xludf.DUMMYFUNCTION("""COMPUTED_VALUE"""),44825.83547936343)</f>
        <v>44825.83548</v>
      </c>
      <c r="B639" s="24" t="str">
        <f>IFERROR(__xludf.DUMMYFUNCTION("""COMPUTED_VALUE"""),"Claire")</f>
        <v>Claire</v>
      </c>
      <c r="C639" s="24">
        <f>IFERROR(__xludf.DUMMYFUNCTION("""COMPUTED_VALUE"""),211.0)</f>
        <v>211</v>
      </c>
      <c r="D639" s="24" t="str">
        <f>IFERROR(__xludf.DUMMYFUNCTION("""COMPUTED_VALUE"""),"Amazon")</f>
        <v>Amazon</v>
      </c>
      <c r="F639" s="23">
        <f>IFERROR(__xludf.DUMMYFUNCTION("""COMPUTED_VALUE"""),44745.70264769676)</f>
        <v>44745.70265</v>
      </c>
      <c r="G639" s="24" t="str">
        <f>IFERROR(__xludf.DUMMYFUNCTION("""COMPUTED_VALUE"""),"Zoe")</f>
        <v>Zoe</v>
      </c>
      <c r="H639" s="24">
        <f>IFERROR(__xludf.DUMMYFUNCTION("""COMPUTED_VALUE"""),690.0)</f>
        <v>690</v>
      </c>
      <c r="I639" s="24" t="str">
        <f>IFERROR(__xludf.DUMMYFUNCTION("""COMPUTED_VALUE"""),"Amazon")</f>
        <v>Amazon</v>
      </c>
    </row>
    <row r="640">
      <c r="A640" s="23">
        <f>IFERROR(__xludf.DUMMYFUNCTION("""COMPUTED_VALUE"""),44825.83576167824)</f>
        <v>44825.83576</v>
      </c>
      <c r="B640" s="24" t="str">
        <f>IFERROR(__xludf.DUMMYFUNCTION("""COMPUTED_VALUE"""),"Claire")</f>
        <v>Claire</v>
      </c>
      <c r="C640" s="24">
        <f>IFERROR(__xludf.DUMMYFUNCTION("""COMPUTED_VALUE"""),803.0)</f>
        <v>803</v>
      </c>
      <c r="D640" s="24" t="str">
        <f>IFERROR(__xludf.DUMMYFUNCTION("""COMPUTED_VALUE"""),"Amazon")</f>
        <v>Amazon</v>
      </c>
      <c r="F640" s="23">
        <f>IFERROR(__xludf.DUMMYFUNCTION("""COMPUTED_VALUE"""),44745.70388732639)</f>
        <v>44745.70389</v>
      </c>
      <c r="G640" s="24" t="str">
        <f>IFERROR(__xludf.DUMMYFUNCTION("""COMPUTED_VALUE"""),"Zoe")</f>
        <v>Zoe</v>
      </c>
      <c r="H640" s="24">
        <f>IFERROR(__xludf.DUMMYFUNCTION("""COMPUTED_VALUE"""),140.0)</f>
        <v>140</v>
      </c>
      <c r="I640" s="24" t="str">
        <f>IFERROR(__xludf.DUMMYFUNCTION("""COMPUTED_VALUE"""),"Assorted option")</f>
        <v>Assorted option</v>
      </c>
    </row>
    <row r="641">
      <c r="A641" s="23">
        <f>IFERROR(__xludf.DUMMYFUNCTION("""COMPUTED_VALUE"""),44825.836130613425)</f>
        <v>44825.83613</v>
      </c>
      <c r="B641" s="24" t="str">
        <f>IFERROR(__xludf.DUMMYFUNCTION("""COMPUTED_VALUE"""),"Claire")</f>
        <v>Claire</v>
      </c>
      <c r="C641" s="24">
        <f>IFERROR(__xludf.DUMMYFUNCTION("""COMPUTED_VALUE"""),652.0)</f>
        <v>652</v>
      </c>
      <c r="D641" s="24" t="str">
        <f>IFERROR(__xludf.DUMMYFUNCTION("""COMPUTED_VALUE"""),"Amazon")</f>
        <v>Amazon</v>
      </c>
      <c r="F641" s="23">
        <f>IFERROR(__xludf.DUMMYFUNCTION("""COMPUTED_VALUE"""),44745.70430754629)</f>
        <v>44745.70431</v>
      </c>
      <c r="G641" s="24" t="str">
        <f>IFERROR(__xludf.DUMMYFUNCTION("""COMPUTED_VALUE"""),"Zoe")</f>
        <v>Zoe</v>
      </c>
      <c r="H641" s="24">
        <f>IFERROR(__xludf.DUMMYFUNCTION("""COMPUTED_VALUE"""),-410.0)</f>
        <v>-410</v>
      </c>
      <c r="I641" s="24" t="str">
        <f>IFERROR(__xludf.DUMMYFUNCTION("""COMPUTED_VALUE"""),"Drinks")</f>
        <v>Drinks</v>
      </c>
    </row>
    <row r="642">
      <c r="A642" s="23">
        <f>IFERROR(__xludf.DUMMYFUNCTION("""COMPUTED_VALUE"""),44825.0)</f>
        <v>44825</v>
      </c>
      <c r="B642" s="24" t="str">
        <f>IFERROR(__xludf.DUMMYFUNCTION("""COMPUTED_VALUE"""),"Claire")</f>
        <v>Claire</v>
      </c>
      <c r="C642" s="24">
        <f>IFERROR(__xludf.DUMMYFUNCTION("""COMPUTED_VALUE"""),498.0)</f>
        <v>498</v>
      </c>
      <c r="D642" s="24" t="str">
        <f>IFERROR(__xludf.DUMMYFUNCTION("""COMPUTED_VALUE"""),"Amazon")</f>
        <v>Amazon</v>
      </c>
      <c r="F642" s="23">
        <f>IFERROR(__xludf.DUMMYFUNCTION("""COMPUTED_VALUE"""),44745.70501435185)</f>
        <v>44745.70501</v>
      </c>
      <c r="G642" s="24" t="str">
        <f>IFERROR(__xludf.DUMMYFUNCTION("""COMPUTED_VALUE"""),"Zoe")</f>
        <v>Zoe</v>
      </c>
      <c r="H642" s="24">
        <f>IFERROR(__xludf.DUMMYFUNCTION("""COMPUTED_VALUE"""),-73.0)</f>
        <v>-73</v>
      </c>
      <c r="I642" s="24" t="str">
        <f>IFERROR(__xludf.DUMMYFUNCTION("""COMPUTED_VALUE"""),"Snacks")</f>
        <v>Snacks</v>
      </c>
    </row>
    <row r="643">
      <c r="A643" s="23">
        <f>IFERROR(__xludf.DUMMYFUNCTION("""COMPUTED_VALUE"""),44825.83636769676)</f>
        <v>44825.83637</v>
      </c>
      <c r="B643" s="24" t="str">
        <f>IFERROR(__xludf.DUMMYFUNCTION("""COMPUTED_VALUE"""),"Claire")</f>
        <v>Claire</v>
      </c>
      <c r="C643" s="24">
        <f>IFERROR(__xludf.DUMMYFUNCTION("""COMPUTED_VALUE"""),554.0)</f>
        <v>554</v>
      </c>
      <c r="D643" s="24" t="str">
        <f>IFERROR(__xludf.DUMMYFUNCTION("""COMPUTED_VALUE"""),"Amazon")</f>
        <v>Amazon</v>
      </c>
      <c r="F643" s="23">
        <f>IFERROR(__xludf.DUMMYFUNCTION("""COMPUTED_VALUE"""),44745.705406712965)</f>
        <v>44745.70541</v>
      </c>
      <c r="G643" s="24" t="str">
        <f>IFERROR(__xludf.DUMMYFUNCTION("""COMPUTED_VALUE"""),"Zoe")</f>
        <v>Zoe</v>
      </c>
      <c r="H643" s="24">
        <f>IFERROR(__xludf.DUMMYFUNCTION("""COMPUTED_VALUE"""),-228.0)</f>
        <v>-228</v>
      </c>
      <c r="I643" s="24" t="str">
        <f>IFERROR(__xludf.DUMMYFUNCTION("""COMPUTED_VALUE"""),"Paper")</f>
        <v>Paper</v>
      </c>
    </row>
    <row r="644">
      <c r="A644" s="23">
        <f>IFERROR(__xludf.DUMMYFUNCTION("""COMPUTED_VALUE"""),44826.0)</f>
        <v>44826</v>
      </c>
      <c r="B644" s="24" t="str">
        <f>IFERROR(__xludf.DUMMYFUNCTION("""COMPUTED_VALUE"""),"Claire")</f>
        <v>Claire</v>
      </c>
      <c r="C644" s="24">
        <f>IFERROR(__xludf.DUMMYFUNCTION("""COMPUTED_VALUE"""),396.0)</f>
        <v>396</v>
      </c>
      <c r="D644" s="24" t="str">
        <f>IFERROR(__xludf.DUMMYFUNCTION("""COMPUTED_VALUE"""),"Whitebox ")</f>
        <v>Whitebox </v>
      </c>
      <c r="F644" s="23">
        <f>IFERROR(__xludf.DUMMYFUNCTION("""COMPUTED_VALUE"""),44745.705769733795)</f>
        <v>44745.70577</v>
      </c>
      <c r="G644" s="24" t="str">
        <f>IFERROR(__xludf.DUMMYFUNCTION("""COMPUTED_VALUE"""),"Zoe")</f>
        <v>Zoe</v>
      </c>
      <c r="H644" s="24">
        <f>IFERROR(__xludf.DUMMYFUNCTION("""COMPUTED_VALUE"""),-474.0)</f>
        <v>-474</v>
      </c>
      <c r="I644" s="24" t="str">
        <f>IFERROR(__xludf.DUMMYFUNCTION("""COMPUTED_VALUE"""),"Cleaning")</f>
        <v>Cleaning</v>
      </c>
    </row>
    <row r="645">
      <c r="A645" s="23">
        <f>IFERROR(__xludf.DUMMYFUNCTION("""COMPUTED_VALUE"""),44826.0)</f>
        <v>44826</v>
      </c>
      <c r="B645" s="24" t="str">
        <f>IFERROR(__xludf.DUMMYFUNCTION("""COMPUTED_VALUE"""),"Claire")</f>
        <v>Claire</v>
      </c>
      <c r="C645" s="24">
        <f>IFERROR(__xludf.DUMMYFUNCTION("""COMPUTED_VALUE"""),291.0)</f>
        <v>291</v>
      </c>
      <c r="D645" s="24" t="str">
        <f>IFERROR(__xludf.DUMMYFUNCTION("""COMPUTED_VALUE"""),"Whitebox ")</f>
        <v>Whitebox </v>
      </c>
      <c r="F645" s="23">
        <f>IFERROR(__xludf.DUMMYFUNCTION("""COMPUTED_VALUE"""),44745.70604443287)</f>
        <v>44745.70604</v>
      </c>
      <c r="G645" s="24" t="str">
        <f>IFERROR(__xludf.DUMMYFUNCTION("""COMPUTED_VALUE"""),"Zoe")</f>
        <v>Zoe</v>
      </c>
      <c r="H645" s="24">
        <f>IFERROR(__xludf.DUMMYFUNCTION("""COMPUTED_VALUE"""),-188.0)</f>
        <v>-188</v>
      </c>
      <c r="I645" s="24" t="str">
        <f>IFERROR(__xludf.DUMMYFUNCTION("""COMPUTED_VALUE"""),"Grains (rice, pasta, etc.)")</f>
        <v>Grains (rice, pasta, etc.)</v>
      </c>
    </row>
    <row r="646">
      <c r="A646" s="23">
        <f>IFERROR(__xludf.DUMMYFUNCTION("""COMPUTED_VALUE"""),44826.0)</f>
        <v>44826</v>
      </c>
      <c r="B646" s="24" t="str">
        <f>IFERROR(__xludf.DUMMYFUNCTION("""COMPUTED_VALUE"""),"Claire")</f>
        <v>Claire</v>
      </c>
      <c r="C646" s="24">
        <f>IFERROR(__xludf.DUMMYFUNCTION("""COMPUTED_VALUE"""),412.0)</f>
        <v>412</v>
      </c>
      <c r="D646" s="24" t="str">
        <f>IFERROR(__xludf.DUMMYFUNCTION("""COMPUTED_VALUE"""),"Whitebox ")</f>
        <v>Whitebox </v>
      </c>
      <c r="F646" s="23">
        <f>IFERROR(__xludf.DUMMYFUNCTION("""COMPUTED_VALUE"""),44745.7067540162)</f>
        <v>44745.70675</v>
      </c>
      <c r="G646" s="24" t="str">
        <f>IFERROR(__xludf.DUMMYFUNCTION("""COMPUTED_VALUE"""),"Zoe")</f>
        <v>Zoe</v>
      </c>
      <c r="H646" s="24">
        <f>IFERROR(__xludf.DUMMYFUNCTION("""COMPUTED_VALUE"""),228.0)</f>
        <v>228</v>
      </c>
      <c r="I646" s="24" t="str">
        <f>IFERROR(__xludf.DUMMYFUNCTION("""COMPUTED_VALUE"""),"Paper")</f>
        <v>Paper</v>
      </c>
    </row>
    <row r="647">
      <c r="A647" s="23">
        <f>IFERROR(__xludf.DUMMYFUNCTION("""COMPUTED_VALUE"""),44826.0)</f>
        <v>44826</v>
      </c>
      <c r="B647" s="24" t="str">
        <f>IFERROR(__xludf.DUMMYFUNCTION("""COMPUTED_VALUE"""),"Claire")</f>
        <v>Claire</v>
      </c>
      <c r="C647" s="24">
        <f>IFERROR(__xludf.DUMMYFUNCTION("""COMPUTED_VALUE"""),380.0)</f>
        <v>380</v>
      </c>
      <c r="D647" s="24" t="str">
        <f>IFERROR(__xludf.DUMMYFUNCTION("""COMPUTED_VALUE"""),"Whitebox ")</f>
        <v>Whitebox </v>
      </c>
      <c r="F647" s="23">
        <f>IFERROR(__xludf.DUMMYFUNCTION("""COMPUTED_VALUE"""),44745.70791748843)</f>
        <v>44745.70792</v>
      </c>
      <c r="G647" s="24" t="str">
        <f>IFERROR(__xludf.DUMMYFUNCTION("""COMPUTED_VALUE"""),"Zoe")</f>
        <v>Zoe</v>
      </c>
      <c r="H647" s="24">
        <f>IFERROR(__xludf.DUMMYFUNCTION("""COMPUTED_VALUE"""),410.0)</f>
        <v>410</v>
      </c>
      <c r="I647" s="24" t="str">
        <f>IFERROR(__xludf.DUMMYFUNCTION("""COMPUTED_VALUE"""),"Drinks")</f>
        <v>Drinks</v>
      </c>
    </row>
    <row r="648">
      <c r="A648" s="23">
        <f>IFERROR(__xludf.DUMMYFUNCTION("""COMPUTED_VALUE"""),44826.0)</f>
        <v>44826</v>
      </c>
      <c r="B648" s="24" t="str">
        <f>IFERROR(__xludf.DUMMYFUNCTION("""COMPUTED_VALUE"""),"Claire")</f>
        <v>Claire</v>
      </c>
      <c r="C648" s="24">
        <f>IFERROR(__xludf.DUMMYFUNCTION("""COMPUTED_VALUE"""),596.0)</f>
        <v>596</v>
      </c>
      <c r="D648" s="24" t="str">
        <f>IFERROR(__xludf.DUMMYFUNCTION("""COMPUTED_VALUE"""),"Whitebox ")</f>
        <v>Whitebox </v>
      </c>
      <c r="F648" s="23">
        <f>IFERROR(__xludf.DUMMYFUNCTION("""COMPUTED_VALUE"""),44745.70902895833)</f>
        <v>44745.70903</v>
      </c>
      <c r="G648" s="24" t="str">
        <f>IFERROR(__xludf.DUMMYFUNCTION("""COMPUTED_VALUE"""),"Zoe")</f>
        <v>Zoe</v>
      </c>
      <c r="H648" s="24">
        <f>IFERROR(__xludf.DUMMYFUNCTION("""COMPUTED_VALUE"""),99.0)</f>
        <v>99</v>
      </c>
      <c r="I648" s="24" t="str">
        <f>IFERROR(__xludf.DUMMYFUNCTION("""COMPUTED_VALUE"""),"Frozen")</f>
        <v>Frozen</v>
      </c>
    </row>
    <row r="649">
      <c r="A649" s="23">
        <f>IFERROR(__xludf.DUMMYFUNCTION("""COMPUTED_VALUE"""),44826.0)</f>
        <v>44826</v>
      </c>
      <c r="B649" s="24" t="str">
        <f>IFERROR(__xludf.DUMMYFUNCTION("""COMPUTED_VALUE"""),"Claire")</f>
        <v>Claire</v>
      </c>
      <c r="C649" s="24">
        <f>IFERROR(__xludf.DUMMYFUNCTION("""COMPUTED_VALUE"""),271.0)</f>
        <v>271</v>
      </c>
      <c r="D649" s="24" t="str">
        <f>IFERROR(__xludf.DUMMYFUNCTION("""COMPUTED_VALUE"""),"Whitebox ")</f>
        <v>Whitebox </v>
      </c>
      <c r="F649" s="23">
        <f>IFERROR(__xludf.DUMMYFUNCTION("""COMPUTED_VALUE"""),44745.710380254626)</f>
        <v>44745.71038</v>
      </c>
      <c r="G649" s="24" t="str">
        <f>IFERROR(__xludf.DUMMYFUNCTION("""COMPUTED_VALUE"""),"Ausar ")</f>
        <v>Ausar </v>
      </c>
      <c r="H649" s="24">
        <f>IFERROR(__xludf.DUMMYFUNCTION("""COMPUTED_VALUE"""),41.0)</f>
        <v>41</v>
      </c>
      <c r="I649" s="24" t="str">
        <f>IFERROR(__xludf.DUMMYFUNCTION("""COMPUTED_VALUE"""),"Baby products ")</f>
        <v>Baby products </v>
      </c>
    </row>
    <row r="650">
      <c r="A650" s="23">
        <f>IFERROR(__xludf.DUMMYFUNCTION("""COMPUTED_VALUE"""),44826.75338681713)</f>
        <v>44826.75339</v>
      </c>
      <c r="B650" s="24"/>
      <c r="C650" s="24">
        <f>IFERROR(__xludf.DUMMYFUNCTION("""COMPUTED_VALUE"""),109.0)</f>
        <v>109</v>
      </c>
      <c r="D650" s="24" t="str">
        <f>IFERROR(__xludf.DUMMYFUNCTION("""COMPUTED_VALUE"""),"Amazon")</f>
        <v>Amazon</v>
      </c>
      <c r="F650" s="23">
        <f>IFERROR(__xludf.DUMMYFUNCTION("""COMPUTED_VALUE"""),44745.7129855324)</f>
        <v>44745.71299</v>
      </c>
      <c r="G650" s="24" t="str">
        <f>IFERROR(__xludf.DUMMYFUNCTION("""COMPUTED_VALUE"""),"Zoe")</f>
        <v>Zoe</v>
      </c>
      <c r="H650" s="24">
        <f>IFERROR(__xludf.DUMMYFUNCTION("""COMPUTED_VALUE"""),13.0)</f>
        <v>13</v>
      </c>
      <c r="I650" s="24"/>
    </row>
    <row r="651">
      <c r="A651" s="23">
        <f>IFERROR(__xludf.DUMMYFUNCTION("""COMPUTED_VALUE"""),44826.753606979175)</f>
        <v>44826.75361</v>
      </c>
      <c r="B651" s="24"/>
      <c r="C651" s="24">
        <f>IFERROR(__xludf.DUMMYFUNCTION("""COMPUTED_VALUE"""),508.0)</f>
        <v>508</v>
      </c>
      <c r="D651" s="24" t="str">
        <f>IFERROR(__xludf.DUMMYFUNCTION("""COMPUTED_VALUE"""),"Amazon")</f>
        <v>Amazon</v>
      </c>
      <c r="F651" s="23">
        <f>IFERROR(__xludf.DUMMYFUNCTION("""COMPUTED_VALUE"""),44745.714328043985)</f>
        <v>44745.71433</v>
      </c>
      <c r="G651" s="24" t="str">
        <f>IFERROR(__xludf.DUMMYFUNCTION("""COMPUTED_VALUE"""),"Ausar ")</f>
        <v>Ausar </v>
      </c>
      <c r="H651" s="24">
        <f>IFERROR(__xludf.DUMMYFUNCTION("""COMPUTED_VALUE"""),634.0)</f>
        <v>634</v>
      </c>
      <c r="I651" s="24" t="str">
        <f>IFERROR(__xludf.DUMMYFUNCTION("""COMPUTED_VALUE"""),"Frozen")</f>
        <v>Frozen</v>
      </c>
    </row>
    <row r="652">
      <c r="A652" s="23">
        <f>IFERROR(__xludf.DUMMYFUNCTION("""COMPUTED_VALUE"""),44826.753816805554)</f>
        <v>44826.75382</v>
      </c>
      <c r="B652" s="24"/>
      <c r="C652" s="24">
        <f>IFERROR(__xludf.DUMMYFUNCTION("""COMPUTED_VALUE"""),546.0)</f>
        <v>546</v>
      </c>
      <c r="D652" s="24" t="str">
        <f>IFERROR(__xludf.DUMMYFUNCTION("""COMPUTED_VALUE"""),"Amazon")</f>
        <v>Amazon</v>
      </c>
      <c r="F652" s="23">
        <f>IFERROR(__xludf.DUMMYFUNCTION("""COMPUTED_VALUE"""),44745.715356666675)</f>
        <v>44745.71536</v>
      </c>
      <c r="G652" s="24" t="str">
        <f>IFERROR(__xludf.DUMMYFUNCTION("""COMPUTED_VALUE"""),"Ausar ")</f>
        <v>Ausar </v>
      </c>
      <c r="H652" s="24">
        <f>IFERROR(__xludf.DUMMYFUNCTION("""COMPUTED_VALUE"""),45.0)</f>
        <v>45</v>
      </c>
      <c r="I652" s="24" t="str">
        <f>IFERROR(__xludf.DUMMYFUNCTION("""COMPUTED_VALUE"""),"Meds &amp; mouthwash ")</f>
        <v>Meds &amp; mouthwash </v>
      </c>
    </row>
    <row r="653">
      <c r="A653" s="23">
        <f>IFERROR(__xludf.DUMMYFUNCTION("""COMPUTED_VALUE"""),44826.754097916666)</f>
        <v>44826.7541</v>
      </c>
      <c r="B653" s="24"/>
      <c r="C653" s="24">
        <f>IFERROR(__xludf.DUMMYFUNCTION("""COMPUTED_VALUE"""),500.0)</f>
        <v>500</v>
      </c>
      <c r="D653" s="24" t="str">
        <f>IFERROR(__xludf.DUMMYFUNCTION("""COMPUTED_VALUE"""),"Amazon")</f>
        <v>Amazon</v>
      </c>
      <c r="F653" s="23">
        <f>IFERROR(__xludf.DUMMYFUNCTION("""COMPUTED_VALUE"""),44745.715834236114)</f>
        <v>44745.71583</v>
      </c>
      <c r="G653" s="24" t="str">
        <f>IFERROR(__xludf.DUMMYFUNCTION("""COMPUTED_VALUE"""),"Ausar ")</f>
        <v>Ausar </v>
      </c>
      <c r="H653" s="24">
        <f>IFERROR(__xludf.DUMMYFUNCTION("""COMPUTED_VALUE"""),328.0)</f>
        <v>328</v>
      </c>
      <c r="I653" s="24" t="str">
        <f>IFERROR(__xludf.DUMMYFUNCTION("""COMPUTED_VALUE"""),"Pet food")</f>
        <v>Pet food</v>
      </c>
    </row>
    <row r="654">
      <c r="A654" s="23">
        <f>IFERROR(__xludf.DUMMYFUNCTION("""COMPUTED_VALUE"""),44829.530232280085)</f>
        <v>44829.53023</v>
      </c>
      <c r="B654" s="24" t="str">
        <f>IFERROR(__xludf.DUMMYFUNCTION("""COMPUTED_VALUE"""),"Dorja")</f>
        <v>Dorja</v>
      </c>
      <c r="C654" s="24">
        <f>IFERROR(__xludf.DUMMYFUNCTION("""COMPUTED_VALUE"""),445.0)</f>
        <v>445</v>
      </c>
      <c r="D654" s="24" t="str">
        <f>IFERROR(__xludf.DUMMYFUNCTION("""COMPUTED_VALUE"""),"Amazon")</f>
        <v>Amazon</v>
      </c>
      <c r="F654" s="23">
        <f>IFERROR(__xludf.DUMMYFUNCTION("""COMPUTED_VALUE"""),44745.71646015046)</f>
        <v>44745.71646</v>
      </c>
      <c r="G654" s="24" t="str">
        <f>IFERROR(__xludf.DUMMYFUNCTION("""COMPUTED_VALUE"""),"Ausar ")</f>
        <v>Ausar </v>
      </c>
      <c r="H654" s="24">
        <f>IFERROR(__xludf.DUMMYFUNCTION("""COMPUTED_VALUE"""),365.0)</f>
        <v>365</v>
      </c>
      <c r="I654" s="24" t="str">
        <f>IFERROR(__xludf.DUMMYFUNCTION("""COMPUTED_VALUE"""),"Produce")</f>
        <v>Produce</v>
      </c>
    </row>
    <row r="655">
      <c r="A655" s="23">
        <f>IFERROR(__xludf.DUMMYFUNCTION("""COMPUTED_VALUE"""),44829.534916585646)</f>
        <v>44829.53492</v>
      </c>
      <c r="B655" s="24" t="str">
        <f>IFERROR(__xludf.DUMMYFUNCTION("""COMPUTED_VALUE"""),"Dorja ")</f>
        <v>Dorja </v>
      </c>
      <c r="C655" s="24">
        <f>IFERROR(__xludf.DUMMYFUNCTION("""COMPUTED_VALUE"""),654.0)</f>
        <v>654</v>
      </c>
      <c r="D655" s="24" t="str">
        <f>IFERROR(__xludf.DUMMYFUNCTION("""COMPUTED_VALUE"""),"Amazon")</f>
        <v>Amazon</v>
      </c>
      <c r="F655" s="23">
        <f>IFERROR(__xludf.DUMMYFUNCTION("""COMPUTED_VALUE"""),44745.71686303241)</f>
        <v>44745.71686</v>
      </c>
      <c r="G655" s="24" t="str">
        <f>IFERROR(__xludf.DUMMYFUNCTION("""COMPUTED_VALUE"""),"Ausar ")</f>
        <v>Ausar </v>
      </c>
      <c r="H655" s="24">
        <f>IFERROR(__xludf.DUMMYFUNCTION("""COMPUTED_VALUE"""),277.0)</f>
        <v>277</v>
      </c>
      <c r="I655" s="24" t="str">
        <f>IFERROR(__xludf.DUMMYFUNCTION("""COMPUTED_VALUE"""),"Assorted option")</f>
        <v>Assorted option</v>
      </c>
    </row>
    <row r="656">
      <c r="A656" s="23">
        <f>IFERROR(__xludf.DUMMYFUNCTION("""COMPUTED_VALUE"""),44829.5430775463)</f>
        <v>44829.54308</v>
      </c>
      <c r="B656" s="24" t="str">
        <f>IFERROR(__xludf.DUMMYFUNCTION("""COMPUTED_VALUE"""),"Dorja")</f>
        <v>Dorja</v>
      </c>
      <c r="C656" s="24">
        <f>IFERROR(__xludf.DUMMYFUNCTION("""COMPUTED_VALUE"""),229.0)</f>
        <v>229</v>
      </c>
      <c r="D656" s="24" t="str">
        <f>IFERROR(__xludf.DUMMYFUNCTION("""COMPUTED_VALUE"""),"Amazon")</f>
        <v>Amazon</v>
      </c>
      <c r="F656" s="23">
        <f>IFERROR(__xludf.DUMMYFUNCTION("""COMPUTED_VALUE"""),44745.71738657408)</f>
        <v>44745.71739</v>
      </c>
      <c r="G656" s="24" t="str">
        <f>IFERROR(__xludf.DUMMYFUNCTION("""COMPUTED_VALUE"""),"Ausar ")</f>
        <v>Ausar </v>
      </c>
      <c r="H656" s="24">
        <f>IFERROR(__xludf.DUMMYFUNCTION("""COMPUTED_VALUE"""),73.0)</f>
        <v>73</v>
      </c>
      <c r="I656" s="24" t="str">
        <f>IFERROR(__xludf.DUMMYFUNCTION("""COMPUTED_VALUE"""),"Snacks")</f>
        <v>Snacks</v>
      </c>
    </row>
    <row r="657">
      <c r="A657" s="23">
        <f>IFERROR(__xludf.DUMMYFUNCTION("""COMPUTED_VALUE"""),44829.545586712964)</f>
        <v>44829.54559</v>
      </c>
      <c r="B657" s="24" t="str">
        <f>IFERROR(__xludf.DUMMYFUNCTION("""COMPUTED_VALUE"""),"Dorja ")</f>
        <v>Dorja </v>
      </c>
      <c r="C657" s="24">
        <f>IFERROR(__xludf.DUMMYFUNCTION("""COMPUTED_VALUE"""),447.0)</f>
        <v>447</v>
      </c>
      <c r="D657" s="24" t="str">
        <f>IFERROR(__xludf.DUMMYFUNCTION("""COMPUTED_VALUE"""),"Amazon")</f>
        <v>Amazon</v>
      </c>
      <c r="F657" s="23">
        <f>IFERROR(__xludf.DUMMYFUNCTION("""COMPUTED_VALUE"""),44745.718284814815)</f>
        <v>44745.71828</v>
      </c>
      <c r="G657" s="24" t="str">
        <f>IFERROR(__xludf.DUMMYFUNCTION("""COMPUTED_VALUE"""),"Ausar ")</f>
        <v>Ausar </v>
      </c>
      <c r="H657" s="24">
        <f>IFERROR(__xludf.DUMMYFUNCTION("""COMPUTED_VALUE"""),68.0)</f>
        <v>68</v>
      </c>
      <c r="I657" s="24" t="str">
        <f>IFERROR(__xludf.DUMMYFUNCTION("""COMPUTED_VALUE"""),"Flour ")</f>
        <v>Flour </v>
      </c>
    </row>
    <row r="658">
      <c r="A658" s="23">
        <f>IFERROR(__xludf.DUMMYFUNCTION("""COMPUTED_VALUE"""),44829.55204246528)</f>
        <v>44829.55204</v>
      </c>
      <c r="B658" s="24" t="str">
        <f>IFERROR(__xludf.DUMMYFUNCTION("""COMPUTED_VALUE"""),"Dorja ")</f>
        <v>Dorja </v>
      </c>
      <c r="C658" s="24">
        <f>IFERROR(__xludf.DUMMYFUNCTION("""COMPUTED_VALUE"""),562.0)</f>
        <v>562</v>
      </c>
      <c r="D658" s="24" t="str">
        <f>IFERROR(__xludf.DUMMYFUNCTION("""COMPUTED_VALUE"""),"Amazon")</f>
        <v>Amazon</v>
      </c>
      <c r="F658" s="23">
        <f>IFERROR(__xludf.DUMMYFUNCTION("""COMPUTED_VALUE"""),44745.71865930555)</f>
        <v>44745.71866</v>
      </c>
      <c r="G658" s="24" t="str">
        <f>IFERROR(__xludf.DUMMYFUNCTION("""COMPUTED_VALUE"""),"Ausar ")</f>
        <v>Ausar </v>
      </c>
      <c r="H658" s="24">
        <f>IFERROR(__xludf.DUMMYFUNCTION("""COMPUTED_VALUE"""),278.0)</f>
        <v>278</v>
      </c>
      <c r="I658" s="24" t="str">
        <f>IFERROR(__xludf.DUMMYFUNCTION("""COMPUTED_VALUE"""),"Assorted option")</f>
        <v>Assorted option</v>
      </c>
    </row>
    <row r="659">
      <c r="A659" s="23">
        <f>IFERROR(__xludf.DUMMYFUNCTION("""COMPUTED_VALUE"""),44829.567876712965)</f>
        <v>44829.56788</v>
      </c>
      <c r="B659" s="24" t="str">
        <f>IFERROR(__xludf.DUMMYFUNCTION("""COMPUTED_VALUE"""),"Dorja ")</f>
        <v>Dorja </v>
      </c>
      <c r="C659" s="24">
        <f>IFERROR(__xludf.DUMMYFUNCTION("""COMPUTED_VALUE"""),137.0)</f>
        <v>137</v>
      </c>
      <c r="D659" s="24" t="str">
        <f>IFERROR(__xludf.DUMMYFUNCTION("""COMPUTED_VALUE"""),"Homewood Friends")</f>
        <v>Homewood Friends</v>
      </c>
      <c r="F659" s="23">
        <f>IFERROR(__xludf.DUMMYFUNCTION("""COMPUTED_VALUE"""),44745.71954291666)</f>
        <v>44745.71954</v>
      </c>
      <c r="G659" s="24" t="str">
        <f>IFERROR(__xludf.DUMMYFUNCTION("""COMPUTED_VALUE"""),"Ausar ")</f>
        <v>Ausar </v>
      </c>
      <c r="H659" s="24">
        <f>IFERROR(__xludf.DUMMYFUNCTION("""COMPUTED_VALUE"""),307.0)</f>
        <v>307</v>
      </c>
      <c r="I659" s="24" t="str">
        <f>IFERROR(__xludf.DUMMYFUNCTION("""COMPUTED_VALUE"""),"Paper products ")</f>
        <v>Paper products </v>
      </c>
    </row>
    <row r="660">
      <c r="A660" s="23">
        <f>IFERROR(__xludf.DUMMYFUNCTION("""COMPUTED_VALUE"""),44829.56816126157)</f>
        <v>44829.56816</v>
      </c>
      <c r="B660" s="24" t="str">
        <f>IFERROR(__xludf.DUMMYFUNCTION("""COMPUTED_VALUE"""),"Dorja ")</f>
        <v>Dorja </v>
      </c>
      <c r="C660" s="24">
        <f>IFERROR(__xludf.DUMMYFUNCTION("""COMPUTED_VALUE"""),88.0)</f>
        <v>88</v>
      </c>
      <c r="D660" s="24" t="str">
        <f>IFERROR(__xludf.DUMMYFUNCTION("""COMPUTED_VALUE"""),"Homewood Friends")</f>
        <v>Homewood Friends</v>
      </c>
      <c r="F660" s="23">
        <f>IFERROR(__xludf.DUMMYFUNCTION("""COMPUTED_VALUE"""),44745.719888784726)</f>
        <v>44745.71989</v>
      </c>
      <c r="G660" s="24" t="str">
        <f>IFERROR(__xludf.DUMMYFUNCTION("""COMPUTED_VALUE"""),"Ausar ")</f>
        <v>Ausar </v>
      </c>
      <c r="H660" s="24">
        <f>IFERROR(__xludf.DUMMYFUNCTION("""COMPUTED_VALUE"""),285.0)</f>
        <v>285</v>
      </c>
      <c r="I660" s="24" t="str">
        <f>IFERROR(__xludf.DUMMYFUNCTION("""COMPUTED_VALUE"""),"Assorted option")</f>
        <v>Assorted option</v>
      </c>
    </row>
    <row r="661">
      <c r="A661" s="23">
        <f>IFERROR(__xludf.DUMMYFUNCTION("""COMPUTED_VALUE"""),44834.584268715276)</f>
        <v>44834.58427</v>
      </c>
      <c r="B661" s="24" t="str">
        <f>IFERROR(__xludf.DUMMYFUNCTION("""COMPUTED_VALUE"""),"Claire")</f>
        <v>Claire</v>
      </c>
      <c r="C661" s="24">
        <f>IFERROR(__xludf.DUMMYFUNCTION("""COMPUTED_VALUE"""),1496.0)</f>
        <v>1496</v>
      </c>
      <c r="D661" s="24" t="str">
        <f>IFERROR(__xludf.DUMMYFUNCTION("""COMPUTED_VALUE"""),"Whitebox")</f>
        <v>Whitebox</v>
      </c>
      <c r="F661" s="23">
        <f>IFERROR(__xludf.DUMMYFUNCTION("""COMPUTED_VALUE"""),44745.720274189815)</f>
        <v>44745.72027</v>
      </c>
      <c r="G661" s="24" t="str">
        <f>IFERROR(__xludf.DUMMYFUNCTION("""COMPUTED_VALUE"""),"Ausar ")</f>
        <v>Ausar </v>
      </c>
      <c r="H661" s="24">
        <f>IFERROR(__xludf.DUMMYFUNCTION("""COMPUTED_VALUE"""),15.0)</f>
        <v>15</v>
      </c>
      <c r="I661" s="24" t="str">
        <f>IFERROR(__xludf.DUMMYFUNCTION("""COMPUTED_VALUE"""),"Bread ")</f>
        <v>Bread </v>
      </c>
    </row>
    <row r="662">
      <c r="A662" s="23">
        <f>IFERROR(__xludf.DUMMYFUNCTION("""COMPUTED_VALUE"""),44834.584601076385)</f>
        <v>44834.5846</v>
      </c>
      <c r="B662" s="24" t="str">
        <f>IFERROR(__xludf.DUMMYFUNCTION("""COMPUTED_VALUE"""),"Claire")</f>
        <v>Claire</v>
      </c>
      <c r="C662" s="24">
        <f>IFERROR(__xludf.DUMMYFUNCTION("""COMPUTED_VALUE"""),1497.0)</f>
        <v>1497</v>
      </c>
      <c r="D662" s="24" t="str">
        <f>IFERROR(__xludf.DUMMYFUNCTION("""COMPUTED_VALUE"""),"Whitebox")</f>
        <v>Whitebox</v>
      </c>
      <c r="F662" s="23">
        <f>IFERROR(__xludf.DUMMYFUNCTION("""COMPUTED_VALUE"""),44745.72088320602)</f>
        <v>44745.72088</v>
      </c>
      <c r="G662" s="24" t="str">
        <f>IFERROR(__xludf.DUMMYFUNCTION("""COMPUTED_VALUE"""),"Ausar ")</f>
        <v>Ausar </v>
      </c>
      <c r="H662" s="24">
        <f>IFERROR(__xludf.DUMMYFUNCTION("""COMPUTED_VALUE"""),35.0)</f>
        <v>35</v>
      </c>
      <c r="I662" s="24" t="str">
        <f>IFERROR(__xludf.DUMMYFUNCTION("""COMPUTED_VALUE"""),"Can goods")</f>
        <v>Can goods</v>
      </c>
    </row>
    <row r="663">
      <c r="A663" s="23">
        <f>IFERROR(__xludf.DUMMYFUNCTION("""COMPUTED_VALUE"""),44834.584920821755)</f>
        <v>44834.58492</v>
      </c>
      <c r="B663" s="24" t="str">
        <f>IFERROR(__xludf.DUMMYFUNCTION("""COMPUTED_VALUE"""),"Claire")</f>
        <v>Claire</v>
      </c>
      <c r="C663" s="24">
        <f>IFERROR(__xludf.DUMMYFUNCTION("""COMPUTED_VALUE"""),1498.0)</f>
        <v>1498</v>
      </c>
      <c r="D663" s="24" t="str">
        <f>IFERROR(__xludf.DUMMYFUNCTION("""COMPUTED_VALUE"""),"Whitebox")</f>
        <v>Whitebox</v>
      </c>
      <c r="F663" s="23">
        <f>IFERROR(__xludf.DUMMYFUNCTION("""COMPUTED_VALUE"""),44745.72125231482)</f>
        <v>44745.72125</v>
      </c>
      <c r="G663" s="24" t="str">
        <f>IFERROR(__xludf.DUMMYFUNCTION("""COMPUTED_VALUE"""),"Ausar ")</f>
        <v>Ausar </v>
      </c>
      <c r="H663" s="24">
        <f>IFERROR(__xludf.DUMMYFUNCTION("""COMPUTED_VALUE"""),202.0)</f>
        <v>202</v>
      </c>
      <c r="I663" s="24" t="str">
        <f>IFERROR(__xludf.DUMMYFUNCTION("""COMPUTED_VALUE"""),"Assorted option")</f>
        <v>Assorted option</v>
      </c>
    </row>
    <row r="664">
      <c r="A664" s="23">
        <f>IFERROR(__xludf.DUMMYFUNCTION("""COMPUTED_VALUE"""),44834.58519953704)</f>
        <v>44834.5852</v>
      </c>
      <c r="B664" s="24" t="str">
        <f>IFERROR(__xludf.DUMMYFUNCTION("""COMPUTED_VALUE"""),"Claire")</f>
        <v>Claire</v>
      </c>
      <c r="C664" s="24">
        <f>IFERROR(__xludf.DUMMYFUNCTION("""COMPUTED_VALUE"""),1499.0)</f>
        <v>1499</v>
      </c>
      <c r="D664" s="24" t="str">
        <f>IFERROR(__xludf.DUMMYFUNCTION("""COMPUTED_VALUE"""),"Whitebox")</f>
        <v>Whitebox</v>
      </c>
      <c r="F664" s="23">
        <f>IFERROR(__xludf.DUMMYFUNCTION("""COMPUTED_VALUE"""),44747.0)</f>
        <v>44747</v>
      </c>
      <c r="G664" s="24" t="str">
        <f>IFERROR(__xludf.DUMMYFUNCTION("""COMPUTED_VALUE"""),"Gretchen Pike")</f>
        <v>Gretchen Pike</v>
      </c>
      <c r="H664" s="24">
        <f>IFERROR(__xludf.DUMMYFUNCTION("""COMPUTED_VALUE"""),20.0)</f>
        <v>20</v>
      </c>
      <c r="I664" s="24"/>
    </row>
    <row r="665">
      <c r="A665" s="23">
        <f>IFERROR(__xludf.DUMMYFUNCTION("""COMPUTED_VALUE"""),44834.58549777778)</f>
        <v>44834.5855</v>
      </c>
      <c r="B665" s="24" t="str">
        <f>IFERROR(__xludf.DUMMYFUNCTION("""COMPUTED_VALUE"""),"Claire")</f>
        <v>Claire</v>
      </c>
      <c r="C665" s="24">
        <f>IFERROR(__xludf.DUMMYFUNCTION("""COMPUTED_VALUE"""),1495.0)</f>
        <v>1495</v>
      </c>
      <c r="D665" s="24" t="str">
        <f>IFERROR(__xludf.DUMMYFUNCTION("""COMPUTED_VALUE"""),"Whitebox")</f>
        <v>Whitebox</v>
      </c>
      <c r="F665" s="23">
        <f>IFERROR(__xludf.DUMMYFUNCTION("""COMPUTED_VALUE"""),44747.0)</f>
        <v>44747</v>
      </c>
      <c r="G665" s="24" t="str">
        <f>IFERROR(__xludf.DUMMYFUNCTION("""COMPUTED_VALUE"""),"Gretchen Pike")</f>
        <v>Gretchen Pike</v>
      </c>
      <c r="H665" s="24">
        <f>IFERROR(__xludf.DUMMYFUNCTION("""COMPUTED_VALUE"""),3.0)</f>
        <v>3</v>
      </c>
      <c r="I665" s="24"/>
    </row>
    <row r="666">
      <c r="A666" s="23">
        <f>IFERROR(__xludf.DUMMYFUNCTION("""COMPUTED_VALUE"""),44834.58576938657)</f>
        <v>44834.58577</v>
      </c>
      <c r="B666" s="24" t="str">
        <f>IFERROR(__xludf.DUMMYFUNCTION("""COMPUTED_VALUE"""),"Claire")</f>
        <v>Claire</v>
      </c>
      <c r="C666" s="24">
        <f>IFERROR(__xludf.DUMMYFUNCTION("""COMPUTED_VALUE"""),1500.0)</f>
        <v>1500</v>
      </c>
      <c r="D666" s="24" t="str">
        <f>IFERROR(__xludf.DUMMYFUNCTION("""COMPUTED_VALUE"""),"Whitebox")</f>
        <v>Whitebox</v>
      </c>
      <c r="F666" s="23">
        <f>IFERROR(__xludf.DUMMYFUNCTION("""COMPUTED_VALUE"""),44747.0)</f>
        <v>44747</v>
      </c>
      <c r="G666" s="24" t="str">
        <f>IFERROR(__xludf.DUMMYFUNCTION("""COMPUTED_VALUE"""),"Jewel Pike")</f>
        <v>Jewel Pike</v>
      </c>
      <c r="H666" s="24">
        <f>IFERROR(__xludf.DUMMYFUNCTION("""COMPUTED_VALUE"""),17.0)</f>
        <v>17</v>
      </c>
      <c r="I666" s="24"/>
    </row>
    <row r="667">
      <c r="A667" s="23">
        <f>IFERROR(__xludf.DUMMYFUNCTION("""COMPUTED_VALUE"""),44834.58605092593)</f>
        <v>44834.58605</v>
      </c>
      <c r="B667" s="24" t="str">
        <f>IFERROR(__xludf.DUMMYFUNCTION("""COMPUTED_VALUE"""),"Claire")</f>
        <v>Claire</v>
      </c>
      <c r="C667" s="24">
        <f>IFERROR(__xludf.DUMMYFUNCTION("""COMPUTED_VALUE"""),1494.0)</f>
        <v>1494</v>
      </c>
      <c r="D667" s="24" t="str">
        <f>IFERROR(__xludf.DUMMYFUNCTION("""COMPUTED_VALUE"""),"Whitebox")</f>
        <v>Whitebox</v>
      </c>
      <c r="F667" s="23">
        <f>IFERROR(__xludf.DUMMYFUNCTION("""COMPUTED_VALUE"""),44747.0)</f>
        <v>44747</v>
      </c>
      <c r="G667" s="24" t="str">
        <f>IFERROR(__xludf.DUMMYFUNCTION("""COMPUTED_VALUE"""),"Jewel Pike")</f>
        <v>Jewel Pike</v>
      </c>
      <c r="H667" s="24">
        <f>IFERROR(__xludf.DUMMYFUNCTION("""COMPUTED_VALUE"""),3.0)</f>
        <v>3</v>
      </c>
      <c r="I667" s="24"/>
    </row>
    <row r="668">
      <c r="A668" s="23">
        <f>IFERROR(__xludf.DUMMYFUNCTION("""COMPUTED_VALUE"""),44834.58631672453)</f>
        <v>44834.58632</v>
      </c>
      <c r="B668" s="24" t="str">
        <f>IFERROR(__xludf.DUMMYFUNCTION("""COMPUTED_VALUE"""),"Claire")</f>
        <v>Claire</v>
      </c>
      <c r="C668" s="24">
        <f>IFERROR(__xludf.DUMMYFUNCTION("""COMPUTED_VALUE"""),1501.0)</f>
        <v>1501</v>
      </c>
      <c r="D668" s="24" t="str">
        <f>IFERROR(__xludf.DUMMYFUNCTION("""COMPUTED_VALUE"""),"Whitebox")</f>
        <v>Whitebox</v>
      </c>
      <c r="F668" s="23">
        <f>IFERROR(__xludf.DUMMYFUNCTION("""COMPUTED_VALUE"""),44747.0)</f>
        <v>44747</v>
      </c>
      <c r="G668" s="24" t="str">
        <f>IFERROR(__xludf.DUMMYFUNCTION("""COMPUTED_VALUE"""),"Doris Parker Tuggle")</f>
        <v>Doris Parker Tuggle</v>
      </c>
      <c r="H668" s="24">
        <f>IFERROR(__xludf.DUMMYFUNCTION("""COMPUTED_VALUE"""),20.0)</f>
        <v>20</v>
      </c>
      <c r="I668" s="24"/>
    </row>
    <row r="669">
      <c r="A669" s="23">
        <f>IFERROR(__xludf.DUMMYFUNCTION("""COMPUTED_VALUE"""),44834.58660967592)</f>
        <v>44834.58661</v>
      </c>
      <c r="B669" s="24" t="str">
        <f>IFERROR(__xludf.DUMMYFUNCTION("""COMPUTED_VALUE"""),"Claire")</f>
        <v>Claire</v>
      </c>
      <c r="C669" s="24">
        <f>IFERROR(__xludf.DUMMYFUNCTION("""COMPUTED_VALUE"""),1493.0)</f>
        <v>1493</v>
      </c>
      <c r="D669" s="24" t="str">
        <f>IFERROR(__xludf.DUMMYFUNCTION("""COMPUTED_VALUE"""),"Whitebox")</f>
        <v>Whitebox</v>
      </c>
      <c r="F669" s="23">
        <f>IFERROR(__xludf.DUMMYFUNCTION("""COMPUTED_VALUE"""),44747.0)</f>
        <v>44747</v>
      </c>
      <c r="G669" s="24" t="str">
        <f>IFERROR(__xludf.DUMMYFUNCTION("""COMPUTED_VALUE"""),"Doris Parker Tuggle")</f>
        <v>Doris Parker Tuggle</v>
      </c>
      <c r="H669" s="24">
        <f>IFERROR(__xludf.DUMMYFUNCTION("""COMPUTED_VALUE"""),9.0)</f>
        <v>9</v>
      </c>
      <c r="I669" s="24"/>
    </row>
    <row r="670">
      <c r="A670" s="23">
        <f>IFERROR(__xludf.DUMMYFUNCTION("""COMPUTED_VALUE"""),44834.58686243056)</f>
        <v>44834.58686</v>
      </c>
      <c r="B670" s="24" t="str">
        <f>IFERROR(__xludf.DUMMYFUNCTION("""COMPUTED_VALUE"""),"Claire")</f>
        <v>Claire</v>
      </c>
      <c r="C670" s="24">
        <f>IFERROR(__xludf.DUMMYFUNCTION("""COMPUTED_VALUE"""),1492.0)</f>
        <v>1492</v>
      </c>
      <c r="D670" s="24" t="str">
        <f>IFERROR(__xludf.DUMMYFUNCTION("""COMPUTED_VALUE"""),"Whitebox")</f>
        <v>Whitebox</v>
      </c>
      <c r="F670" s="23">
        <f>IFERROR(__xludf.DUMMYFUNCTION("""COMPUTED_VALUE"""),44747.0)</f>
        <v>44747</v>
      </c>
      <c r="G670" s="24" t="str">
        <f>IFERROR(__xludf.DUMMYFUNCTION("""COMPUTED_VALUE"""),"Marci")</f>
        <v>Marci</v>
      </c>
      <c r="H670" s="24">
        <f>IFERROR(__xludf.DUMMYFUNCTION("""COMPUTED_VALUE"""),18.0)</f>
        <v>18</v>
      </c>
      <c r="I670" s="24"/>
    </row>
    <row r="671">
      <c r="A671" s="23">
        <f>IFERROR(__xludf.DUMMYFUNCTION("""COMPUTED_VALUE"""),44834.58722356482)</f>
        <v>44834.58722</v>
      </c>
      <c r="B671" s="24" t="str">
        <f>IFERROR(__xludf.DUMMYFUNCTION("""COMPUTED_VALUE"""),"Claire")</f>
        <v>Claire</v>
      </c>
      <c r="C671" s="24">
        <f>IFERROR(__xludf.DUMMYFUNCTION("""COMPUTED_VALUE"""),760.0)</f>
        <v>760</v>
      </c>
      <c r="D671" s="24" t="str">
        <f>IFERROR(__xludf.DUMMYFUNCTION("""COMPUTED_VALUE"""),"Whitebox")</f>
        <v>Whitebox</v>
      </c>
      <c r="F671" s="23">
        <f>IFERROR(__xludf.DUMMYFUNCTION("""COMPUTED_VALUE"""),44747.0)</f>
        <v>44747</v>
      </c>
      <c r="G671" s="24" t="str">
        <f>IFERROR(__xludf.DUMMYFUNCTION("""COMPUTED_VALUE"""),"Marci")</f>
        <v>Marci</v>
      </c>
      <c r="H671" s="24">
        <f>IFERROR(__xludf.DUMMYFUNCTION("""COMPUTED_VALUE"""),60.0)</f>
        <v>60</v>
      </c>
      <c r="I671" s="24"/>
    </row>
    <row r="672">
      <c r="A672" s="23">
        <f>IFERROR(__xludf.DUMMYFUNCTION("""COMPUTED_VALUE"""),44834.58763615741)</f>
        <v>44834.58764</v>
      </c>
      <c r="B672" s="24" t="str">
        <f>IFERROR(__xludf.DUMMYFUNCTION("""COMPUTED_VALUE"""),"Claire")</f>
        <v>Claire</v>
      </c>
      <c r="C672" s="24">
        <f>IFERROR(__xludf.DUMMYFUNCTION("""COMPUTED_VALUE"""),916.0)</f>
        <v>916</v>
      </c>
      <c r="D672" s="24" t="str">
        <f>IFERROR(__xludf.DUMMYFUNCTION("""COMPUTED_VALUE"""),"First Fruits Farm")</f>
        <v>First Fruits Farm</v>
      </c>
      <c r="F672" s="23">
        <f>IFERROR(__xludf.DUMMYFUNCTION("""COMPUTED_VALUE"""),44747.71793803241)</f>
        <v>44747.71794</v>
      </c>
      <c r="G672" s="24" t="str">
        <f>IFERROR(__xludf.DUMMYFUNCTION("""COMPUTED_VALUE"""),"Beverly Pinn")</f>
        <v>Beverly Pinn</v>
      </c>
      <c r="H672" s="24">
        <f>IFERROR(__xludf.DUMMYFUNCTION("""COMPUTED_VALUE"""),20.0)</f>
        <v>20</v>
      </c>
      <c r="I672" s="24"/>
    </row>
    <row r="673">
      <c r="A673" s="23">
        <f>IFERROR(__xludf.DUMMYFUNCTION("""COMPUTED_VALUE"""),44834.5879027662)</f>
        <v>44834.5879</v>
      </c>
      <c r="B673" s="24" t="str">
        <f>IFERROR(__xludf.DUMMYFUNCTION("""COMPUTED_VALUE"""),"Claire")</f>
        <v>Claire</v>
      </c>
      <c r="C673" s="24">
        <f>IFERROR(__xludf.DUMMYFUNCTION("""COMPUTED_VALUE"""),1239.0)</f>
        <v>1239</v>
      </c>
      <c r="D673" s="24" t="str">
        <f>IFERROR(__xludf.DUMMYFUNCTION("""COMPUTED_VALUE"""),"First Fruits Farm")</f>
        <v>First Fruits Farm</v>
      </c>
      <c r="F673" s="23">
        <f>IFERROR(__xludf.DUMMYFUNCTION("""COMPUTED_VALUE"""),44747.71842753472)</f>
        <v>44747.71843</v>
      </c>
      <c r="G673" s="24" t="str">
        <f>IFERROR(__xludf.DUMMYFUNCTION("""COMPUTED_VALUE"""),"Beverly Pinn")</f>
        <v>Beverly Pinn</v>
      </c>
      <c r="H673" s="24">
        <f>IFERROR(__xludf.DUMMYFUNCTION("""COMPUTED_VALUE"""),35.0)</f>
        <v>35</v>
      </c>
      <c r="I673" s="24"/>
    </row>
    <row r="674">
      <c r="A674" s="23">
        <f>IFERROR(__xludf.DUMMYFUNCTION("""COMPUTED_VALUE"""),44834.5880994676)</f>
        <v>44834.5881</v>
      </c>
      <c r="B674" s="24" t="str">
        <f>IFERROR(__xludf.DUMMYFUNCTION("""COMPUTED_VALUE"""),"Claire")</f>
        <v>Claire</v>
      </c>
      <c r="C674" s="24">
        <f>IFERROR(__xludf.DUMMYFUNCTION("""COMPUTED_VALUE"""),1095.0)</f>
        <v>1095</v>
      </c>
      <c r="D674" s="24" t="str">
        <f>IFERROR(__xludf.DUMMYFUNCTION("""COMPUTED_VALUE"""),"First Fruits Farm")</f>
        <v>First Fruits Farm</v>
      </c>
      <c r="F674" s="23">
        <f>IFERROR(__xludf.DUMMYFUNCTION("""COMPUTED_VALUE"""),44747.71893643519)</f>
        <v>44747.71894</v>
      </c>
      <c r="G674" s="24" t="str">
        <f>IFERROR(__xludf.DUMMYFUNCTION("""COMPUTED_VALUE"""),"Jean. Extra")</f>
        <v>Jean. Extra</v>
      </c>
      <c r="H674" s="24">
        <f>IFERROR(__xludf.DUMMYFUNCTION("""COMPUTED_VALUE"""),44.0)</f>
        <v>44</v>
      </c>
      <c r="I674" s="24"/>
    </row>
    <row r="675">
      <c r="A675" s="23">
        <f>IFERROR(__xludf.DUMMYFUNCTION("""COMPUTED_VALUE"""),44834.58845466435)</f>
        <v>44834.58845</v>
      </c>
      <c r="B675" s="24" t="str">
        <f>IFERROR(__xludf.DUMMYFUNCTION("""COMPUTED_VALUE"""),"Claire")</f>
        <v>Claire</v>
      </c>
      <c r="C675" s="24">
        <f>IFERROR(__xludf.DUMMYFUNCTION("""COMPUTED_VALUE"""),114.0)</f>
        <v>114</v>
      </c>
      <c r="D675" s="24" t="str">
        <f>IFERROR(__xludf.DUMMYFUNCTION("""COMPUTED_VALUE"""),"Jean (Cecil)")</f>
        <v>Jean (Cecil)</v>
      </c>
      <c r="F675" s="23">
        <f>IFERROR(__xludf.DUMMYFUNCTION("""COMPUTED_VALUE"""),44747.7191714699)</f>
        <v>44747.71917</v>
      </c>
      <c r="G675" s="24" t="str">
        <f>IFERROR(__xludf.DUMMYFUNCTION("""COMPUTED_VALUE"""),"Jean")</f>
        <v>Jean</v>
      </c>
      <c r="H675" s="24">
        <f>IFERROR(__xludf.DUMMYFUNCTION("""COMPUTED_VALUE"""),19.0)</f>
        <v>19</v>
      </c>
      <c r="I675" s="24"/>
    </row>
    <row r="676">
      <c r="A676" s="23">
        <f>IFERROR(__xludf.DUMMYFUNCTION("""COMPUTED_VALUE"""),44834.58901328703)</f>
        <v>44834.58901</v>
      </c>
      <c r="B676" s="24" t="str">
        <f>IFERROR(__xludf.DUMMYFUNCTION("""COMPUTED_VALUE"""),"Claire")</f>
        <v>Claire</v>
      </c>
      <c r="C676" s="24">
        <f>IFERROR(__xludf.DUMMYFUNCTION("""COMPUTED_VALUE"""),114.0)</f>
        <v>114</v>
      </c>
      <c r="D676" s="24" t="str">
        <f>IFERROR(__xludf.DUMMYFUNCTION("""COMPUTED_VALUE"""),"Jean (Dallas Nicholas)")</f>
        <v>Jean (Dallas Nicholas)</v>
      </c>
      <c r="F676" s="23">
        <f>IFERROR(__xludf.DUMMYFUNCTION("""COMPUTED_VALUE"""),44748.0)</f>
        <v>44748</v>
      </c>
      <c r="G676" s="24" t="str">
        <f>IFERROR(__xludf.DUMMYFUNCTION("""COMPUTED_VALUE"""),"Doris Parker Tuggle")</f>
        <v>Doris Parker Tuggle</v>
      </c>
      <c r="H676" s="24">
        <f>IFERROR(__xludf.DUMMYFUNCTION("""COMPUTED_VALUE"""),18.0)</f>
        <v>18</v>
      </c>
      <c r="I676" s="24"/>
    </row>
    <row r="677">
      <c r="A677" s="23">
        <f>IFERROR(__xludf.DUMMYFUNCTION("""COMPUTED_VALUE"""),44838.58578152778)</f>
        <v>44838.58578</v>
      </c>
      <c r="B677" s="24" t="str">
        <f>IFERROR(__xludf.DUMMYFUNCTION("""COMPUTED_VALUE"""),"Claire")</f>
        <v>Claire</v>
      </c>
      <c r="C677" s="24">
        <f>IFERROR(__xludf.DUMMYFUNCTION("""COMPUTED_VALUE"""),799.0)</f>
        <v>799</v>
      </c>
      <c r="D677" s="24" t="str">
        <f>IFERROR(__xludf.DUMMYFUNCTION("""COMPUTED_VALUE"""),"Amazon")</f>
        <v>Amazon</v>
      </c>
      <c r="F677" s="23">
        <f>IFERROR(__xludf.DUMMYFUNCTION("""COMPUTED_VALUE"""),44748.0)</f>
        <v>44748</v>
      </c>
      <c r="G677" s="24" t="str">
        <f>IFERROR(__xludf.DUMMYFUNCTION("""COMPUTED_VALUE"""),"Maddie Pardes")</f>
        <v>Maddie Pardes</v>
      </c>
      <c r="H677" s="24">
        <f>IFERROR(__xludf.DUMMYFUNCTION("""COMPUTED_VALUE"""),17.0)</f>
        <v>17</v>
      </c>
      <c r="I677" s="24"/>
    </row>
    <row r="678">
      <c r="A678" s="23">
        <f>IFERROR(__xludf.DUMMYFUNCTION("""COMPUTED_VALUE"""),44838.58599321759)</f>
        <v>44838.58599</v>
      </c>
      <c r="B678" s="24" t="str">
        <f>IFERROR(__xludf.DUMMYFUNCTION("""COMPUTED_VALUE"""),"Claire")</f>
        <v>Claire</v>
      </c>
      <c r="C678" s="24">
        <f>IFERROR(__xludf.DUMMYFUNCTION("""COMPUTED_VALUE"""),410.0)</f>
        <v>410</v>
      </c>
      <c r="D678" s="24" t="str">
        <f>IFERROR(__xludf.DUMMYFUNCTION("""COMPUTED_VALUE"""),"Amazon")</f>
        <v>Amazon</v>
      </c>
      <c r="F678" s="23">
        <f>IFERROR(__xludf.DUMMYFUNCTION("""COMPUTED_VALUE"""),44748.0)</f>
        <v>44748</v>
      </c>
      <c r="G678" s="24" t="str">
        <f>IFERROR(__xludf.DUMMYFUNCTION("""COMPUTED_VALUE"""),"Maddie Pardes")</f>
        <v>Maddie Pardes</v>
      </c>
      <c r="H678" s="24">
        <f>IFERROR(__xludf.DUMMYFUNCTION("""COMPUTED_VALUE"""),1.0)</f>
        <v>1</v>
      </c>
      <c r="I678" s="24"/>
    </row>
    <row r="679">
      <c r="A679" s="23">
        <f>IFERROR(__xludf.DUMMYFUNCTION("""COMPUTED_VALUE"""),44838.58623474537)</f>
        <v>44838.58623</v>
      </c>
      <c r="B679" s="24" t="str">
        <f>IFERROR(__xludf.DUMMYFUNCTION("""COMPUTED_VALUE"""),"Claire")</f>
        <v>Claire</v>
      </c>
      <c r="C679" s="24">
        <f>IFERROR(__xludf.DUMMYFUNCTION("""COMPUTED_VALUE"""),991.0)</f>
        <v>991</v>
      </c>
      <c r="D679" s="24" t="str">
        <f>IFERROR(__xludf.DUMMYFUNCTION("""COMPUTED_VALUE"""),"Amazon")</f>
        <v>Amazon</v>
      </c>
      <c r="F679" s="23">
        <f>IFERROR(__xludf.DUMMYFUNCTION("""COMPUTED_VALUE"""),44748.0)</f>
        <v>44748</v>
      </c>
      <c r="G679" s="24" t="str">
        <f>IFERROR(__xludf.DUMMYFUNCTION("""COMPUTED_VALUE"""),"Lynwood McDaniel")</f>
        <v>Lynwood McDaniel</v>
      </c>
      <c r="H679" s="24">
        <f>IFERROR(__xludf.DUMMYFUNCTION("""COMPUTED_VALUE"""),20.0)</f>
        <v>20</v>
      </c>
      <c r="I679" s="24"/>
    </row>
    <row r="680">
      <c r="A680" s="23">
        <f>IFERROR(__xludf.DUMMYFUNCTION("""COMPUTED_VALUE"""),44838.58647296296)</f>
        <v>44838.58647</v>
      </c>
      <c r="B680" s="24" t="str">
        <f>IFERROR(__xludf.DUMMYFUNCTION("""COMPUTED_VALUE"""),"Claire")</f>
        <v>Claire</v>
      </c>
      <c r="C680" s="24">
        <f>IFERROR(__xludf.DUMMYFUNCTION("""COMPUTED_VALUE"""),687.0)</f>
        <v>687</v>
      </c>
      <c r="D680" s="24" t="str">
        <f>IFERROR(__xludf.DUMMYFUNCTION("""COMPUTED_VALUE"""),"Amazon")</f>
        <v>Amazon</v>
      </c>
      <c r="F680" s="23">
        <f>IFERROR(__xludf.DUMMYFUNCTION("""COMPUTED_VALUE"""),44748.0)</f>
        <v>44748</v>
      </c>
      <c r="G680" s="24" t="str">
        <f>IFERROR(__xludf.DUMMYFUNCTION("""COMPUTED_VALUE"""),"Teia H")</f>
        <v>Teia H</v>
      </c>
      <c r="H680" s="24">
        <f>IFERROR(__xludf.DUMMYFUNCTION("""COMPUTED_VALUE"""),20.0)</f>
        <v>20</v>
      </c>
      <c r="I680" s="24"/>
    </row>
    <row r="681">
      <c r="A681" s="23">
        <f>IFERROR(__xludf.DUMMYFUNCTION("""COMPUTED_VALUE"""),44839.67130474537)</f>
        <v>44839.6713</v>
      </c>
      <c r="B681" s="24" t="str">
        <f>IFERROR(__xludf.DUMMYFUNCTION("""COMPUTED_VALUE"""),"Claire")</f>
        <v>Claire</v>
      </c>
      <c r="C681" s="24">
        <f>IFERROR(__xludf.DUMMYFUNCTION("""COMPUTED_VALUE"""),1472.0)</f>
        <v>1472</v>
      </c>
      <c r="D681" s="24" t="str">
        <f>IFERROR(__xludf.DUMMYFUNCTION("""COMPUTED_VALUE"""),"First Fruits Farm")</f>
        <v>First Fruits Farm</v>
      </c>
      <c r="F681" s="23">
        <f>IFERROR(__xludf.DUMMYFUNCTION("""COMPUTED_VALUE"""),44748.0)</f>
        <v>44748</v>
      </c>
      <c r="G681" s="24" t="str">
        <f>IFERROR(__xludf.DUMMYFUNCTION("""COMPUTED_VALUE"""),"Camille")</f>
        <v>Camille</v>
      </c>
      <c r="H681" s="24">
        <f>IFERROR(__xludf.DUMMYFUNCTION("""COMPUTED_VALUE"""),8.0)</f>
        <v>8</v>
      </c>
      <c r="I681" s="24"/>
    </row>
    <row r="682">
      <c r="A682" s="23">
        <f>IFERROR(__xludf.DUMMYFUNCTION("""COMPUTED_VALUE"""),44839.67152758101)</f>
        <v>44839.67153</v>
      </c>
      <c r="B682" s="24" t="str">
        <f>IFERROR(__xludf.DUMMYFUNCTION("""COMPUTED_VALUE"""),"Claire")</f>
        <v>Claire</v>
      </c>
      <c r="C682" s="24">
        <f>IFERROR(__xludf.DUMMYFUNCTION("""COMPUTED_VALUE"""),1391.0)</f>
        <v>1391</v>
      </c>
      <c r="D682" s="24" t="str">
        <f>IFERROR(__xludf.DUMMYFUNCTION("""COMPUTED_VALUE"""),"First Fruits Farm")</f>
        <v>First Fruits Farm</v>
      </c>
      <c r="F682" s="23">
        <f>IFERROR(__xludf.DUMMYFUNCTION("""COMPUTED_VALUE"""),44748.63537106482)</f>
        <v>44748.63537</v>
      </c>
      <c r="G682" s="24" t="str">
        <f>IFERROR(__xludf.DUMMYFUNCTION("""COMPUTED_VALUE"""),"Bud Stracker - Sisson St DPW drinks ")</f>
        <v>Bud Stracker - Sisson St DPW drinks </v>
      </c>
      <c r="H682" s="24">
        <f>IFERROR(__xludf.DUMMYFUNCTION("""COMPUTED_VALUE"""),21.0)</f>
        <v>21</v>
      </c>
      <c r="I682" s="24"/>
    </row>
    <row r="683">
      <c r="A683" s="23">
        <f>IFERROR(__xludf.DUMMYFUNCTION("""COMPUTED_VALUE"""),44839.671739074074)</f>
        <v>44839.67174</v>
      </c>
      <c r="B683" s="24" t="str">
        <f>IFERROR(__xludf.DUMMYFUNCTION("""COMPUTED_VALUE"""),"Claire")</f>
        <v>Claire</v>
      </c>
      <c r="C683" s="24">
        <f>IFERROR(__xludf.DUMMYFUNCTION("""COMPUTED_VALUE"""),401.0)</f>
        <v>401</v>
      </c>
      <c r="D683" s="24" t="str">
        <f>IFERROR(__xludf.DUMMYFUNCTION("""COMPUTED_VALUE"""),"First Fruits Farm")</f>
        <v>First Fruits Farm</v>
      </c>
      <c r="F683" s="23">
        <f>IFERROR(__xludf.DUMMYFUNCTION("""COMPUTED_VALUE"""),44748.63576567129)</f>
        <v>44748.63577</v>
      </c>
      <c r="G683" s="24" t="str">
        <f>IFERROR(__xludf.DUMMYFUNCTION("""COMPUTED_VALUE"""),"Bud Stracker - personal ")</f>
        <v>Bud Stracker - personal </v>
      </c>
      <c r="H683" s="24">
        <f>IFERROR(__xludf.DUMMYFUNCTION("""COMPUTED_VALUE"""),7.0)</f>
        <v>7</v>
      </c>
      <c r="I683" s="24"/>
    </row>
    <row r="684">
      <c r="A684" s="23">
        <f>IFERROR(__xludf.DUMMYFUNCTION("""COMPUTED_VALUE"""),44840.69618189815)</f>
        <v>44840.69618</v>
      </c>
      <c r="B684" s="24" t="str">
        <f>IFERROR(__xludf.DUMMYFUNCTION("""COMPUTED_VALUE"""),"Claire")</f>
        <v>Claire</v>
      </c>
      <c r="C684" s="24">
        <f>IFERROR(__xludf.DUMMYFUNCTION("""COMPUTED_VALUE"""),89.0)</f>
        <v>89</v>
      </c>
      <c r="D684" s="24" t="str">
        <f>IFERROR(__xludf.DUMMYFUNCTION("""COMPUTED_VALUE"""),"Whitebox")</f>
        <v>Whitebox</v>
      </c>
      <c r="F684" s="23">
        <f>IFERROR(__xludf.DUMMYFUNCTION("""COMPUTED_VALUE"""),44748.65533487269)</f>
        <v>44748.65533</v>
      </c>
      <c r="G684" s="24" t="str">
        <f>IFERROR(__xludf.DUMMYFUNCTION("""COMPUTED_VALUE"""),"Ausar ")</f>
        <v>Ausar </v>
      </c>
      <c r="H684" s="24">
        <f>IFERROR(__xludf.DUMMYFUNCTION("""COMPUTED_VALUE"""),503.0)</f>
        <v>503</v>
      </c>
      <c r="I684" s="24" t="str">
        <f>IFERROR(__xludf.DUMMYFUNCTION("""COMPUTED_VALUE"""),"Paper goods ")</f>
        <v>Paper goods </v>
      </c>
    </row>
    <row r="685">
      <c r="A685" s="23">
        <f>IFERROR(__xludf.DUMMYFUNCTION("""COMPUTED_VALUE"""),44840.69643399306)</f>
        <v>44840.69643</v>
      </c>
      <c r="B685" s="24" t="str">
        <f>IFERROR(__xludf.DUMMYFUNCTION("""COMPUTED_VALUE"""),"Claire")</f>
        <v>Claire</v>
      </c>
      <c r="C685" s="24">
        <f>IFERROR(__xludf.DUMMYFUNCTION("""COMPUTED_VALUE"""),84.0)</f>
        <v>84</v>
      </c>
      <c r="D685" s="24" t="str">
        <f>IFERROR(__xludf.DUMMYFUNCTION("""COMPUTED_VALUE"""),"Whitebox")</f>
        <v>Whitebox</v>
      </c>
      <c r="F685" s="23">
        <f>IFERROR(__xludf.DUMMYFUNCTION("""COMPUTED_VALUE"""),44748.655751666665)</f>
        <v>44748.65575</v>
      </c>
      <c r="G685" s="24" t="str">
        <f>IFERROR(__xludf.DUMMYFUNCTION("""COMPUTED_VALUE"""),"Ausar ")</f>
        <v>Ausar </v>
      </c>
      <c r="H685" s="24">
        <f>IFERROR(__xludf.DUMMYFUNCTION("""COMPUTED_VALUE"""),713.0)</f>
        <v>713</v>
      </c>
      <c r="I685" s="24" t="str">
        <f>IFERROR(__xludf.DUMMYFUNCTION("""COMPUTED_VALUE"""),"Frozen")</f>
        <v>Frozen</v>
      </c>
    </row>
    <row r="686">
      <c r="A686" s="23">
        <f>IFERROR(__xludf.DUMMYFUNCTION("""COMPUTED_VALUE"""),44840.696721354165)</f>
        <v>44840.69672</v>
      </c>
      <c r="B686" s="24" t="str">
        <f>IFERROR(__xludf.DUMMYFUNCTION("""COMPUTED_VALUE"""),"Claire")</f>
        <v>Claire</v>
      </c>
      <c r="C686" s="24">
        <f>IFERROR(__xludf.DUMMYFUNCTION("""COMPUTED_VALUE"""),94.0)</f>
        <v>94</v>
      </c>
      <c r="D686" s="24" t="str">
        <f>IFERROR(__xludf.DUMMYFUNCTION("""COMPUTED_VALUE"""),"Whitebox")</f>
        <v>Whitebox</v>
      </c>
      <c r="F686" s="23">
        <f>IFERROR(__xludf.DUMMYFUNCTION("""COMPUTED_VALUE"""),44748.656093541664)</f>
        <v>44748.65609</v>
      </c>
      <c r="G686" s="24" t="str">
        <f>IFERROR(__xludf.DUMMYFUNCTION("""COMPUTED_VALUE"""),"Ausar ")</f>
        <v>Ausar </v>
      </c>
      <c r="H686" s="24">
        <f>IFERROR(__xludf.DUMMYFUNCTION("""COMPUTED_VALUE"""),413.0)</f>
        <v>413</v>
      </c>
      <c r="I686" s="24" t="str">
        <f>IFERROR(__xludf.DUMMYFUNCTION("""COMPUTED_VALUE"""),"Produce")</f>
        <v>Produce</v>
      </c>
    </row>
    <row r="687">
      <c r="A687" s="23">
        <f>IFERROR(__xludf.DUMMYFUNCTION("""COMPUTED_VALUE"""),44840.69693518519)</f>
        <v>44840.69694</v>
      </c>
      <c r="B687" s="24" t="str">
        <f>IFERROR(__xludf.DUMMYFUNCTION("""COMPUTED_VALUE"""),"Claire")</f>
        <v>Claire</v>
      </c>
      <c r="C687" s="24">
        <f>IFERROR(__xludf.DUMMYFUNCTION("""COMPUTED_VALUE"""),98.0)</f>
        <v>98</v>
      </c>
      <c r="D687" s="24" t="str">
        <f>IFERROR(__xludf.DUMMYFUNCTION("""COMPUTED_VALUE"""),"Whitebox")</f>
        <v>Whitebox</v>
      </c>
      <c r="F687" s="23">
        <f>IFERROR(__xludf.DUMMYFUNCTION("""COMPUTED_VALUE"""),44748.65654496528)</f>
        <v>44748.65654</v>
      </c>
      <c r="G687" s="24" t="str">
        <f>IFERROR(__xludf.DUMMYFUNCTION("""COMPUTED_VALUE"""),"Ausar ")</f>
        <v>Ausar </v>
      </c>
      <c r="H687" s="24">
        <f>IFERROR(__xludf.DUMMYFUNCTION("""COMPUTED_VALUE"""),410.0)</f>
        <v>410</v>
      </c>
      <c r="I687" s="24" t="str">
        <f>IFERROR(__xludf.DUMMYFUNCTION("""COMPUTED_VALUE"""),"Pet food")</f>
        <v>Pet food</v>
      </c>
    </row>
    <row r="688">
      <c r="A688" s="23">
        <f>IFERROR(__xludf.DUMMYFUNCTION("""COMPUTED_VALUE"""),44840.697129918975)</f>
        <v>44840.69713</v>
      </c>
      <c r="B688" s="24" t="str">
        <f>IFERROR(__xludf.DUMMYFUNCTION("""COMPUTED_VALUE"""),"Claire")</f>
        <v>Claire</v>
      </c>
      <c r="C688" s="24">
        <f>IFERROR(__xludf.DUMMYFUNCTION("""COMPUTED_VALUE"""),89.0)</f>
        <v>89</v>
      </c>
      <c r="D688" s="24" t="str">
        <f>IFERROR(__xludf.DUMMYFUNCTION("""COMPUTED_VALUE"""),"Whitebox")</f>
        <v>Whitebox</v>
      </c>
      <c r="F688" s="23">
        <f>IFERROR(__xludf.DUMMYFUNCTION("""COMPUTED_VALUE"""),44748.65729649305)</f>
        <v>44748.6573</v>
      </c>
      <c r="G688" s="24" t="str">
        <f>IFERROR(__xludf.DUMMYFUNCTION("""COMPUTED_VALUE"""),"Ausar ")</f>
        <v>Ausar </v>
      </c>
      <c r="H688" s="24">
        <f>IFERROR(__xludf.DUMMYFUNCTION("""COMPUTED_VALUE"""),455.0)</f>
        <v>455</v>
      </c>
      <c r="I688" s="24" t="str">
        <f>IFERROR(__xludf.DUMMYFUNCTION("""COMPUTED_VALUE"""),"Produce")</f>
        <v>Produce</v>
      </c>
    </row>
    <row r="689">
      <c r="A689" s="23">
        <f>IFERROR(__xludf.DUMMYFUNCTION("""COMPUTED_VALUE"""),44840.69737241898)</f>
        <v>44840.69737</v>
      </c>
      <c r="B689" s="24" t="str">
        <f>IFERROR(__xludf.DUMMYFUNCTION("""COMPUTED_VALUE"""),"Claire")</f>
        <v>Claire</v>
      </c>
      <c r="C689" s="24">
        <f>IFERROR(__xludf.DUMMYFUNCTION("""COMPUTED_VALUE"""),156.0)</f>
        <v>156</v>
      </c>
      <c r="D689" s="24" t="str">
        <f>IFERROR(__xludf.DUMMYFUNCTION("""COMPUTED_VALUE"""),"Whitebox")</f>
        <v>Whitebox</v>
      </c>
      <c r="F689" s="23">
        <f>IFERROR(__xludf.DUMMYFUNCTION("""COMPUTED_VALUE"""),44748.65765688657)</f>
        <v>44748.65766</v>
      </c>
      <c r="G689" s="24" t="str">
        <f>IFERROR(__xludf.DUMMYFUNCTION("""COMPUTED_VALUE"""),"Ausar ")</f>
        <v>Ausar </v>
      </c>
      <c r="H689" s="24">
        <f>IFERROR(__xludf.DUMMYFUNCTION("""COMPUTED_VALUE"""),26.0)</f>
        <v>26</v>
      </c>
      <c r="I689" s="24" t="str">
        <f>IFERROR(__xludf.DUMMYFUNCTION("""COMPUTED_VALUE"""),"Produce")</f>
        <v>Produce</v>
      </c>
    </row>
    <row r="690">
      <c r="A690" s="23">
        <f>IFERROR(__xludf.DUMMYFUNCTION("""COMPUTED_VALUE"""),44840.69756626157)</f>
        <v>44840.69757</v>
      </c>
      <c r="B690" s="24" t="str">
        <f>IFERROR(__xludf.DUMMYFUNCTION("""COMPUTED_VALUE"""),"Claire")</f>
        <v>Claire</v>
      </c>
      <c r="C690" s="24">
        <f>IFERROR(__xludf.DUMMYFUNCTION("""COMPUTED_VALUE"""),143.0)</f>
        <v>143</v>
      </c>
      <c r="D690" s="24" t="str">
        <f>IFERROR(__xludf.DUMMYFUNCTION("""COMPUTED_VALUE"""),"Whitebox")</f>
        <v>Whitebox</v>
      </c>
      <c r="F690" s="23">
        <f>IFERROR(__xludf.DUMMYFUNCTION("""COMPUTED_VALUE"""),44748.65813186343)</f>
        <v>44748.65813</v>
      </c>
      <c r="G690" s="24" t="str">
        <f>IFERROR(__xludf.DUMMYFUNCTION("""COMPUTED_VALUE"""),"Ausar ")</f>
        <v>Ausar </v>
      </c>
      <c r="H690" s="24">
        <f>IFERROR(__xludf.DUMMYFUNCTION("""COMPUTED_VALUE"""),630.0)</f>
        <v>630</v>
      </c>
      <c r="I690" s="24" t="str">
        <f>IFERROR(__xludf.DUMMYFUNCTION("""COMPUTED_VALUE"""),"Dairy")</f>
        <v>Dairy</v>
      </c>
    </row>
    <row r="691">
      <c r="A691" s="23">
        <f>IFERROR(__xludf.DUMMYFUNCTION("""COMPUTED_VALUE"""),44842.508454317125)</f>
        <v>44842.50845</v>
      </c>
      <c r="B691" s="24" t="str">
        <f>IFERROR(__xludf.DUMMYFUNCTION("""COMPUTED_VALUE"""),"Ryan")</f>
        <v>Ryan</v>
      </c>
      <c r="C691" s="24">
        <f>IFERROR(__xludf.DUMMYFUNCTION("""COMPUTED_VALUE"""),27.0)</f>
        <v>27</v>
      </c>
      <c r="D691" s="24" t="str">
        <f>IFERROR(__xludf.DUMMYFUNCTION("""COMPUTED_VALUE"""),"Powerade")</f>
        <v>Powerade</v>
      </c>
      <c r="F691" s="23">
        <f>IFERROR(__xludf.DUMMYFUNCTION("""COMPUTED_VALUE"""),44748.65874409722)</f>
        <v>44748.65874</v>
      </c>
      <c r="G691" s="24" t="str">
        <f>IFERROR(__xludf.DUMMYFUNCTION("""COMPUTED_VALUE"""),"Ausar ")</f>
        <v>Ausar </v>
      </c>
      <c r="H691" s="24">
        <f>IFERROR(__xludf.DUMMYFUNCTION("""COMPUTED_VALUE"""),358.0)</f>
        <v>358</v>
      </c>
      <c r="I691" s="24" t="str">
        <f>IFERROR(__xludf.DUMMYFUNCTION("""COMPUTED_VALUE"""),"Paper products ")</f>
        <v>Paper products </v>
      </c>
    </row>
    <row r="692">
      <c r="A692" s="23">
        <f>IFERROR(__xludf.DUMMYFUNCTION("""COMPUTED_VALUE"""),44843.54696092592)</f>
        <v>44843.54696</v>
      </c>
      <c r="B692" s="24" t="str">
        <f>IFERROR(__xludf.DUMMYFUNCTION("""COMPUTED_VALUE"""),"Dorja")</f>
        <v>Dorja</v>
      </c>
      <c r="C692" s="24">
        <f>IFERROR(__xludf.DUMMYFUNCTION("""COMPUTED_VALUE"""),724.0)</f>
        <v>724</v>
      </c>
      <c r="D692" s="24" t="str">
        <f>IFERROR(__xludf.DUMMYFUNCTION("""COMPUTED_VALUE"""),"Amazon")</f>
        <v>Amazon</v>
      </c>
      <c r="F692" s="23">
        <f>IFERROR(__xludf.DUMMYFUNCTION("""COMPUTED_VALUE"""),44748.715905254634)</f>
        <v>44748.71591</v>
      </c>
      <c r="G692" s="24" t="str">
        <f>IFERROR(__xludf.DUMMYFUNCTION("""COMPUTED_VALUE"""),"Marilyn Okine")</f>
        <v>Marilyn Okine</v>
      </c>
      <c r="H692" s="24">
        <f>IFERROR(__xludf.DUMMYFUNCTION("""COMPUTED_VALUE"""),20.0)</f>
        <v>20</v>
      </c>
      <c r="I692" s="24"/>
    </row>
    <row r="693">
      <c r="A693" s="23">
        <f>IFERROR(__xludf.DUMMYFUNCTION("""COMPUTED_VALUE"""),44843.0)</f>
        <v>44843</v>
      </c>
      <c r="B693" s="24" t="str">
        <f>IFERROR(__xludf.DUMMYFUNCTION("""COMPUTED_VALUE"""),"Claire")</f>
        <v>Claire</v>
      </c>
      <c r="C693" s="24">
        <f>IFERROR(__xludf.DUMMYFUNCTION("""COMPUTED_VALUE"""),521.0)</f>
        <v>521</v>
      </c>
      <c r="D693" s="24" t="str">
        <f>IFERROR(__xludf.DUMMYFUNCTION("""COMPUTED_VALUE"""),"Amazon")</f>
        <v>Amazon</v>
      </c>
      <c r="F693" s="23">
        <f>IFERROR(__xludf.DUMMYFUNCTION("""COMPUTED_VALUE"""),44748.73404167824)</f>
        <v>44748.73404</v>
      </c>
      <c r="G693" s="24" t="str">
        <f>IFERROR(__xludf.DUMMYFUNCTION("""COMPUTED_VALUE"""),"Juanita Chandler")</f>
        <v>Juanita Chandler</v>
      </c>
      <c r="H693" s="24">
        <f>IFERROR(__xludf.DUMMYFUNCTION("""COMPUTED_VALUE"""),5.0)</f>
        <v>5</v>
      </c>
      <c r="I693" s="24"/>
    </row>
    <row r="694">
      <c r="A694" s="23">
        <f>IFERROR(__xludf.DUMMYFUNCTION("""COMPUTED_VALUE"""),44843.54800780093)</f>
        <v>44843.54801</v>
      </c>
      <c r="B694" s="24" t="str">
        <f>IFERROR(__xludf.DUMMYFUNCTION("""COMPUTED_VALUE"""),"Dorja ")</f>
        <v>Dorja </v>
      </c>
      <c r="C694" s="24">
        <f>IFERROR(__xludf.DUMMYFUNCTION("""COMPUTED_VALUE"""),644.0)</f>
        <v>644</v>
      </c>
      <c r="D694" s="24" t="str">
        <f>IFERROR(__xludf.DUMMYFUNCTION("""COMPUTED_VALUE"""),"Amazon")</f>
        <v>Amazon</v>
      </c>
      <c r="F694" s="23">
        <f>IFERROR(__xludf.DUMMYFUNCTION("""COMPUTED_VALUE"""),44748.734478171296)</f>
        <v>44748.73448</v>
      </c>
      <c r="G694" s="24" t="str">
        <f>IFERROR(__xludf.DUMMYFUNCTION("""COMPUTED_VALUE"""),"Juanita Chandler ")</f>
        <v>Juanita Chandler </v>
      </c>
      <c r="H694" s="24">
        <f>IFERROR(__xludf.DUMMYFUNCTION("""COMPUTED_VALUE"""),71.0)</f>
        <v>71</v>
      </c>
      <c r="I694" s="24"/>
    </row>
    <row r="695">
      <c r="A695" s="23">
        <f>IFERROR(__xludf.DUMMYFUNCTION("""COMPUTED_VALUE"""),44843.55041752315)</f>
        <v>44843.55042</v>
      </c>
      <c r="B695" s="24" t="str">
        <f>IFERROR(__xludf.DUMMYFUNCTION("""COMPUTED_VALUE"""),"Dorja")</f>
        <v>Dorja</v>
      </c>
      <c r="C695" s="24">
        <f>IFERROR(__xludf.DUMMYFUNCTION("""COMPUTED_VALUE"""),815.0)</f>
        <v>815</v>
      </c>
      <c r="D695" s="24" t="str">
        <f>IFERROR(__xludf.DUMMYFUNCTION("""COMPUTED_VALUE"""),"Amazon")</f>
        <v>Amazon</v>
      </c>
      <c r="F695" s="23">
        <f>IFERROR(__xludf.DUMMYFUNCTION("""COMPUTED_VALUE"""),44748.73886201389)</f>
        <v>44748.73886</v>
      </c>
      <c r="G695" s="24" t="str">
        <f>IFERROR(__xludf.DUMMYFUNCTION("""COMPUTED_VALUE"""),"Karen")</f>
        <v>Karen</v>
      </c>
      <c r="H695" s="24">
        <f>IFERROR(__xludf.DUMMYFUNCTION("""COMPUTED_VALUE"""),16.0)</f>
        <v>16</v>
      </c>
      <c r="I695" s="24"/>
    </row>
    <row r="696">
      <c r="A696" s="23">
        <f>IFERROR(__xludf.DUMMYFUNCTION("""COMPUTED_VALUE"""),44843.566113483794)</f>
        <v>44843.56611</v>
      </c>
      <c r="B696" s="24" t="str">
        <f>IFERROR(__xludf.DUMMYFUNCTION("""COMPUTED_VALUE"""),"Dorja")</f>
        <v>Dorja</v>
      </c>
      <c r="C696" s="24">
        <f>IFERROR(__xludf.DUMMYFUNCTION("""COMPUTED_VALUE"""),665.0)</f>
        <v>665</v>
      </c>
      <c r="D696" s="24" t="str">
        <f>IFERROR(__xludf.DUMMYFUNCTION("""COMPUTED_VALUE"""),"Amazon")</f>
        <v>Amazon</v>
      </c>
      <c r="F696" s="23">
        <f>IFERROR(__xludf.DUMMYFUNCTION("""COMPUTED_VALUE"""),44748.739122847226)</f>
        <v>44748.73912</v>
      </c>
      <c r="G696" s="24" t="str">
        <f>IFERROR(__xludf.DUMMYFUNCTION("""COMPUTED_VALUE"""),"Karen expired ")</f>
        <v>Karen expired </v>
      </c>
      <c r="H696" s="24">
        <f>IFERROR(__xludf.DUMMYFUNCTION("""COMPUTED_VALUE"""),63.0)</f>
        <v>63</v>
      </c>
      <c r="I696" s="24"/>
    </row>
    <row r="697">
      <c r="A697" s="23">
        <f>IFERROR(__xludf.DUMMYFUNCTION("""COMPUTED_VALUE"""),44846.0)</f>
        <v>44846</v>
      </c>
      <c r="B697" s="24" t="str">
        <f>IFERROR(__xludf.DUMMYFUNCTION("""COMPUTED_VALUE"""),"Claire")</f>
        <v>Claire</v>
      </c>
      <c r="C697" s="24">
        <f>IFERROR(__xludf.DUMMYFUNCTION("""COMPUTED_VALUE"""),538.0)</f>
        <v>538</v>
      </c>
      <c r="D697" s="24" t="str">
        <f>IFERROR(__xludf.DUMMYFUNCTION("""COMPUTED_VALUE"""),"First Fruits Farm")</f>
        <v>First Fruits Farm</v>
      </c>
      <c r="F697" s="23">
        <f>IFERROR(__xludf.DUMMYFUNCTION("""COMPUTED_VALUE"""),44748.7393928588)</f>
        <v>44748.73939</v>
      </c>
      <c r="G697" s="24" t="str">
        <f>IFERROR(__xludf.DUMMYFUNCTION("""COMPUTED_VALUE"""),"Karen donation ")</f>
        <v>Karen donation </v>
      </c>
      <c r="H697" s="24">
        <f>IFERROR(__xludf.DUMMYFUNCTION("""COMPUTED_VALUE"""),11.0)</f>
        <v>11</v>
      </c>
      <c r="I697" s="24"/>
    </row>
    <row r="698">
      <c r="A698" s="23">
        <f>IFERROR(__xludf.DUMMYFUNCTION("""COMPUTED_VALUE"""),44846.0)</f>
        <v>44846</v>
      </c>
      <c r="B698" s="24" t="str">
        <f>IFERROR(__xludf.DUMMYFUNCTION("""COMPUTED_VALUE"""),"Claire")</f>
        <v>Claire</v>
      </c>
      <c r="C698" s="24">
        <f>IFERROR(__xludf.DUMMYFUNCTION("""COMPUTED_VALUE"""),1014.0)</f>
        <v>1014</v>
      </c>
      <c r="D698" s="24" t="str">
        <f>IFERROR(__xludf.DUMMYFUNCTION("""COMPUTED_VALUE"""),"First Fruits Farm")</f>
        <v>First Fruits Farm</v>
      </c>
      <c r="F698" s="23">
        <f>IFERROR(__xludf.DUMMYFUNCTION("""COMPUTED_VALUE"""),44748.771788356484)</f>
        <v>44748.77179</v>
      </c>
      <c r="G698" s="24" t="str">
        <f>IFERROR(__xludf.DUMMYFUNCTION("""COMPUTED_VALUE"""),"Claire")</f>
        <v>Claire</v>
      </c>
      <c r="H698" s="24">
        <f>IFERROR(__xludf.DUMMYFUNCTION("""COMPUTED_VALUE"""),235.0)</f>
        <v>235</v>
      </c>
      <c r="I698" s="24" t="str">
        <f>IFERROR(__xludf.DUMMYFUNCTION("""COMPUTED_VALUE"""),"Amazon")</f>
        <v>Amazon</v>
      </c>
    </row>
    <row r="699">
      <c r="A699" s="23">
        <f>IFERROR(__xludf.DUMMYFUNCTION("""COMPUTED_VALUE"""),44846.0)</f>
        <v>44846</v>
      </c>
      <c r="B699" s="24" t="str">
        <f>IFERROR(__xludf.DUMMYFUNCTION("""COMPUTED_VALUE"""),"Claire")</f>
        <v>Claire</v>
      </c>
      <c r="C699" s="24">
        <f>IFERROR(__xludf.DUMMYFUNCTION("""COMPUTED_VALUE"""),1060.0)</f>
        <v>1060</v>
      </c>
      <c r="D699" s="24" t="str">
        <f>IFERROR(__xludf.DUMMYFUNCTION("""COMPUTED_VALUE"""),"First Fruits Farm")</f>
        <v>First Fruits Farm</v>
      </c>
      <c r="F699" s="23">
        <f>IFERROR(__xludf.DUMMYFUNCTION("""COMPUTED_VALUE"""),44748.772032361114)</f>
        <v>44748.77203</v>
      </c>
      <c r="G699" s="24" t="str">
        <f>IFERROR(__xludf.DUMMYFUNCTION("""COMPUTED_VALUE"""),"Claire")</f>
        <v>Claire</v>
      </c>
      <c r="H699" s="24">
        <f>IFERROR(__xludf.DUMMYFUNCTION("""COMPUTED_VALUE"""),839.0)</f>
        <v>839</v>
      </c>
      <c r="I699" s="24" t="str">
        <f>IFERROR(__xludf.DUMMYFUNCTION("""COMPUTED_VALUE"""),"Amazon")</f>
        <v>Amazon</v>
      </c>
    </row>
    <row r="700">
      <c r="A700" s="23">
        <f>IFERROR(__xludf.DUMMYFUNCTION("""COMPUTED_VALUE"""),44846.0)</f>
        <v>44846</v>
      </c>
      <c r="B700" s="24" t="str">
        <f>IFERROR(__xludf.DUMMYFUNCTION("""COMPUTED_VALUE"""),"Claire")</f>
        <v>Claire</v>
      </c>
      <c r="C700" s="24">
        <f>IFERROR(__xludf.DUMMYFUNCTION("""COMPUTED_VALUE"""),38.0)</f>
        <v>38</v>
      </c>
      <c r="D700" s="24" t="str">
        <f>IFERROR(__xludf.DUMMYFUNCTION("""COMPUTED_VALUE"""),"Sandtown ")</f>
        <v>Sandtown </v>
      </c>
      <c r="F700" s="23">
        <f>IFERROR(__xludf.DUMMYFUNCTION("""COMPUTED_VALUE"""),44748.77227306712)</f>
        <v>44748.77227</v>
      </c>
      <c r="G700" s="24" t="str">
        <f>IFERROR(__xludf.DUMMYFUNCTION("""COMPUTED_VALUE"""),"Claire")</f>
        <v>Claire</v>
      </c>
      <c r="H700" s="24">
        <f>IFERROR(__xludf.DUMMYFUNCTION("""COMPUTED_VALUE"""),796.0)</f>
        <v>796</v>
      </c>
      <c r="I700" s="24" t="str">
        <f>IFERROR(__xludf.DUMMYFUNCTION("""COMPUTED_VALUE"""),"Amazon")</f>
        <v>Amazon</v>
      </c>
    </row>
    <row r="701">
      <c r="A701" s="23">
        <f>IFERROR(__xludf.DUMMYFUNCTION("""COMPUTED_VALUE"""),44846.617271331015)</f>
        <v>44846.61727</v>
      </c>
      <c r="B701" s="24" t="str">
        <f>IFERROR(__xludf.DUMMYFUNCTION("""COMPUTED_VALUE"""),"JC")</f>
        <v>JC</v>
      </c>
      <c r="C701" s="24">
        <f>IFERROR(__xludf.DUMMYFUNCTION("""COMPUTED_VALUE"""),1324.0)</f>
        <v>1324</v>
      </c>
      <c r="D701" s="24" t="str">
        <f>IFERROR(__xludf.DUMMYFUNCTION("""COMPUTED_VALUE"""),"Whitebox")</f>
        <v>Whitebox</v>
      </c>
      <c r="F701" s="23">
        <f>IFERROR(__xludf.DUMMYFUNCTION("""COMPUTED_VALUE"""),44748.77250958333)</f>
        <v>44748.77251</v>
      </c>
      <c r="G701" s="24" t="str">
        <f>IFERROR(__xludf.DUMMYFUNCTION("""COMPUTED_VALUE"""),"Claire")</f>
        <v>Claire</v>
      </c>
      <c r="H701" s="24">
        <f>IFERROR(__xludf.DUMMYFUNCTION("""COMPUTED_VALUE"""),868.0)</f>
        <v>868</v>
      </c>
      <c r="I701" s="24" t="str">
        <f>IFERROR(__xludf.DUMMYFUNCTION("""COMPUTED_VALUE"""),"Amazon")</f>
        <v>Amazon</v>
      </c>
    </row>
    <row r="702">
      <c r="A702" s="23">
        <f>IFERROR(__xludf.DUMMYFUNCTION("""COMPUTED_VALUE"""),44846.61753427083)</f>
        <v>44846.61753</v>
      </c>
      <c r="B702" s="24" t="str">
        <f>IFERROR(__xludf.DUMMYFUNCTION("""COMPUTED_VALUE"""),"Jc")</f>
        <v>Jc</v>
      </c>
      <c r="C702" s="24">
        <f>IFERROR(__xludf.DUMMYFUNCTION("""COMPUTED_VALUE"""),1328.0)</f>
        <v>1328</v>
      </c>
      <c r="D702" s="24" t="str">
        <f>IFERROR(__xludf.DUMMYFUNCTION("""COMPUTED_VALUE"""),"Whitebox")</f>
        <v>Whitebox</v>
      </c>
      <c r="F702" s="23">
        <f>IFERROR(__xludf.DUMMYFUNCTION("""COMPUTED_VALUE"""),44748.772690185186)</f>
        <v>44748.77269</v>
      </c>
      <c r="G702" s="24" t="str">
        <f>IFERROR(__xludf.DUMMYFUNCTION("""COMPUTED_VALUE"""),"Claire")</f>
        <v>Claire</v>
      </c>
      <c r="H702" s="24">
        <f>IFERROR(__xludf.DUMMYFUNCTION("""COMPUTED_VALUE"""),410.0)</f>
        <v>410</v>
      </c>
      <c r="I702" s="24" t="str">
        <f>IFERROR(__xludf.DUMMYFUNCTION("""COMPUTED_VALUE"""),"Amazon")</f>
        <v>Amazon</v>
      </c>
    </row>
    <row r="703">
      <c r="A703" s="23">
        <f>IFERROR(__xludf.DUMMYFUNCTION("""COMPUTED_VALUE"""),44846.617798263884)</f>
        <v>44846.6178</v>
      </c>
      <c r="B703" s="24" t="str">
        <f>IFERROR(__xludf.DUMMYFUNCTION("""COMPUTED_VALUE"""),"JC")</f>
        <v>JC</v>
      </c>
      <c r="C703" s="24">
        <f>IFERROR(__xludf.DUMMYFUNCTION("""COMPUTED_VALUE"""),1313.0)</f>
        <v>1313</v>
      </c>
      <c r="D703" s="24" t="str">
        <f>IFERROR(__xludf.DUMMYFUNCTION("""COMPUTED_VALUE"""),"Whitebox")</f>
        <v>Whitebox</v>
      </c>
      <c r="F703" s="23">
        <f>IFERROR(__xludf.DUMMYFUNCTION("""COMPUTED_VALUE"""),44748.77286753472)</f>
        <v>44748.77287</v>
      </c>
      <c r="G703" s="24" t="str">
        <f>IFERROR(__xludf.DUMMYFUNCTION("""COMPUTED_VALUE"""),"Claire")</f>
        <v>Claire</v>
      </c>
      <c r="H703" s="24">
        <f>IFERROR(__xludf.DUMMYFUNCTION("""COMPUTED_VALUE"""),926.0)</f>
        <v>926</v>
      </c>
      <c r="I703" s="24" t="str">
        <f>IFERROR(__xludf.DUMMYFUNCTION("""COMPUTED_VALUE"""),"Amazon")</f>
        <v>Amazon</v>
      </c>
    </row>
    <row r="704">
      <c r="A704" s="23">
        <f>IFERROR(__xludf.DUMMYFUNCTION("""COMPUTED_VALUE"""),44846.61804396991)</f>
        <v>44846.61804</v>
      </c>
      <c r="B704" s="24" t="str">
        <f>IFERROR(__xludf.DUMMYFUNCTION("""COMPUTED_VALUE"""),"JC")</f>
        <v>JC</v>
      </c>
      <c r="C704" s="24">
        <f>IFERROR(__xludf.DUMMYFUNCTION("""COMPUTED_VALUE"""),1311.0)</f>
        <v>1311</v>
      </c>
      <c r="D704" s="24" t="str">
        <f>IFERROR(__xludf.DUMMYFUNCTION("""COMPUTED_VALUE"""),"Whitebox")</f>
        <v>Whitebox</v>
      </c>
      <c r="F704" s="23">
        <f>IFERROR(__xludf.DUMMYFUNCTION("""COMPUTED_VALUE"""),44748.773069814815)</f>
        <v>44748.77307</v>
      </c>
      <c r="G704" s="24" t="str">
        <f>IFERROR(__xludf.DUMMYFUNCTION("""COMPUTED_VALUE"""),"Claire")</f>
        <v>Claire</v>
      </c>
      <c r="H704" s="24">
        <f>IFERROR(__xludf.DUMMYFUNCTION("""COMPUTED_VALUE"""),513.0)</f>
        <v>513</v>
      </c>
      <c r="I704" s="24" t="str">
        <f>IFERROR(__xludf.DUMMYFUNCTION("""COMPUTED_VALUE"""),"Amazon")</f>
        <v>Amazon</v>
      </c>
    </row>
    <row r="705">
      <c r="A705" s="23">
        <f>IFERROR(__xludf.DUMMYFUNCTION("""COMPUTED_VALUE"""),44846.618281539355)</f>
        <v>44846.61828</v>
      </c>
      <c r="B705" s="24" t="str">
        <f>IFERROR(__xludf.DUMMYFUNCTION("""COMPUTED_VALUE"""),"JC")</f>
        <v>JC</v>
      </c>
      <c r="C705" s="24">
        <f>IFERROR(__xludf.DUMMYFUNCTION("""COMPUTED_VALUE"""),1312.0)</f>
        <v>1312</v>
      </c>
      <c r="D705" s="24" t="str">
        <f>IFERROR(__xludf.DUMMYFUNCTION("""COMPUTED_VALUE"""),"Whitebox")</f>
        <v>Whitebox</v>
      </c>
      <c r="F705" s="23">
        <f>IFERROR(__xludf.DUMMYFUNCTION("""COMPUTED_VALUE"""),44748.773562291666)</f>
        <v>44748.77356</v>
      </c>
      <c r="G705" s="24" t="str">
        <f>IFERROR(__xludf.DUMMYFUNCTION("""COMPUTED_VALUE"""),"Claire")</f>
        <v>Claire</v>
      </c>
      <c r="H705" s="24">
        <f>IFERROR(__xludf.DUMMYFUNCTION("""COMPUTED_VALUE"""),503.0)</f>
        <v>503</v>
      </c>
      <c r="I705" s="24" t="str">
        <f>IFERROR(__xludf.DUMMYFUNCTION("""COMPUTED_VALUE"""),"Amazon")</f>
        <v>Amazon</v>
      </c>
    </row>
    <row r="706">
      <c r="A706" s="23">
        <f>IFERROR(__xludf.DUMMYFUNCTION("""COMPUTED_VALUE"""),44846.61849939815)</f>
        <v>44846.6185</v>
      </c>
      <c r="B706" s="24" t="str">
        <f>IFERROR(__xludf.DUMMYFUNCTION("""COMPUTED_VALUE"""),"JC")</f>
        <v>JC</v>
      </c>
      <c r="C706" s="24">
        <f>IFERROR(__xludf.DUMMYFUNCTION("""COMPUTED_VALUE"""),1324.0)</f>
        <v>1324</v>
      </c>
      <c r="D706" s="24" t="str">
        <f>IFERROR(__xludf.DUMMYFUNCTION("""COMPUTED_VALUE"""),"Whitebox")</f>
        <v>Whitebox</v>
      </c>
      <c r="F706" s="23">
        <f>IFERROR(__xludf.DUMMYFUNCTION("""COMPUTED_VALUE"""),44748.77375050926)</f>
        <v>44748.77375</v>
      </c>
      <c r="G706" s="24" t="str">
        <f>IFERROR(__xludf.DUMMYFUNCTION("""COMPUTED_VALUE"""),"Claire")</f>
        <v>Claire</v>
      </c>
      <c r="H706" s="24">
        <f>IFERROR(__xludf.DUMMYFUNCTION("""COMPUTED_VALUE"""),907.0)</f>
        <v>907</v>
      </c>
      <c r="I706" s="24" t="str">
        <f>IFERROR(__xludf.DUMMYFUNCTION("""COMPUTED_VALUE"""),"Amazon")</f>
        <v>Amazon</v>
      </c>
    </row>
    <row r="707">
      <c r="A707" s="23">
        <f>IFERROR(__xludf.DUMMYFUNCTION("""COMPUTED_VALUE"""),44846.61871699074)</f>
        <v>44846.61872</v>
      </c>
      <c r="B707" s="24" t="str">
        <f>IFERROR(__xludf.DUMMYFUNCTION("""COMPUTED_VALUE"""),"JC")</f>
        <v>JC</v>
      </c>
      <c r="C707" s="24">
        <f>IFERROR(__xludf.DUMMYFUNCTION("""COMPUTED_VALUE"""),863.0)</f>
        <v>863</v>
      </c>
      <c r="D707" s="24" t="str">
        <f>IFERROR(__xludf.DUMMYFUNCTION("""COMPUTED_VALUE"""),"Whitebox")</f>
        <v>Whitebox</v>
      </c>
      <c r="F707" s="23">
        <f>IFERROR(__xludf.DUMMYFUNCTION("""COMPUTED_VALUE"""),44748.77392975694)</f>
        <v>44748.77393</v>
      </c>
      <c r="G707" s="24" t="str">
        <f>IFERROR(__xludf.DUMMYFUNCTION("""COMPUTED_VALUE"""),"Claire")</f>
        <v>Claire</v>
      </c>
      <c r="H707" s="24">
        <f>IFERROR(__xludf.DUMMYFUNCTION("""COMPUTED_VALUE"""),358.0)</f>
        <v>358</v>
      </c>
      <c r="I707" s="24" t="str">
        <f>IFERROR(__xludf.DUMMYFUNCTION("""COMPUTED_VALUE"""),"Amazon")</f>
        <v>Amazon</v>
      </c>
    </row>
    <row r="708">
      <c r="A708" s="23">
        <f>IFERROR(__xludf.DUMMYFUNCTION("""COMPUTED_VALUE"""),44846.6189482176)</f>
        <v>44846.61895</v>
      </c>
      <c r="B708" s="24" t="str">
        <f>IFERROR(__xludf.DUMMYFUNCTION("""COMPUTED_VALUE"""),"JC")</f>
        <v>JC</v>
      </c>
      <c r="C708" s="24">
        <f>IFERROR(__xludf.DUMMYFUNCTION("""COMPUTED_VALUE"""),1321.0)</f>
        <v>1321</v>
      </c>
      <c r="D708" s="24" t="str">
        <f>IFERROR(__xludf.DUMMYFUNCTION("""COMPUTED_VALUE"""),"Whitebox")</f>
        <v>Whitebox</v>
      </c>
      <c r="F708" s="23">
        <f>IFERROR(__xludf.DUMMYFUNCTION("""COMPUTED_VALUE"""),44748.774097615744)</f>
        <v>44748.7741</v>
      </c>
      <c r="G708" s="24" t="str">
        <f>IFERROR(__xludf.DUMMYFUNCTION("""COMPUTED_VALUE"""),"Claire")</f>
        <v>Claire</v>
      </c>
      <c r="H708" s="24">
        <f>IFERROR(__xludf.DUMMYFUNCTION("""COMPUTED_VALUE"""),543.0)</f>
        <v>543</v>
      </c>
      <c r="I708" s="24" t="str">
        <f>IFERROR(__xludf.DUMMYFUNCTION("""COMPUTED_VALUE"""),"Amazon")</f>
        <v>Amazon</v>
      </c>
    </row>
    <row r="709">
      <c r="A709" s="23">
        <f>IFERROR(__xludf.DUMMYFUNCTION("""COMPUTED_VALUE"""),44846.6192419213)</f>
        <v>44846.61924</v>
      </c>
      <c r="B709" s="24" t="str">
        <f>IFERROR(__xludf.DUMMYFUNCTION("""COMPUTED_VALUE"""),"JC")</f>
        <v>JC</v>
      </c>
      <c r="C709" s="24">
        <f>IFERROR(__xludf.DUMMYFUNCTION("""COMPUTED_VALUE"""),1322.0)</f>
        <v>1322</v>
      </c>
      <c r="D709" s="24" t="str">
        <f>IFERROR(__xludf.DUMMYFUNCTION("""COMPUTED_VALUE"""),"Whitebox")</f>
        <v>Whitebox</v>
      </c>
      <c r="F709" s="23">
        <f>IFERROR(__xludf.DUMMYFUNCTION("""COMPUTED_VALUE"""),44748.77426626157)</f>
        <v>44748.77427</v>
      </c>
      <c r="G709" s="24" t="str">
        <f>IFERROR(__xludf.DUMMYFUNCTION("""COMPUTED_VALUE"""),"Claire")</f>
        <v>Claire</v>
      </c>
      <c r="H709" s="24">
        <f>IFERROR(__xludf.DUMMYFUNCTION("""COMPUTED_VALUE"""),712.0)</f>
        <v>712</v>
      </c>
      <c r="I709" s="24" t="str">
        <f>IFERROR(__xludf.DUMMYFUNCTION("""COMPUTED_VALUE"""),"Amazon")</f>
        <v>Amazon</v>
      </c>
    </row>
    <row r="710">
      <c r="A710" s="23">
        <f>IFERROR(__xludf.DUMMYFUNCTION("""COMPUTED_VALUE"""),44846.61947521991)</f>
        <v>44846.61948</v>
      </c>
      <c r="B710" s="24" t="str">
        <f>IFERROR(__xludf.DUMMYFUNCTION("""COMPUTED_VALUE"""),"JC")</f>
        <v>JC</v>
      </c>
      <c r="C710" s="24">
        <f>IFERROR(__xludf.DUMMYFUNCTION("""COMPUTED_VALUE"""),1327.0)</f>
        <v>1327</v>
      </c>
      <c r="D710" s="24" t="str">
        <f>IFERROR(__xludf.DUMMYFUNCTION("""COMPUTED_VALUE"""),"Whitebox")</f>
        <v>Whitebox</v>
      </c>
      <c r="F710" s="23">
        <f>IFERROR(__xludf.DUMMYFUNCTION("""COMPUTED_VALUE"""),44748.86949146991)</f>
        <v>44748.86949</v>
      </c>
      <c r="G710" s="24" t="str">
        <f>IFERROR(__xludf.DUMMYFUNCTION("""COMPUTED_VALUE"""),"Connor Gephart")</f>
        <v>Connor Gephart</v>
      </c>
      <c r="H710" s="24">
        <f>IFERROR(__xludf.DUMMYFUNCTION("""COMPUTED_VALUE"""),12.0)</f>
        <v>12</v>
      </c>
      <c r="I710" s="24"/>
    </row>
    <row r="711">
      <c r="A711" s="23">
        <f>IFERROR(__xludf.DUMMYFUNCTION("""COMPUTED_VALUE"""),44846.61973680555)</f>
        <v>44846.61974</v>
      </c>
      <c r="B711" s="24" t="str">
        <f>IFERROR(__xludf.DUMMYFUNCTION("""COMPUTED_VALUE"""),"JC")</f>
        <v>JC</v>
      </c>
      <c r="C711" s="24">
        <f>IFERROR(__xludf.DUMMYFUNCTION("""COMPUTED_VALUE"""),1094.0)</f>
        <v>1094</v>
      </c>
      <c r="D711" s="24" t="str">
        <f>IFERROR(__xludf.DUMMYFUNCTION("""COMPUTED_VALUE"""),"Whitebox")</f>
        <v>Whitebox</v>
      </c>
      <c r="F711" s="23">
        <f>IFERROR(__xludf.DUMMYFUNCTION("""COMPUTED_VALUE"""),44748.87680327547)</f>
        <v>44748.8768</v>
      </c>
      <c r="G711" s="24" t="str">
        <f>IFERROR(__xludf.DUMMYFUNCTION("""COMPUTED_VALUE"""),"Camille")</f>
        <v>Camille</v>
      </c>
      <c r="H711" s="24">
        <f>IFERROR(__xludf.DUMMYFUNCTION("""COMPUTED_VALUE"""),10.0)</f>
        <v>10</v>
      </c>
      <c r="I711" s="24"/>
    </row>
    <row r="712">
      <c r="A712" s="23">
        <f>IFERROR(__xludf.DUMMYFUNCTION("""COMPUTED_VALUE"""),44848.56415273148)</f>
        <v>44848.56415</v>
      </c>
      <c r="B712" s="24" t="str">
        <f>IFERROR(__xludf.DUMMYFUNCTION("""COMPUTED_VALUE"""),"Claire")</f>
        <v>Claire</v>
      </c>
      <c r="C712" s="24">
        <f>IFERROR(__xludf.DUMMYFUNCTION("""COMPUTED_VALUE"""),240.0)</f>
        <v>240</v>
      </c>
      <c r="D712" s="24" t="str">
        <f>IFERROR(__xludf.DUMMYFUNCTION("""COMPUTED_VALUE"""),"Whitebox")</f>
        <v>Whitebox</v>
      </c>
      <c r="F712" s="23">
        <f>IFERROR(__xludf.DUMMYFUNCTION("""COMPUTED_VALUE"""),44748.87687211805)</f>
        <v>44748.87687</v>
      </c>
      <c r="G712" s="24" t="str">
        <f>IFERROR(__xludf.DUMMYFUNCTION("""COMPUTED_VALUE"""),"Cybil Bailey")</f>
        <v>Cybil Bailey</v>
      </c>
      <c r="H712" s="24">
        <f>IFERROR(__xludf.DUMMYFUNCTION("""COMPUTED_VALUE"""),9.0)</f>
        <v>9</v>
      </c>
      <c r="I712" s="24"/>
    </row>
    <row r="713">
      <c r="A713" s="23">
        <f>IFERROR(__xludf.DUMMYFUNCTION("""COMPUTED_VALUE"""),44848.56442078704)</f>
        <v>44848.56442</v>
      </c>
      <c r="B713" s="24" t="str">
        <f>IFERROR(__xludf.DUMMYFUNCTION("""COMPUTED_VALUE"""),"Claire")</f>
        <v>Claire</v>
      </c>
      <c r="C713" s="24">
        <f>IFERROR(__xludf.DUMMYFUNCTION("""COMPUTED_VALUE"""),184.0)</f>
        <v>184</v>
      </c>
      <c r="D713" s="24" t="str">
        <f>IFERROR(__xludf.DUMMYFUNCTION("""COMPUTED_VALUE"""),"Whitebox")</f>
        <v>Whitebox</v>
      </c>
      <c r="F713" s="23">
        <f>IFERROR(__xludf.DUMMYFUNCTION("""COMPUTED_VALUE"""),44748.8769196875)</f>
        <v>44748.87692</v>
      </c>
      <c r="G713" s="24" t="str">
        <f>IFERROR(__xludf.DUMMYFUNCTION("""COMPUTED_VALUE"""),"Solene ")</f>
        <v>Solene </v>
      </c>
      <c r="H713" s="24">
        <f>IFERROR(__xludf.DUMMYFUNCTION("""COMPUTED_VALUE"""),8.0)</f>
        <v>8</v>
      </c>
      <c r="I713" s="24"/>
    </row>
    <row r="714">
      <c r="A714" s="23">
        <f>IFERROR(__xludf.DUMMYFUNCTION("""COMPUTED_VALUE"""),44848.56461527778)</f>
        <v>44848.56462</v>
      </c>
      <c r="B714" s="24" t="str">
        <f>IFERROR(__xludf.DUMMYFUNCTION("""COMPUTED_VALUE"""),"Claire")</f>
        <v>Claire</v>
      </c>
      <c r="C714" s="24">
        <f>IFERROR(__xludf.DUMMYFUNCTION("""COMPUTED_VALUE"""),222.0)</f>
        <v>222</v>
      </c>
      <c r="D714" s="24" t="str">
        <f>IFERROR(__xludf.DUMMYFUNCTION("""COMPUTED_VALUE"""),"Whitebox")</f>
        <v>Whitebox</v>
      </c>
      <c r="F714" s="23">
        <f>IFERROR(__xludf.DUMMYFUNCTION("""COMPUTED_VALUE"""),44748.88214431713)</f>
        <v>44748.88214</v>
      </c>
      <c r="G714" s="24" t="str">
        <f>IFERROR(__xludf.DUMMYFUNCTION("""COMPUTED_VALUE"""),"Dee Satterfield")</f>
        <v>Dee Satterfield</v>
      </c>
      <c r="H714" s="24">
        <f>IFERROR(__xludf.DUMMYFUNCTION("""COMPUTED_VALUE"""),20.0)</f>
        <v>20</v>
      </c>
      <c r="I714" s="24"/>
    </row>
    <row r="715">
      <c r="A715" s="23">
        <f>IFERROR(__xludf.DUMMYFUNCTION("""COMPUTED_VALUE"""),44848.564809930554)</f>
        <v>44848.56481</v>
      </c>
      <c r="B715" s="24" t="str">
        <f>IFERROR(__xludf.DUMMYFUNCTION("""COMPUTED_VALUE"""),"Claire")</f>
        <v>Claire</v>
      </c>
      <c r="C715" s="24">
        <f>IFERROR(__xludf.DUMMYFUNCTION("""COMPUTED_VALUE"""),215.0)</f>
        <v>215</v>
      </c>
      <c r="D715" s="24" t="str">
        <f>IFERROR(__xludf.DUMMYFUNCTION("""COMPUTED_VALUE"""),"Whitebox")</f>
        <v>Whitebox</v>
      </c>
      <c r="F715" s="23">
        <f>IFERROR(__xludf.DUMMYFUNCTION("""COMPUTED_VALUE"""),44748.88251159722)</f>
        <v>44748.88251</v>
      </c>
      <c r="G715" s="24" t="str">
        <f>IFERROR(__xludf.DUMMYFUNCTION("""COMPUTED_VALUE"""),"Dee Satterfield")</f>
        <v>Dee Satterfield</v>
      </c>
      <c r="H715" s="24">
        <f>IFERROR(__xludf.DUMMYFUNCTION("""COMPUTED_VALUE"""),20.0)</f>
        <v>20</v>
      </c>
      <c r="I715" s="24"/>
    </row>
    <row r="716">
      <c r="A716" s="23">
        <f>IFERROR(__xludf.DUMMYFUNCTION("""COMPUTED_VALUE"""),44848.56501032408)</f>
        <v>44848.56501</v>
      </c>
      <c r="B716" s="24" t="str">
        <f>IFERROR(__xludf.DUMMYFUNCTION("""COMPUTED_VALUE"""),"Claire")</f>
        <v>Claire</v>
      </c>
      <c r="C716" s="24">
        <f>IFERROR(__xludf.DUMMYFUNCTION("""COMPUTED_VALUE"""),206.0)</f>
        <v>206</v>
      </c>
      <c r="D716" s="24" t="str">
        <f>IFERROR(__xludf.DUMMYFUNCTION("""COMPUTED_VALUE"""),"Whitebox")</f>
        <v>Whitebox</v>
      </c>
      <c r="F716" s="23">
        <f>IFERROR(__xludf.DUMMYFUNCTION("""COMPUTED_VALUE"""),44748.896399247686)</f>
        <v>44748.8964</v>
      </c>
      <c r="G716" s="24" t="str">
        <f>IFERROR(__xludf.DUMMYFUNCTION("""COMPUTED_VALUE"""),"Shaneen")</f>
        <v>Shaneen</v>
      </c>
      <c r="H716" s="24">
        <f>IFERROR(__xludf.DUMMYFUNCTION("""COMPUTED_VALUE"""),24.0)</f>
        <v>24</v>
      </c>
      <c r="I716" s="24"/>
    </row>
    <row r="717">
      <c r="A717" s="23">
        <f>IFERROR(__xludf.DUMMYFUNCTION("""COMPUTED_VALUE"""),44848.565176944445)</f>
        <v>44848.56518</v>
      </c>
      <c r="B717" s="24" t="str">
        <f>IFERROR(__xludf.DUMMYFUNCTION("""COMPUTED_VALUE"""),"Claire")</f>
        <v>Claire</v>
      </c>
      <c r="C717" s="24">
        <f>IFERROR(__xludf.DUMMYFUNCTION("""COMPUTED_VALUE"""),233.0)</f>
        <v>233</v>
      </c>
      <c r="D717" s="24" t="str">
        <f>IFERROR(__xludf.DUMMYFUNCTION("""COMPUTED_VALUE"""),"Whitebox")</f>
        <v>Whitebox</v>
      </c>
      <c r="F717" s="23">
        <f>IFERROR(__xludf.DUMMYFUNCTION("""COMPUTED_VALUE"""),44748.89657959491)</f>
        <v>44748.89658</v>
      </c>
      <c r="G717" s="24" t="str">
        <f>IFERROR(__xludf.DUMMYFUNCTION("""COMPUTED_VALUE"""),"Shaneen Expired Food")</f>
        <v>Shaneen Expired Food</v>
      </c>
      <c r="H717" s="24">
        <f>IFERROR(__xludf.DUMMYFUNCTION("""COMPUTED_VALUE"""),34.0)</f>
        <v>34</v>
      </c>
      <c r="I717" s="24"/>
    </row>
    <row r="718">
      <c r="A718" s="23">
        <f>IFERROR(__xludf.DUMMYFUNCTION("""COMPUTED_VALUE"""),44848.565398032406)</f>
        <v>44848.5654</v>
      </c>
      <c r="B718" s="24" t="str">
        <f>IFERROR(__xludf.DUMMYFUNCTION("""COMPUTED_VALUE"""),"Claire")</f>
        <v>Claire</v>
      </c>
      <c r="C718" s="24">
        <f>IFERROR(__xludf.DUMMYFUNCTION("""COMPUTED_VALUE"""),217.0)</f>
        <v>217</v>
      </c>
      <c r="D718" s="24" t="str">
        <f>IFERROR(__xludf.DUMMYFUNCTION("""COMPUTED_VALUE"""),"Whitebox")</f>
        <v>Whitebox</v>
      </c>
      <c r="F718" s="23">
        <f>IFERROR(__xludf.DUMMYFUNCTION("""COMPUTED_VALUE"""),44749.0)</f>
        <v>44749</v>
      </c>
      <c r="G718" s="24" t="str">
        <f>IFERROR(__xludf.DUMMYFUNCTION("""COMPUTED_VALUE"""),"Denise Brown")</f>
        <v>Denise Brown</v>
      </c>
      <c r="H718" s="24">
        <f>IFERROR(__xludf.DUMMYFUNCTION("""COMPUTED_VALUE"""),20.0)</f>
        <v>20</v>
      </c>
      <c r="I718" s="24"/>
    </row>
    <row r="719">
      <c r="A719" s="23">
        <f>IFERROR(__xludf.DUMMYFUNCTION("""COMPUTED_VALUE"""),44848.565654178245)</f>
        <v>44848.56565</v>
      </c>
      <c r="B719" s="24" t="str">
        <f>IFERROR(__xludf.DUMMYFUNCTION("""COMPUTED_VALUE"""),"Claire")</f>
        <v>Claire</v>
      </c>
      <c r="C719" s="24">
        <f>IFERROR(__xludf.DUMMYFUNCTION("""COMPUTED_VALUE"""),226.0)</f>
        <v>226</v>
      </c>
      <c r="D719" s="24" t="str">
        <f>IFERROR(__xludf.DUMMYFUNCTION("""COMPUTED_VALUE"""),"Whitebox")</f>
        <v>Whitebox</v>
      </c>
      <c r="F719" s="23">
        <f>IFERROR(__xludf.DUMMYFUNCTION("""COMPUTED_VALUE"""),44749.0)</f>
        <v>44749</v>
      </c>
      <c r="G719" s="24" t="str">
        <f>IFERROR(__xludf.DUMMYFUNCTION("""COMPUTED_VALUE"""),"Hong Xue")</f>
        <v>Hong Xue</v>
      </c>
      <c r="H719" s="24">
        <f>IFERROR(__xludf.DUMMYFUNCTION("""COMPUTED_VALUE"""),21.0)</f>
        <v>21</v>
      </c>
      <c r="I719" s="24"/>
    </row>
    <row r="720">
      <c r="A720" s="23">
        <f>IFERROR(__xludf.DUMMYFUNCTION("""COMPUTED_VALUE"""),44848.56583392361)</f>
        <v>44848.56583</v>
      </c>
      <c r="B720" s="24" t="str">
        <f>IFERROR(__xludf.DUMMYFUNCTION("""COMPUTED_VALUE"""),"Claire")</f>
        <v>Claire</v>
      </c>
      <c r="C720" s="24">
        <f>IFERROR(__xludf.DUMMYFUNCTION("""COMPUTED_VALUE"""),262.0)</f>
        <v>262</v>
      </c>
      <c r="D720" s="24" t="str">
        <f>IFERROR(__xludf.DUMMYFUNCTION("""COMPUTED_VALUE"""),"Whitebox")</f>
        <v>Whitebox</v>
      </c>
      <c r="F720" s="23">
        <f>IFERROR(__xludf.DUMMYFUNCTION("""COMPUTED_VALUE"""),44749.0)</f>
        <v>44749</v>
      </c>
      <c r="G720" s="24" t="str">
        <f>IFERROR(__xludf.DUMMYFUNCTION("""COMPUTED_VALUE"""),"Hong Xue")</f>
        <v>Hong Xue</v>
      </c>
      <c r="H720" s="24">
        <f>IFERROR(__xludf.DUMMYFUNCTION("""COMPUTED_VALUE"""),51.0)</f>
        <v>51</v>
      </c>
      <c r="I720" s="24"/>
    </row>
    <row r="721">
      <c r="A721" s="23">
        <f>IFERROR(__xludf.DUMMYFUNCTION("""COMPUTED_VALUE"""),44848.56601722222)</f>
        <v>44848.56602</v>
      </c>
      <c r="B721" s="24" t="str">
        <f>IFERROR(__xludf.DUMMYFUNCTION("""COMPUTED_VALUE"""),"Claire")</f>
        <v>Claire</v>
      </c>
      <c r="C721" s="24">
        <f>IFERROR(__xludf.DUMMYFUNCTION("""COMPUTED_VALUE"""),149.0)</f>
        <v>149</v>
      </c>
      <c r="D721" s="24" t="str">
        <f>IFERROR(__xludf.DUMMYFUNCTION("""COMPUTED_VALUE"""),"Whitebox")</f>
        <v>Whitebox</v>
      </c>
      <c r="F721" s="23">
        <f>IFERROR(__xludf.DUMMYFUNCTION("""COMPUTED_VALUE"""),44749.0)</f>
        <v>44749</v>
      </c>
      <c r="G721" s="24" t="str">
        <f>IFERROR(__xludf.DUMMYFUNCTION("""COMPUTED_VALUE"""),"Marci")</f>
        <v>Marci</v>
      </c>
      <c r="H721" s="24">
        <f>IFERROR(__xludf.DUMMYFUNCTION("""COMPUTED_VALUE"""),20.0)</f>
        <v>20</v>
      </c>
      <c r="I721" s="24"/>
    </row>
    <row r="722">
      <c r="A722" s="23">
        <f>IFERROR(__xludf.DUMMYFUNCTION("""COMPUTED_VALUE"""),44848.56620003472)</f>
        <v>44848.5662</v>
      </c>
      <c r="B722" s="24" t="str">
        <f>IFERROR(__xludf.DUMMYFUNCTION("""COMPUTED_VALUE"""),"Claire")</f>
        <v>Claire</v>
      </c>
      <c r="C722" s="24">
        <f>IFERROR(__xludf.DUMMYFUNCTION("""COMPUTED_VALUE"""),151.0)</f>
        <v>151</v>
      </c>
      <c r="D722" s="24" t="str">
        <f>IFERROR(__xludf.DUMMYFUNCTION("""COMPUTED_VALUE"""),"Whitebox")</f>
        <v>Whitebox</v>
      </c>
      <c r="F722" s="23">
        <f>IFERROR(__xludf.DUMMYFUNCTION("""COMPUTED_VALUE"""),44749.0)</f>
        <v>44749</v>
      </c>
      <c r="G722" s="24" t="str">
        <f>IFERROR(__xludf.DUMMYFUNCTION("""COMPUTED_VALUE"""),"Marci")</f>
        <v>Marci</v>
      </c>
      <c r="H722" s="24">
        <f>IFERROR(__xludf.DUMMYFUNCTION("""COMPUTED_VALUE"""),24.0)</f>
        <v>24</v>
      </c>
      <c r="I722" s="24"/>
    </row>
    <row r="723">
      <c r="A723" s="23">
        <f>IFERROR(__xludf.DUMMYFUNCTION("""COMPUTED_VALUE"""),44850.0)</f>
        <v>44850</v>
      </c>
      <c r="B723" s="24" t="str">
        <f>IFERROR(__xludf.DUMMYFUNCTION("""COMPUTED_VALUE"""),"Claire")</f>
        <v>Claire</v>
      </c>
      <c r="C723" s="24">
        <f>IFERROR(__xludf.DUMMYFUNCTION("""COMPUTED_VALUE"""),51.0)</f>
        <v>51</v>
      </c>
      <c r="D723" s="24" t="str">
        <f>IFERROR(__xludf.DUMMYFUNCTION("""COMPUTED_VALUE"""),"Homewood Friends")</f>
        <v>Homewood Friends</v>
      </c>
      <c r="F723" s="23">
        <f>IFERROR(__xludf.DUMMYFUNCTION("""COMPUTED_VALUE"""),44749.0)</f>
        <v>44749</v>
      </c>
      <c r="G723" s="24" t="str">
        <f>IFERROR(__xludf.DUMMYFUNCTION("""COMPUTED_VALUE"""),"Nathaniel Mcclean")</f>
        <v>Nathaniel Mcclean</v>
      </c>
      <c r="H723" s="24">
        <f>IFERROR(__xludf.DUMMYFUNCTION("""COMPUTED_VALUE"""),17.0)</f>
        <v>17</v>
      </c>
      <c r="I723" s="24"/>
    </row>
    <row r="724">
      <c r="A724" s="23">
        <f>IFERROR(__xludf.DUMMYFUNCTION("""COMPUTED_VALUE"""),44850.559554050924)</f>
        <v>44850.55955</v>
      </c>
      <c r="B724" s="24" t="str">
        <f>IFERROR(__xludf.DUMMYFUNCTION("""COMPUTED_VALUE"""),"Dorja")</f>
        <v>Dorja</v>
      </c>
      <c r="C724" s="24">
        <f>IFERROR(__xludf.DUMMYFUNCTION("""COMPUTED_VALUE"""),419.0)</f>
        <v>419</v>
      </c>
      <c r="D724" s="24" t="str">
        <f>IFERROR(__xludf.DUMMYFUNCTION("""COMPUTED_VALUE"""),"Amazon")</f>
        <v>Amazon</v>
      </c>
      <c r="F724" s="23">
        <f>IFERROR(__xludf.DUMMYFUNCTION("""COMPUTED_VALUE"""),44749.0)</f>
        <v>44749</v>
      </c>
      <c r="G724" s="24" t="str">
        <f>IFERROR(__xludf.DUMMYFUNCTION("""COMPUTED_VALUE"""),"Nathaniel Mcclean")</f>
        <v>Nathaniel Mcclean</v>
      </c>
      <c r="H724" s="24">
        <f>IFERROR(__xludf.DUMMYFUNCTION("""COMPUTED_VALUE"""),12.0)</f>
        <v>12</v>
      </c>
      <c r="I724" s="24"/>
    </row>
    <row r="725">
      <c r="A725" s="23">
        <f>IFERROR(__xludf.DUMMYFUNCTION("""COMPUTED_VALUE"""),44850.55992731482)</f>
        <v>44850.55993</v>
      </c>
      <c r="B725" s="24" t="str">
        <f>IFERROR(__xludf.DUMMYFUNCTION("""COMPUTED_VALUE"""),"Dorja")</f>
        <v>Dorja</v>
      </c>
      <c r="C725" s="24">
        <f>IFERROR(__xludf.DUMMYFUNCTION("""COMPUTED_VALUE"""),755.0)</f>
        <v>755</v>
      </c>
      <c r="D725" s="24" t="str">
        <f>IFERROR(__xludf.DUMMYFUNCTION("""COMPUTED_VALUE"""),"Amazon")</f>
        <v>Amazon</v>
      </c>
      <c r="F725" s="23">
        <f>IFERROR(__xludf.DUMMYFUNCTION("""COMPUTED_VALUE"""),44749.7026040625)</f>
        <v>44749.7026</v>
      </c>
      <c r="G725" s="24" t="str">
        <f>IFERROR(__xludf.DUMMYFUNCTION("""COMPUTED_VALUE"""),"Norma Kriger")</f>
        <v>Norma Kriger</v>
      </c>
      <c r="H725" s="24">
        <f>IFERROR(__xludf.DUMMYFUNCTION("""COMPUTED_VALUE"""),16.0)</f>
        <v>16</v>
      </c>
      <c r="I725" s="24"/>
    </row>
    <row r="726">
      <c r="A726" s="23">
        <f>IFERROR(__xludf.DUMMYFUNCTION("""COMPUTED_VALUE"""),44850.56246076389)</f>
        <v>44850.56246</v>
      </c>
      <c r="B726" s="24" t="str">
        <f>IFERROR(__xludf.DUMMYFUNCTION("""COMPUTED_VALUE"""),"Dorja ")</f>
        <v>Dorja </v>
      </c>
      <c r="C726" s="24">
        <f>IFERROR(__xludf.DUMMYFUNCTION("""COMPUTED_VALUE"""),638.0)</f>
        <v>638</v>
      </c>
      <c r="D726" s="24" t="str">
        <f>IFERROR(__xludf.DUMMYFUNCTION("""COMPUTED_VALUE"""),"Amazon")</f>
        <v>Amazon</v>
      </c>
      <c r="F726" s="23">
        <f>IFERROR(__xludf.DUMMYFUNCTION("""COMPUTED_VALUE"""),44749.703682719904)</f>
        <v>44749.70368</v>
      </c>
      <c r="G726" s="24" t="str">
        <f>IFERROR(__xludf.DUMMYFUNCTION("""COMPUTED_VALUE"""),"Jean")</f>
        <v>Jean</v>
      </c>
      <c r="H726" s="24">
        <f>IFERROR(__xludf.DUMMYFUNCTION("""COMPUTED_VALUE"""),33.0)</f>
        <v>33</v>
      </c>
      <c r="I726" s="24"/>
    </row>
    <row r="727">
      <c r="A727" s="23">
        <f>IFERROR(__xludf.DUMMYFUNCTION("""COMPUTED_VALUE"""),44850.56442368055)</f>
        <v>44850.56442</v>
      </c>
      <c r="B727" s="24" t="str">
        <f>IFERROR(__xludf.DUMMYFUNCTION("""COMPUTED_VALUE"""),"Dorja ")</f>
        <v>Dorja </v>
      </c>
      <c r="C727" s="24">
        <f>IFERROR(__xludf.DUMMYFUNCTION("""COMPUTED_VALUE"""),323.0)</f>
        <v>323</v>
      </c>
      <c r="D727" s="24" t="str">
        <f>IFERROR(__xludf.DUMMYFUNCTION("""COMPUTED_VALUE"""),"Amazon")</f>
        <v>Amazon</v>
      </c>
      <c r="F727" s="23">
        <f>IFERROR(__xludf.DUMMYFUNCTION("""COMPUTED_VALUE"""),44749.703923865745)</f>
        <v>44749.70392</v>
      </c>
      <c r="G727" s="24" t="str">
        <f>IFERROR(__xludf.DUMMYFUNCTION("""COMPUTED_VALUE"""),"Jean    xtra")</f>
        <v>Jean    xtra</v>
      </c>
      <c r="H727" s="24">
        <f>IFERROR(__xludf.DUMMYFUNCTION("""COMPUTED_VALUE"""),4.0)</f>
        <v>4</v>
      </c>
      <c r="I727" s="24"/>
    </row>
    <row r="728">
      <c r="A728" s="23">
        <f>IFERROR(__xludf.DUMMYFUNCTION("""COMPUTED_VALUE"""),44850.56642481482)</f>
        <v>44850.56642</v>
      </c>
      <c r="B728" s="24" t="str">
        <f>IFERROR(__xludf.DUMMYFUNCTION("""COMPUTED_VALUE"""),"Dorja ")</f>
        <v>Dorja </v>
      </c>
      <c r="C728" s="24">
        <f>IFERROR(__xludf.DUMMYFUNCTION("""COMPUTED_VALUE"""),697.0)</f>
        <v>697</v>
      </c>
      <c r="D728" s="24" t="str">
        <f>IFERROR(__xludf.DUMMYFUNCTION("""COMPUTED_VALUE"""),"Amazon")</f>
        <v>Amazon</v>
      </c>
      <c r="F728" s="23">
        <f>IFERROR(__xludf.DUMMYFUNCTION("""COMPUTED_VALUE"""),44749.709955590275)</f>
        <v>44749.70996</v>
      </c>
      <c r="G728" s="24" t="str">
        <f>IFERROR(__xludf.DUMMYFUNCTION("""COMPUTED_VALUE"""),"Monah expired")</f>
        <v>Monah expired</v>
      </c>
      <c r="H728" s="24">
        <f>IFERROR(__xludf.DUMMYFUNCTION("""COMPUTED_VALUE"""),47.0)</f>
        <v>47</v>
      </c>
      <c r="I728" s="24"/>
    </row>
    <row r="729">
      <c r="A729" s="23">
        <f>IFERROR(__xludf.DUMMYFUNCTION("""COMPUTED_VALUE"""),44850.56819111111)</f>
        <v>44850.56819</v>
      </c>
      <c r="B729" s="24" t="str">
        <f>IFERROR(__xludf.DUMMYFUNCTION("""COMPUTED_VALUE"""),"Dorja ")</f>
        <v>Dorja </v>
      </c>
      <c r="C729" s="24">
        <f>IFERROR(__xludf.DUMMYFUNCTION("""COMPUTED_VALUE"""),477.0)</f>
        <v>477</v>
      </c>
      <c r="D729" s="24" t="str">
        <f>IFERROR(__xludf.DUMMYFUNCTION("""COMPUTED_VALUE"""),"Amazon")</f>
        <v>Amazon</v>
      </c>
      <c r="F729" s="23">
        <f>IFERROR(__xludf.DUMMYFUNCTION("""COMPUTED_VALUE"""),44749.71012339121)</f>
        <v>44749.71012</v>
      </c>
      <c r="G729" s="24" t="str">
        <f>IFERROR(__xludf.DUMMYFUNCTION("""COMPUTED_VALUE"""),"Monah ")</f>
        <v>Monah </v>
      </c>
      <c r="H729" s="24">
        <f>IFERROR(__xludf.DUMMYFUNCTION("""COMPUTED_VALUE"""),20.0)</f>
        <v>20</v>
      </c>
      <c r="I729" s="24"/>
    </row>
    <row r="730">
      <c r="A730" s="23">
        <f>IFERROR(__xludf.DUMMYFUNCTION("""COMPUTED_VALUE"""),44850.57131555556)</f>
        <v>44850.57132</v>
      </c>
      <c r="B730" s="24" t="str">
        <f>IFERROR(__xludf.DUMMYFUNCTION("""COMPUTED_VALUE"""),"Dorja")</f>
        <v>Dorja</v>
      </c>
      <c r="C730" s="24">
        <f>IFERROR(__xludf.DUMMYFUNCTION("""COMPUTED_VALUE"""),659.0)</f>
        <v>659</v>
      </c>
      <c r="D730" s="24" t="str">
        <f>IFERROR(__xludf.DUMMYFUNCTION("""COMPUTED_VALUE"""),"Amazon")</f>
        <v>Amazon</v>
      </c>
      <c r="F730" s="23">
        <f>IFERROR(__xludf.DUMMYFUNCTION("""COMPUTED_VALUE"""),44749.71201864583)</f>
        <v>44749.71202</v>
      </c>
      <c r="G730" s="24" t="str">
        <f>IFERROR(__xludf.DUMMYFUNCTION("""COMPUTED_VALUE"""),"Monah expired")</f>
        <v>Monah expired</v>
      </c>
      <c r="H730" s="24">
        <f>IFERROR(__xludf.DUMMYFUNCTION("""COMPUTED_VALUE"""),26.0)</f>
        <v>26</v>
      </c>
      <c r="I730" s="24"/>
    </row>
    <row r="731">
      <c r="A731" s="23">
        <f>IFERROR(__xludf.DUMMYFUNCTION("""COMPUTED_VALUE"""),44850.575658333335)</f>
        <v>44850.57566</v>
      </c>
      <c r="B731" s="24" t="str">
        <f>IFERROR(__xludf.DUMMYFUNCTION("""COMPUTED_VALUE"""),"Dorja ")</f>
        <v>Dorja </v>
      </c>
      <c r="C731" s="24">
        <f>IFERROR(__xludf.DUMMYFUNCTION("""COMPUTED_VALUE"""),742.0)</f>
        <v>742</v>
      </c>
      <c r="D731" s="24" t="str">
        <f>IFERROR(__xludf.DUMMYFUNCTION("""COMPUTED_VALUE"""),"Amazon")</f>
        <v>Amazon</v>
      </c>
      <c r="F731" s="23">
        <f>IFERROR(__xludf.DUMMYFUNCTION("""COMPUTED_VALUE"""),44749.714853171296)</f>
        <v>44749.71485</v>
      </c>
      <c r="G731" s="24" t="str">
        <f>IFERROR(__xludf.DUMMYFUNCTION("""COMPUTED_VALUE"""),"Jean.  Xtra")</f>
        <v>Jean.  Xtra</v>
      </c>
      <c r="H731" s="24">
        <f>IFERROR(__xludf.DUMMYFUNCTION("""COMPUTED_VALUE"""),7.0)</f>
        <v>7</v>
      </c>
      <c r="I731" s="24"/>
    </row>
    <row r="732">
      <c r="A732" s="23">
        <f>IFERROR(__xludf.DUMMYFUNCTION("""COMPUTED_VALUE"""),44852.7381181713)</f>
        <v>44852.73812</v>
      </c>
      <c r="B732" s="24" t="str">
        <f>IFERROR(__xludf.DUMMYFUNCTION("""COMPUTED_VALUE"""),"Claire")</f>
        <v>Claire</v>
      </c>
      <c r="C732" s="24">
        <f>IFERROR(__xludf.DUMMYFUNCTION("""COMPUTED_VALUE"""),1363.0)</f>
        <v>1363</v>
      </c>
      <c r="D732" s="24" t="str">
        <f>IFERROR(__xludf.DUMMYFUNCTION("""COMPUTED_VALUE"""),"First Fruits Farm")</f>
        <v>First Fruits Farm</v>
      </c>
      <c r="F732" s="23">
        <f>IFERROR(__xludf.DUMMYFUNCTION("""COMPUTED_VALUE"""),44749.80863497685)</f>
        <v>44749.80863</v>
      </c>
      <c r="G732" s="24" t="str">
        <f>IFERROR(__xludf.DUMMYFUNCTION("""COMPUTED_VALUE"""),"Claire")</f>
        <v>Claire</v>
      </c>
      <c r="H732" s="24">
        <f>IFERROR(__xludf.DUMMYFUNCTION("""COMPUTED_VALUE"""),747.0)</f>
        <v>747</v>
      </c>
      <c r="I732" s="24" t="str">
        <f>IFERROR(__xludf.DUMMYFUNCTION("""COMPUTED_VALUE"""),"Produce")</f>
        <v>Produce</v>
      </c>
    </row>
    <row r="733">
      <c r="A733" s="23">
        <f>IFERROR(__xludf.DUMMYFUNCTION("""COMPUTED_VALUE"""),44852.73841358796)</f>
        <v>44852.73841</v>
      </c>
      <c r="B733" s="24" t="str">
        <f>IFERROR(__xludf.DUMMYFUNCTION("""COMPUTED_VALUE"""),"Claire")</f>
        <v>Claire</v>
      </c>
      <c r="C733" s="24">
        <f>IFERROR(__xludf.DUMMYFUNCTION("""COMPUTED_VALUE"""),238.0)</f>
        <v>238</v>
      </c>
      <c r="D733" s="24" t="str">
        <f>IFERROR(__xludf.DUMMYFUNCTION("""COMPUTED_VALUE"""),"First Fruits Farm")</f>
        <v>First Fruits Farm</v>
      </c>
      <c r="F733" s="23">
        <f>IFERROR(__xludf.DUMMYFUNCTION("""COMPUTED_VALUE"""),44749.808882847225)</f>
        <v>44749.80888</v>
      </c>
      <c r="G733" s="24" t="str">
        <f>IFERROR(__xludf.DUMMYFUNCTION("""COMPUTED_VALUE"""),"Claire")</f>
        <v>Claire</v>
      </c>
      <c r="H733" s="24">
        <f>IFERROR(__xludf.DUMMYFUNCTION("""COMPUTED_VALUE"""),449.0)</f>
        <v>449</v>
      </c>
      <c r="I733" s="24" t="str">
        <f>IFERROR(__xludf.DUMMYFUNCTION("""COMPUTED_VALUE"""),"Frozen")</f>
        <v>Frozen</v>
      </c>
    </row>
    <row r="734">
      <c r="A734" s="23">
        <f>IFERROR(__xludf.DUMMYFUNCTION("""COMPUTED_VALUE"""),44852.73867034722)</f>
        <v>44852.73867</v>
      </c>
      <c r="B734" s="24" t="str">
        <f>IFERROR(__xludf.DUMMYFUNCTION("""COMPUTED_VALUE"""),"Claire")</f>
        <v>Claire</v>
      </c>
      <c r="C734" s="24">
        <f>IFERROR(__xludf.DUMMYFUNCTION("""COMPUTED_VALUE"""),175.0)</f>
        <v>175</v>
      </c>
      <c r="D734" s="24" t="str">
        <f>IFERROR(__xludf.DUMMYFUNCTION("""COMPUTED_VALUE"""),"First Fruits Farm")</f>
        <v>First Fruits Farm</v>
      </c>
      <c r="F734" s="23">
        <f>IFERROR(__xludf.DUMMYFUNCTION("""COMPUTED_VALUE"""),44749.809198229166)</f>
        <v>44749.8092</v>
      </c>
      <c r="G734" s="24" t="str">
        <f>IFERROR(__xludf.DUMMYFUNCTION("""COMPUTED_VALUE"""),"Claire")</f>
        <v>Claire</v>
      </c>
      <c r="H734" s="24">
        <f>IFERROR(__xludf.DUMMYFUNCTION("""COMPUTED_VALUE"""),75.0)</f>
        <v>75</v>
      </c>
      <c r="I734" s="24" t="str">
        <f>IFERROR(__xludf.DUMMYFUNCTION("""COMPUTED_VALUE"""),"Bread")</f>
        <v>Bread</v>
      </c>
    </row>
    <row r="735">
      <c r="A735" s="23">
        <f>IFERROR(__xludf.DUMMYFUNCTION("""COMPUTED_VALUE"""),44852.7390724537)</f>
        <v>44852.73907</v>
      </c>
      <c r="B735" s="24" t="str">
        <f>IFERROR(__xludf.DUMMYFUNCTION("""COMPUTED_VALUE"""),"Claire")</f>
        <v>Claire</v>
      </c>
      <c r="C735" s="24">
        <f>IFERROR(__xludf.DUMMYFUNCTION("""COMPUTED_VALUE"""),739.0)</f>
        <v>739</v>
      </c>
      <c r="D735" s="24" t="str">
        <f>IFERROR(__xludf.DUMMYFUNCTION("""COMPUTED_VALUE"""),"First Fruits Farm")</f>
        <v>First Fruits Farm</v>
      </c>
      <c r="F735" s="23">
        <f>IFERROR(__xludf.DUMMYFUNCTION("""COMPUTED_VALUE"""),44749.86108275463)</f>
        <v>44749.86108</v>
      </c>
      <c r="G735" s="24" t="str">
        <f>IFERROR(__xludf.DUMMYFUNCTION("""COMPUTED_VALUE"""),"Kay Fenton")</f>
        <v>Kay Fenton</v>
      </c>
      <c r="H735" s="24">
        <f>IFERROR(__xludf.DUMMYFUNCTION("""COMPUTED_VALUE"""),9.0)</f>
        <v>9</v>
      </c>
      <c r="I735" s="24"/>
    </row>
    <row r="736">
      <c r="A736" s="23">
        <f>IFERROR(__xludf.DUMMYFUNCTION("""COMPUTED_VALUE"""),44852.7395284838)</f>
        <v>44852.73953</v>
      </c>
      <c r="B736" s="24" t="str">
        <f>IFERROR(__xludf.DUMMYFUNCTION("""COMPUTED_VALUE"""),"Claire")</f>
        <v>Claire</v>
      </c>
      <c r="C736" s="24">
        <f>IFERROR(__xludf.DUMMYFUNCTION("""COMPUTED_VALUE"""),729.0)</f>
        <v>729</v>
      </c>
      <c r="D736" s="24" t="str">
        <f>IFERROR(__xludf.DUMMYFUNCTION("""COMPUTED_VALUE"""),"First Fruits Farm")</f>
        <v>First Fruits Farm</v>
      </c>
      <c r="F736" s="23">
        <f>IFERROR(__xludf.DUMMYFUNCTION("""COMPUTED_VALUE"""),44750.0)</f>
        <v>44750</v>
      </c>
      <c r="G736" s="24" t="str">
        <f>IFERROR(__xludf.DUMMYFUNCTION("""COMPUTED_VALUE"""),"Claire")</f>
        <v>Claire</v>
      </c>
      <c r="H736" s="24">
        <f>IFERROR(__xludf.DUMMYFUNCTION("""COMPUTED_VALUE"""),102.0)</f>
        <v>102</v>
      </c>
      <c r="I736" s="24" t="str">
        <f>IFERROR(__xludf.DUMMYFUNCTION("""COMPUTED_VALUE"""),"Assort")</f>
        <v>Assort</v>
      </c>
    </row>
    <row r="737">
      <c r="A737" s="23">
        <f>IFERROR(__xludf.DUMMYFUNCTION("""COMPUTED_VALUE"""),44852.74525648148)</f>
        <v>44852.74526</v>
      </c>
      <c r="B737" s="24" t="str">
        <f>IFERROR(__xludf.DUMMYFUNCTION("""COMPUTED_VALUE"""),"Claire")</f>
        <v>Claire</v>
      </c>
      <c r="C737" s="24">
        <f>IFERROR(__xludf.DUMMYFUNCTION("""COMPUTED_VALUE"""),1052.0)</f>
        <v>1052</v>
      </c>
      <c r="D737" s="24" t="str">
        <f>IFERROR(__xludf.DUMMYFUNCTION("""COMPUTED_VALUE"""),"Dole")</f>
        <v>Dole</v>
      </c>
      <c r="F737" s="23">
        <f>IFERROR(__xludf.DUMMYFUNCTION("""COMPUTED_VALUE"""),44750.0)</f>
        <v>44750</v>
      </c>
      <c r="G737" s="24" t="str">
        <f>IFERROR(__xludf.DUMMYFUNCTION("""COMPUTED_VALUE"""),"Claire")</f>
        <v>Claire</v>
      </c>
      <c r="H737" s="24">
        <f>IFERROR(__xludf.DUMMYFUNCTION("""COMPUTED_VALUE"""),51.0)</f>
        <v>51</v>
      </c>
      <c r="I737" s="24" t="str">
        <f>IFERROR(__xludf.DUMMYFUNCTION("""COMPUTED_VALUE"""),"Assort")</f>
        <v>Assort</v>
      </c>
    </row>
    <row r="738">
      <c r="A738" s="23">
        <f>IFERROR(__xludf.DUMMYFUNCTION("""COMPUTED_VALUE"""),44852.74585409722)</f>
        <v>44852.74585</v>
      </c>
      <c r="B738" s="24" t="str">
        <f>IFERROR(__xludf.DUMMYFUNCTION("""COMPUTED_VALUE"""),"Claire")</f>
        <v>Claire</v>
      </c>
      <c r="C738" s="24">
        <f>IFERROR(__xludf.DUMMYFUNCTION("""COMPUTED_VALUE"""),1053.0)</f>
        <v>1053</v>
      </c>
      <c r="D738" s="24" t="str">
        <f>IFERROR(__xludf.DUMMYFUNCTION("""COMPUTED_VALUE"""),"Dole")</f>
        <v>Dole</v>
      </c>
      <c r="F738" s="23">
        <f>IFERROR(__xludf.DUMMYFUNCTION("""COMPUTED_VALUE"""),44750.0)</f>
        <v>44750</v>
      </c>
      <c r="G738" s="24" t="str">
        <f>IFERROR(__xludf.DUMMYFUNCTION("""COMPUTED_VALUE"""),"Claire")</f>
        <v>Claire</v>
      </c>
      <c r="H738" s="24">
        <f>IFERROR(__xludf.DUMMYFUNCTION("""COMPUTED_VALUE"""),28.0)</f>
        <v>28</v>
      </c>
      <c r="I738" s="24" t="str">
        <f>IFERROR(__xludf.DUMMYFUNCTION("""COMPUTED_VALUE"""),"Cleaning")</f>
        <v>Cleaning</v>
      </c>
    </row>
    <row r="739">
      <c r="A739" s="23">
        <f>IFERROR(__xludf.DUMMYFUNCTION("""COMPUTED_VALUE"""),44852.74614736111)</f>
        <v>44852.74615</v>
      </c>
      <c r="B739" s="24" t="str">
        <f>IFERROR(__xludf.DUMMYFUNCTION("""COMPUTED_VALUE"""),"Claire")</f>
        <v>Claire</v>
      </c>
      <c r="C739" s="24">
        <f>IFERROR(__xludf.DUMMYFUNCTION("""COMPUTED_VALUE"""),1054.0)</f>
        <v>1054</v>
      </c>
      <c r="D739" s="24" t="str">
        <f>IFERROR(__xludf.DUMMYFUNCTION("""COMPUTED_VALUE"""),"Dole")</f>
        <v>Dole</v>
      </c>
      <c r="F739" s="23">
        <f>IFERROR(__xludf.DUMMYFUNCTION("""COMPUTED_VALUE"""),44750.0)</f>
        <v>44750</v>
      </c>
      <c r="G739" s="24" t="str">
        <f>IFERROR(__xludf.DUMMYFUNCTION("""COMPUTED_VALUE"""),"Juanita C")</f>
        <v>Juanita C</v>
      </c>
      <c r="H739" s="24">
        <f>IFERROR(__xludf.DUMMYFUNCTION("""COMPUTED_VALUE"""),18.0)</f>
        <v>18</v>
      </c>
      <c r="I739" s="24"/>
    </row>
    <row r="740">
      <c r="A740" s="23">
        <f>IFERROR(__xludf.DUMMYFUNCTION("""COMPUTED_VALUE"""),44852.746433796296)</f>
        <v>44852.74643</v>
      </c>
      <c r="B740" s="24" t="str">
        <f>IFERROR(__xludf.DUMMYFUNCTION("""COMPUTED_VALUE"""),"Claire")</f>
        <v>Claire</v>
      </c>
      <c r="C740" s="24">
        <f>IFERROR(__xludf.DUMMYFUNCTION("""COMPUTED_VALUE"""),1055.0)</f>
        <v>1055</v>
      </c>
      <c r="D740" s="24" t="str">
        <f>IFERROR(__xludf.DUMMYFUNCTION("""COMPUTED_VALUE"""),"Dole")</f>
        <v>Dole</v>
      </c>
      <c r="F740" s="23">
        <f>IFERROR(__xludf.DUMMYFUNCTION("""COMPUTED_VALUE"""),44750.0)</f>
        <v>44750</v>
      </c>
      <c r="G740" s="24" t="str">
        <f>IFERROR(__xludf.DUMMYFUNCTION("""COMPUTED_VALUE"""),"Juanita C")</f>
        <v>Juanita C</v>
      </c>
      <c r="H740" s="24">
        <f>IFERROR(__xludf.DUMMYFUNCTION("""COMPUTED_VALUE"""),8.0)</f>
        <v>8</v>
      </c>
      <c r="I740" s="24"/>
    </row>
    <row r="741">
      <c r="A741" s="23">
        <f>IFERROR(__xludf.DUMMYFUNCTION("""COMPUTED_VALUE"""),44852.749756516205)</f>
        <v>44852.74976</v>
      </c>
      <c r="B741" s="24" t="str">
        <f>IFERROR(__xludf.DUMMYFUNCTION("""COMPUTED_VALUE"""),"Claire")</f>
        <v>Claire</v>
      </c>
      <c r="C741" s="24">
        <f>IFERROR(__xludf.DUMMYFUNCTION("""COMPUTED_VALUE"""),932.0)</f>
        <v>932</v>
      </c>
      <c r="D741" s="24" t="str">
        <f>IFERROR(__xludf.DUMMYFUNCTION("""COMPUTED_VALUE"""),"Dole")</f>
        <v>Dole</v>
      </c>
      <c r="F741" s="23">
        <f>IFERROR(__xludf.DUMMYFUNCTION("""COMPUTED_VALUE"""),44750.0)</f>
        <v>44750</v>
      </c>
      <c r="G741" s="24" t="str">
        <f>IFERROR(__xludf.DUMMYFUNCTION("""COMPUTED_VALUE"""),"Dorja ")</f>
        <v>Dorja </v>
      </c>
      <c r="H741" s="24">
        <f>IFERROR(__xludf.DUMMYFUNCTION("""COMPUTED_VALUE"""),17.0)</f>
        <v>17</v>
      </c>
      <c r="I741" s="24"/>
    </row>
    <row r="742">
      <c r="A742" s="23">
        <f>IFERROR(__xludf.DUMMYFUNCTION("""COMPUTED_VALUE"""),44852.75010805556)</f>
        <v>44852.75011</v>
      </c>
      <c r="B742" s="24" t="str">
        <f>IFERROR(__xludf.DUMMYFUNCTION("""COMPUTED_VALUE"""),"Claire")</f>
        <v>Claire</v>
      </c>
      <c r="C742" s="24">
        <f>IFERROR(__xludf.DUMMYFUNCTION("""COMPUTED_VALUE"""),1134.0)</f>
        <v>1134</v>
      </c>
      <c r="D742" s="24" t="str">
        <f>IFERROR(__xludf.DUMMYFUNCTION("""COMPUTED_VALUE"""),"Dole")</f>
        <v>Dole</v>
      </c>
      <c r="F742" s="23">
        <f>IFERROR(__xludf.DUMMYFUNCTION("""COMPUTED_VALUE"""),44750.65056306713)</f>
        <v>44750.65056</v>
      </c>
      <c r="G742" s="24" t="str">
        <f>IFERROR(__xludf.DUMMYFUNCTION("""COMPUTED_VALUE"""),"Dorja ")</f>
        <v>Dorja </v>
      </c>
      <c r="H742" s="24">
        <f>IFERROR(__xludf.DUMMYFUNCTION("""COMPUTED_VALUE"""),654.0)</f>
        <v>654</v>
      </c>
      <c r="I742" s="24" t="str">
        <f>IFERROR(__xludf.DUMMYFUNCTION("""COMPUTED_VALUE"""),"Frozen")</f>
        <v>Frozen</v>
      </c>
    </row>
    <row r="743">
      <c r="A743" s="23">
        <f>IFERROR(__xludf.DUMMYFUNCTION("""COMPUTED_VALUE"""),44852.750412037036)</f>
        <v>44852.75041</v>
      </c>
      <c r="B743" s="24" t="str">
        <f>IFERROR(__xludf.DUMMYFUNCTION("""COMPUTED_VALUE"""),"Claire")</f>
        <v>Claire</v>
      </c>
      <c r="C743" s="24">
        <f>IFERROR(__xludf.DUMMYFUNCTION("""COMPUTED_VALUE"""),838.0)</f>
        <v>838</v>
      </c>
      <c r="D743" s="24" t="str">
        <f>IFERROR(__xludf.DUMMYFUNCTION("""COMPUTED_VALUE"""),"Dole")</f>
        <v>Dole</v>
      </c>
      <c r="F743" s="23">
        <f>IFERROR(__xludf.DUMMYFUNCTION("""COMPUTED_VALUE"""),44750.651013125)</f>
        <v>44750.65101</v>
      </c>
      <c r="G743" s="24" t="str">
        <f>IFERROR(__xludf.DUMMYFUNCTION("""COMPUTED_VALUE"""),"Dorja ")</f>
        <v>Dorja </v>
      </c>
      <c r="H743" s="24">
        <f>IFERROR(__xludf.DUMMYFUNCTION("""COMPUTED_VALUE"""),400.0)</f>
        <v>400</v>
      </c>
      <c r="I743" s="24" t="str">
        <f>IFERROR(__xludf.DUMMYFUNCTION("""COMPUTED_VALUE"""),"Assorted option")</f>
        <v>Assorted option</v>
      </c>
    </row>
    <row r="744">
      <c r="A744" s="23">
        <f>IFERROR(__xludf.DUMMYFUNCTION("""COMPUTED_VALUE"""),44852.7507325463)</f>
        <v>44852.75073</v>
      </c>
      <c r="B744" s="24" t="str">
        <f>IFERROR(__xludf.DUMMYFUNCTION("""COMPUTED_VALUE"""),"Claire")</f>
        <v>Claire</v>
      </c>
      <c r="C744" s="24">
        <f>IFERROR(__xludf.DUMMYFUNCTION("""COMPUTED_VALUE"""),1147.0)</f>
        <v>1147</v>
      </c>
      <c r="D744" s="24" t="str">
        <f>IFERROR(__xludf.DUMMYFUNCTION("""COMPUTED_VALUE"""),"Dole")</f>
        <v>Dole</v>
      </c>
      <c r="F744" s="23">
        <f>IFERROR(__xludf.DUMMYFUNCTION("""COMPUTED_VALUE"""),44750.65134888889)</f>
        <v>44750.65135</v>
      </c>
      <c r="G744" s="24" t="str">
        <f>IFERROR(__xludf.DUMMYFUNCTION("""COMPUTED_VALUE"""),"Dorja")</f>
        <v>Dorja</v>
      </c>
      <c r="H744" s="24">
        <f>IFERROR(__xludf.DUMMYFUNCTION("""COMPUTED_VALUE"""),299.0)</f>
        <v>299</v>
      </c>
      <c r="I744" s="24" t="str">
        <f>IFERROR(__xludf.DUMMYFUNCTION("""COMPUTED_VALUE"""),"Assorted option")</f>
        <v>Assorted option</v>
      </c>
    </row>
    <row r="745">
      <c r="A745" s="23">
        <f>IFERROR(__xludf.DUMMYFUNCTION("""COMPUTED_VALUE"""),44852.751042268515)</f>
        <v>44852.75104</v>
      </c>
      <c r="B745" s="24" t="str">
        <f>IFERROR(__xludf.DUMMYFUNCTION("""COMPUTED_VALUE"""),"Claire")</f>
        <v>Claire</v>
      </c>
      <c r="C745" s="24">
        <f>IFERROR(__xludf.DUMMYFUNCTION("""COMPUTED_VALUE"""),1056.0)</f>
        <v>1056</v>
      </c>
      <c r="D745" s="24" t="str">
        <f>IFERROR(__xludf.DUMMYFUNCTION("""COMPUTED_VALUE"""),"Dole")</f>
        <v>Dole</v>
      </c>
      <c r="F745" s="23">
        <f>IFERROR(__xludf.DUMMYFUNCTION("""COMPUTED_VALUE"""),44750.65176291666)</f>
        <v>44750.65176</v>
      </c>
      <c r="G745" s="24" t="str">
        <f>IFERROR(__xludf.DUMMYFUNCTION("""COMPUTED_VALUE"""),"Dorja ")</f>
        <v>Dorja </v>
      </c>
      <c r="H745" s="24">
        <f>IFERROR(__xludf.DUMMYFUNCTION("""COMPUTED_VALUE"""),284.0)</f>
        <v>284</v>
      </c>
      <c r="I745" s="24" t="str">
        <f>IFERROR(__xludf.DUMMYFUNCTION("""COMPUTED_VALUE"""),"Assorted option")</f>
        <v>Assorted option</v>
      </c>
    </row>
    <row r="746">
      <c r="A746" s="23">
        <f>IFERROR(__xludf.DUMMYFUNCTION("""COMPUTED_VALUE"""),44852.75135225694)</f>
        <v>44852.75135</v>
      </c>
      <c r="B746" s="24" t="str">
        <f>IFERROR(__xludf.DUMMYFUNCTION("""COMPUTED_VALUE"""),"Claire")</f>
        <v>Claire</v>
      </c>
      <c r="C746" s="24">
        <f>IFERROR(__xludf.DUMMYFUNCTION("""COMPUTED_VALUE"""),1140.0)</f>
        <v>1140</v>
      </c>
      <c r="D746" s="24" t="str">
        <f>IFERROR(__xludf.DUMMYFUNCTION("""COMPUTED_VALUE"""),"Dole")</f>
        <v>Dole</v>
      </c>
      <c r="F746" s="23">
        <f>IFERROR(__xludf.DUMMYFUNCTION("""COMPUTED_VALUE"""),44750.65211005787)</f>
        <v>44750.65211</v>
      </c>
      <c r="G746" s="24" t="str">
        <f>IFERROR(__xludf.DUMMYFUNCTION("""COMPUTED_VALUE"""),"Dorja ")</f>
        <v>Dorja </v>
      </c>
      <c r="H746" s="24">
        <f>IFERROR(__xludf.DUMMYFUNCTION("""COMPUTED_VALUE"""),872.0)</f>
        <v>872</v>
      </c>
      <c r="I746" s="24" t="str">
        <f>IFERROR(__xludf.DUMMYFUNCTION("""COMPUTED_VALUE"""),"Assorted option")</f>
        <v>Assorted option</v>
      </c>
    </row>
    <row r="747">
      <c r="A747" s="23">
        <f>IFERROR(__xludf.DUMMYFUNCTION("""COMPUTED_VALUE"""),44852.75163017361)</f>
        <v>44852.75163</v>
      </c>
      <c r="B747" s="24" t="str">
        <f>IFERROR(__xludf.DUMMYFUNCTION("""COMPUTED_VALUE"""),"Claire")</f>
        <v>Claire</v>
      </c>
      <c r="C747" s="24">
        <f>IFERROR(__xludf.DUMMYFUNCTION("""COMPUTED_VALUE"""),822.0)</f>
        <v>822</v>
      </c>
      <c r="D747" s="24" t="str">
        <f>IFERROR(__xludf.DUMMYFUNCTION("""COMPUTED_VALUE"""),"Dole")</f>
        <v>Dole</v>
      </c>
      <c r="F747" s="23">
        <f>IFERROR(__xludf.DUMMYFUNCTION("""COMPUTED_VALUE"""),44750.65299490741)</f>
        <v>44750.65299</v>
      </c>
      <c r="G747" s="24" t="str">
        <f>IFERROR(__xludf.DUMMYFUNCTION("""COMPUTED_VALUE"""),"Dorja ")</f>
        <v>Dorja </v>
      </c>
      <c r="H747" s="24">
        <f>IFERROR(__xludf.DUMMYFUNCTION("""COMPUTED_VALUE"""),785.0)</f>
        <v>785</v>
      </c>
      <c r="I747" s="24" t="str">
        <f>IFERROR(__xludf.DUMMYFUNCTION("""COMPUTED_VALUE"""),"Assorted option")</f>
        <v>Assorted option</v>
      </c>
    </row>
    <row r="748">
      <c r="A748" s="23">
        <f>IFERROR(__xludf.DUMMYFUNCTION("""COMPUTED_VALUE"""),44852.75508322917)</f>
        <v>44852.75508</v>
      </c>
      <c r="B748" s="24" t="str">
        <f>IFERROR(__xludf.DUMMYFUNCTION("""COMPUTED_VALUE"""),"Claire")</f>
        <v>Claire</v>
      </c>
      <c r="C748" s="24">
        <f>IFERROR(__xludf.DUMMYFUNCTION("""COMPUTED_VALUE"""),1158.0)</f>
        <v>1158</v>
      </c>
      <c r="D748" s="24" t="str">
        <f>IFERROR(__xludf.DUMMYFUNCTION("""COMPUTED_VALUE"""),"Dole")</f>
        <v>Dole</v>
      </c>
      <c r="F748" s="23">
        <f>IFERROR(__xludf.DUMMYFUNCTION("""COMPUTED_VALUE"""),44750.70194881944)</f>
        <v>44750.70195</v>
      </c>
      <c r="G748" s="24" t="str">
        <f>IFERROR(__xludf.DUMMYFUNCTION("""COMPUTED_VALUE"""),"Dorja ")</f>
        <v>Dorja </v>
      </c>
      <c r="H748" s="24">
        <f>IFERROR(__xludf.DUMMYFUNCTION("""COMPUTED_VALUE"""),22.0)</f>
        <v>22</v>
      </c>
      <c r="I748" s="24"/>
    </row>
    <row r="749">
      <c r="A749" s="23">
        <f>IFERROR(__xludf.DUMMYFUNCTION("""COMPUTED_VALUE"""),44852.75545056713)</f>
        <v>44852.75545</v>
      </c>
      <c r="B749" s="24" t="str">
        <f>IFERROR(__xludf.DUMMYFUNCTION("""COMPUTED_VALUE"""),"Claire")</f>
        <v>Claire</v>
      </c>
      <c r="C749" s="24">
        <f>IFERROR(__xludf.DUMMYFUNCTION("""COMPUTED_VALUE"""),1050.0)</f>
        <v>1050</v>
      </c>
      <c r="D749" s="24" t="str">
        <f>IFERROR(__xludf.DUMMYFUNCTION("""COMPUTED_VALUE"""),"Dole")</f>
        <v>Dole</v>
      </c>
      <c r="F749" s="23">
        <f>IFERROR(__xludf.DUMMYFUNCTION("""COMPUTED_VALUE"""),44750.70755829861)</f>
        <v>44750.70756</v>
      </c>
      <c r="G749" s="24" t="str">
        <f>IFERROR(__xludf.DUMMYFUNCTION("""COMPUTED_VALUE"""),"Sunita Pathik")</f>
        <v>Sunita Pathik</v>
      </c>
      <c r="H749" s="24">
        <f>IFERROR(__xludf.DUMMYFUNCTION("""COMPUTED_VALUE"""),6.0)</f>
        <v>6</v>
      </c>
      <c r="I749" s="24"/>
    </row>
    <row r="750">
      <c r="A750" s="23">
        <f>IFERROR(__xludf.DUMMYFUNCTION("""COMPUTED_VALUE"""),44852.7558122801)</f>
        <v>44852.75581</v>
      </c>
      <c r="B750" s="24" t="str">
        <f>IFERROR(__xludf.DUMMYFUNCTION("""COMPUTED_VALUE"""),"Claire ")</f>
        <v>Claire </v>
      </c>
      <c r="C750" s="24">
        <f>IFERROR(__xludf.DUMMYFUNCTION("""COMPUTED_VALUE"""),954.0)</f>
        <v>954</v>
      </c>
      <c r="D750" s="24" t="str">
        <f>IFERROR(__xludf.DUMMYFUNCTION("""COMPUTED_VALUE"""),"Dole")</f>
        <v>Dole</v>
      </c>
      <c r="F750" s="23">
        <f>IFERROR(__xludf.DUMMYFUNCTION("""COMPUTED_VALUE"""),44750.70858116898)</f>
        <v>44750.70858</v>
      </c>
      <c r="G750" s="24" t="str">
        <f>IFERROR(__xludf.DUMMYFUNCTION("""COMPUTED_VALUE"""),"Beth Torres")</f>
        <v>Beth Torres</v>
      </c>
      <c r="H750" s="24">
        <f>IFERROR(__xludf.DUMMYFUNCTION("""COMPUTED_VALUE"""),19.0)</f>
        <v>19</v>
      </c>
      <c r="I750" s="24"/>
    </row>
    <row r="751">
      <c r="A751" s="23">
        <f>IFERROR(__xludf.DUMMYFUNCTION("""COMPUTED_VALUE"""),44852.7570871875)</f>
        <v>44852.75709</v>
      </c>
      <c r="B751" s="24" t="str">
        <f>IFERROR(__xludf.DUMMYFUNCTION("""COMPUTED_VALUE"""),"Claire ")</f>
        <v>Claire </v>
      </c>
      <c r="C751" s="24">
        <f>IFERROR(__xludf.DUMMYFUNCTION("""COMPUTED_VALUE"""),1148.0)</f>
        <v>1148</v>
      </c>
      <c r="D751" s="24" t="str">
        <f>IFERROR(__xludf.DUMMYFUNCTION("""COMPUTED_VALUE"""),"Dole")</f>
        <v>Dole</v>
      </c>
      <c r="F751" s="23">
        <f>IFERROR(__xludf.DUMMYFUNCTION("""COMPUTED_VALUE"""),44750.70873837963)</f>
        <v>44750.70874</v>
      </c>
      <c r="G751" s="24" t="str">
        <f>IFERROR(__xludf.DUMMYFUNCTION("""COMPUTED_VALUE"""),"Sunita Pathik")</f>
        <v>Sunita Pathik</v>
      </c>
      <c r="H751" s="24">
        <f>IFERROR(__xludf.DUMMYFUNCTION("""COMPUTED_VALUE"""),103.0)</f>
        <v>103</v>
      </c>
      <c r="I751" s="24" t="str">
        <f>IFERROR(__xludf.DUMMYFUNCTION("""COMPUTED_VALUE"""),"Assorted option")</f>
        <v>Assorted option</v>
      </c>
    </row>
    <row r="752">
      <c r="A752" s="23">
        <f>IFERROR(__xludf.DUMMYFUNCTION("""COMPUTED_VALUE"""),44852.759227372684)</f>
        <v>44852.75923</v>
      </c>
      <c r="B752" s="24" t="str">
        <f>IFERROR(__xludf.DUMMYFUNCTION("""COMPUTED_VALUE"""),"Claire ")</f>
        <v>Claire </v>
      </c>
      <c r="C752" s="24">
        <f>IFERROR(__xludf.DUMMYFUNCTION("""COMPUTED_VALUE"""),1050.0)</f>
        <v>1050</v>
      </c>
      <c r="D752" s="24" t="str">
        <f>IFERROR(__xludf.DUMMYFUNCTION("""COMPUTED_VALUE"""),"Dole")</f>
        <v>Dole</v>
      </c>
      <c r="F752" s="23">
        <f>IFERROR(__xludf.DUMMYFUNCTION("""COMPUTED_VALUE"""),44750.70876295139)</f>
        <v>44750.70876</v>
      </c>
      <c r="G752" s="24" t="str">
        <f>IFERROR(__xludf.DUMMYFUNCTION("""COMPUTED_VALUE"""),"Beth Torres")</f>
        <v>Beth Torres</v>
      </c>
      <c r="H752" s="24">
        <f>IFERROR(__xludf.DUMMYFUNCTION("""COMPUTED_VALUE"""),20.0)</f>
        <v>20</v>
      </c>
      <c r="I752" s="24"/>
    </row>
    <row r="753">
      <c r="A753" s="23">
        <f>IFERROR(__xludf.DUMMYFUNCTION("""COMPUTED_VALUE"""),44852.7597086574)</f>
        <v>44852.75971</v>
      </c>
      <c r="B753" s="24" t="str">
        <f>IFERROR(__xludf.DUMMYFUNCTION("""COMPUTED_VALUE"""),"Claire")</f>
        <v>Claire</v>
      </c>
      <c r="C753" s="24">
        <f>IFERROR(__xludf.DUMMYFUNCTION("""COMPUTED_VALUE"""),1917.0)</f>
        <v>1917</v>
      </c>
      <c r="D753" s="24" t="str">
        <f>IFERROR(__xludf.DUMMYFUNCTION("""COMPUTED_VALUE"""),"Dole")</f>
        <v>Dole</v>
      </c>
      <c r="F753" s="23">
        <f>IFERROR(__xludf.DUMMYFUNCTION("""COMPUTED_VALUE"""),44750.72141791666)</f>
        <v>44750.72142</v>
      </c>
      <c r="G753" s="24" t="str">
        <f>IFERROR(__xludf.DUMMYFUNCTION("""COMPUTED_VALUE"""),"Ausar ")</f>
        <v>Ausar </v>
      </c>
      <c r="H753" s="24">
        <f>IFERROR(__xludf.DUMMYFUNCTION("""COMPUTED_VALUE"""),67.0)</f>
        <v>67</v>
      </c>
      <c r="I753" s="24" t="str">
        <f>IFERROR(__xludf.DUMMYFUNCTION("""COMPUTED_VALUE"""),"Assorted option")</f>
        <v>Assorted option</v>
      </c>
    </row>
    <row r="754">
      <c r="A754" s="23">
        <f>IFERROR(__xludf.DUMMYFUNCTION("""COMPUTED_VALUE"""),44852.76564287036)</f>
        <v>44852.76564</v>
      </c>
      <c r="B754" s="24" t="str">
        <f>IFERROR(__xludf.DUMMYFUNCTION("""COMPUTED_VALUE"""),"Claire")</f>
        <v>Claire</v>
      </c>
      <c r="C754" s="24">
        <f>IFERROR(__xludf.DUMMYFUNCTION("""COMPUTED_VALUE"""),2177.0)</f>
        <v>2177</v>
      </c>
      <c r="D754" s="24" t="str">
        <f>IFERROR(__xludf.DUMMYFUNCTION("""COMPUTED_VALUE"""),"Dole")</f>
        <v>Dole</v>
      </c>
      <c r="F754" s="23">
        <f>IFERROR(__xludf.DUMMYFUNCTION("""COMPUTED_VALUE"""),44751.0)</f>
        <v>44751</v>
      </c>
      <c r="G754" s="24" t="str">
        <f>IFERROR(__xludf.DUMMYFUNCTION("""COMPUTED_VALUE"""),"Kimone ")</f>
        <v>Kimone </v>
      </c>
      <c r="H754" s="24">
        <f>IFERROR(__xludf.DUMMYFUNCTION("""COMPUTED_VALUE"""),8.0)</f>
        <v>8</v>
      </c>
      <c r="I754" s="24"/>
    </row>
    <row r="755">
      <c r="A755" s="23">
        <f>IFERROR(__xludf.DUMMYFUNCTION("""COMPUTED_VALUE"""),44852.7723371875)</f>
        <v>44852.77234</v>
      </c>
      <c r="B755" s="24" t="str">
        <f>IFERROR(__xludf.DUMMYFUNCTION("""COMPUTED_VALUE"""),"Claire ")</f>
        <v>Claire </v>
      </c>
      <c r="C755" s="24">
        <f>IFERROR(__xludf.DUMMYFUNCTION("""COMPUTED_VALUE"""),1961.0)</f>
        <v>1961</v>
      </c>
      <c r="D755" s="24" t="str">
        <f>IFERROR(__xludf.DUMMYFUNCTION("""COMPUTED_VALUE"""),"Dole")</f>
        <v>Dole</v>
      </c>
      <c r="F755" s="23">
        <f>IFERROR(__xludf.DUMMYFUNCTION("""COMPUTED_VALUE"""),44751.0)</f>
        <v>44751</v>
      </c>
      <c r="G755" s="24" t="str">
        <f>IFERROR(__xludf.DUMMYFUNCTION("""COMPUTED_VALUE"""),"Thomas aloisi")</f>
        <v>Thomas aloisi</v>
      </c>
      <c r="H755" s="24">
        <f>IFERROR(__xludf.DUMMYFUNCTION("""COMPUTED_VALUE"""),18.0)</f>
        <v>18</v>
      </c>
      <c r="I755" s="24"/>
    </row>
    <row r="756">
      <c r="A756" s="23">
        <f>IFERROR(__xludf.DUMMYFUNCTION("""COMPUTED_VALUE"""),44852.772768437506)</f>
        <v>44852.77277</v>
      </c>
      <c r="B756" s="24" t="str">
        <f>IFERROR(__xludf.DUMMYFUNCTION("""COMPUTED_VALUE"""),"Claire ")</f>
        <v>Claire </v>
      </c>
      <c r="C756" s="24">
        <f>IFERROR(__xludf.DUMMYFUNCTION("""COMPUTED_VALUE"""),782.0)</f>
        <v>782</v>
      </c>
      <c r="D756" s="24" t="str">
        <f>IFERROR(__xludf.DUMMYFUNCTION("""COMPUTED_VALUE"""),"Dole ")</f>
        <v>Dole </v>
      </c>
      <c r="F756" s="23">
        <f>IFERROR(__xludf.DUMMYFUNCTION("""COMPUTED_VALUE"""),44751.0)</f>
        <v>44751</v>
      </c>
      <c r="G756" s="24" t="str">
        <f>IFERROR(__xludf.DUMMYFUNCTION("""COMPUTED_VALUE"""),"Janet Lomax")</f>
        <v>Janet Lomax</v>
      </c>
      <c r="H756" s="24">
        <f>IFERROR(__xludf.DUMMYFUNCTION("""COMPUTED_VALUE"""),20.0)</f>
        <v>20</v>
      </c>
      <c r="I756" s="24"/>
    </row>
    <row r="757">
      <c r="A757" s="23">
        <f>IFERROR(__xludf.DUMMYFUNCTION("""COMPUTED_VALUE"""),44852.773124618056)</f>
        <v>44852.77312</v>
      </c>
      <c r="B757" s="24" t="str">
        <f>IFERROR(__xludf.DUMMYFUNCTION("""COMPUTED_VALUE"""),"Claire ")</f>
        <v>Claire </v>
      </c>
      <c r="C757" s="24">
        <f>IFERROR(__xludf.DUMMYFUNCTION("""COMPUTED_VALUE"""),1089.0)</f>
        <v>1089</v>
      </c>
      <c r="D757" s="24" t="str">
        <f>IFERROR(__xludf.DUMMYFUNCTION("""COMPUTED_VALUE"""),"Dole")</f>
        <v>Dole</v>
      </c>
      <c r="F757" s="23">
        <f>IFERROR(__xludf.DUMMYFUNCTION("""COMPUTED_VALUE"""),44751.0)</f>
        <v>44751</v>
      </c>
      <c r="G757" s="24" t="str">
        <f>IFERROR(__xludf.DUMMYFUNCTION("""COMPUTED_VALUE"""),"Janet Lomax")</f>
        <v>Janet Lomax</v>
      </c>
      <c r="H757" s="24">
        <f>IFERROR(__xludf.DUMMYFUNCTION("""COMPUTED_VALUE"""),11.0)</f>
        <v>11</v>
      </c>
      <c r="I757" s="24"/>
    </row>
    <row r="758">
      <c r="A758" s="23">
        <f>IFERROR(__xludf.DUMMYFUNCTION("""COMPUTED_VALUE"""),44852.773468321764)</f>
        <v>44852.77347</v>
      </c>
      <c r="B758" s="24" t="str">
        <f>IFERROR(__xludf.DUMMYFUNCTION("""COMPUTED_VALUE"""),"Claire ")</f>
        <v>Claire </v>
      </c>
      <c r="C758" s="24">
        <f>IFERROR(__xludf.DUMMYFUNCTION("""COMPUTED_VALUE"""),1848.0)</f>
        <v>1848</v>
      </c>
      <c r="D758" s="24" t="str">
        <f>IFERROR(__xludf.DUMMYFUNCTION("""COMPUTED_VALUE"""),"Dole")</f>
        <v>Dole</v>
      </c>
      <c r="F758" s="23">
        <f>IFERROR(__xludf.DUMMYFUNCTION("""COMPUTED_VALUE"""),44751.0)</f>
        <v>44751</v>
      </c>
      <c r="G758" s="24" t="str">
        <f>IFERROR(__xludf.DUMMYFUNCTION("""COMPUTED_VALUE"""),"Cheryl Utsey")</f>
        <v>Cheryl Utsey</v>
      </c>
      <c r="H758" s="24">
        <f>IFERROR(__xludf.DUMMYFUNCTION("""COMPUTED_VALUE"""),20.0)</f>
        <v>20</v>
      </c>
      <c r="I758" s="24"/>
    </row>
    <row r="759">
      <c r="A759" s="23">
        <f>IFERROR(__xludf.DUMMYFUNCTION("""COMPUTED_VALUE"""),44852.79950837963)</f>
        <v>44852.79951</v>
      </c>
      <c r="B759" s="24" t="str">
        <f>IFERROR(__xludf.DUMMYFUNCTION("""COMPUTED_VALUE"""),"Claire")</f>
        <v>Claire</v>
      </c>
      <c r="C759" s="24">
        <f>IFERROR(__xludf.DUMMYFUNCTION("""COMPUTED_VALUE"""),803.0)</f>
        <v>803</v>
      </c>
      <c r="D759" s="24" t="str">
        <f>IFERROR(__xludf.DUMMYFUNCTION("""COMPUTED_VALUE"""),"Dole")</f>
        <v>Dole</v>
      </c>
      <c r="F759" s="23">
        <f>IFERROR(__xludf.DUMMYFUNCTION("""COMPUTED_VALUE"""),44751.0)</f>
        <v>44751</v>
      </c>
      <c r="G759" s="24" t="str">
        <f>IFERROR(__xludf.DUMMYFUNCTION("""COMPUTED_VALUE"""),"Brandon Clark")</f>
        <v>Brandon Clark</v>
      </c>
      <c r="H759" s="24">
        <f>IFERROR(__xludf.DUMMYFUNCTION("""COMPUTED_VALUE"""),18.0)</f>
        <v>18</v>
      </c>
      <c r="I759" s="24"/>
    </row>
    <row r="760">
      <c r="A760" s="23">
        <f>IFERROR(__xludf.DUMMYFUNCTION("""COMPUTED_VALUE"""),44852.79994063658)</f>
        <v>44852.79994</v>
      </c>
      <c r="B760" s="24" t="str">
        <f>IFERROR(__xludf.DUMMYFUNCTION("""COMPUTED_VALUE"""),"Claire ")</f>
        <v>Claire </v>
      </c>
      <c r="C760" s="24">
        <f>IFERROR(__xludf.DUMMYFUNCTION("""COMPUTED_VALUE"""),387.0)</f>
        <v>387</v>
      </c>
      <c r="D760" s="24" t="str">
        <f>IFERROR(__xludf.DUMMYFUNCTION("""COMPUTED_VALUE"""),"Dole")</f>
        <v>Dole</v>
      </c>
      <c r="F760" s="23">
        <f>IFERROR(__xludf.DUMMYFUNCTION("""COMPUTED_VALUE"""),44751.76217099537)</f>
        <v>44751.76217</v>
      </c>
      <c r="G760" s="24" t="str">
        <f>IFERROR(__xludf.DUMMYFUNCTION("""COMPUTED_VALUE"""),"Beverly Pinn")</f>
        <v>Beverly Pinn</v>
      </c>
      <c r="H760" s="24">
        <f>IFERROR(__xludf.DUMMYFUNCTION("""COMPUTED_VALUE"""),17.0)</f>
        <v>17</v>
      </c>
      <c r="I760" s="24"/>
    </row>
    <row r="761">
      <c r="A761" s="23">
        <f>IFERROR(__xludf.DUMMYFUNCTION("""COMPUTED_VALUE"""),44852.80141461805)</f>
        <v>44852.80141</v>
      </c>
      <c r="B761" s="24" t="str">
        <f>IFERROR(__xludf.DUMMYFUNCTION("""COMPUTED_VALUE"""),"Claire ")</f>
        <v>Claire </v>
      </c>
      <c r="C761" s="24">
        <f>IFERROR(__xludf.DUMMYFUNCTION("""COMPUTED_VALUE"""),531.0)</f>
        <v>531</v>
      </c>
      <c r="D761" s="24" t="str">
        <f>IFERROR(__xludf.DUMMYFUNCTION("""COMPUTED_VALUE"""),"Dole")</f>
        <v>Dole</v>
      </c>
      <c r="F761" s="23">
        <f>IFERROR(__xludf.DUMMYFUNCTION("""COMPUTED_VALUE"""),44751.76246200231)</f>
        <v>44751.76246</v>
      </c>
      <c r="G761" s="24" t="str">
        <f>IFERROR(__xludf.DUMMYFUNCTION("""COMPUTED_VALUE"""),"Emily stucke")</f>
        <v>Emily stucke</v>
      </c>
      <c r="H761" s="24">
        <f>IFERROR(__xludf.DUMMYFUNCTION("""COMPUTED_VALUE"""),11.0)</f>
        <v>11</v>
      </c>
      <c r="I761" s="24"/>
    </row>
    <row r="762">
      <c r="A762" s="23">
        <f>IFERROR(__xludf.DUMMYFUNCTION("""COMPUTED_VALUE"""),44852.80210414352)</f>
        <v>44852.8021</v>
      </c>
      <c r="B762" s="24" t="str">
        <f>IFERROR(__xludf.DUMMYFUNCTION("""COMPUTED_VALUE"""),"Claire ")</f>
        <v>Claire </v>
      </c>
      <c r="C762" s="24">
        <f>IFERROR(__xludf.DUMMYFUNCTION("""COMPUTED_VALUE"""),1942.0)</f>
        <v>1942</v>
      </c>
      <c r="D762" s="24" t="str">
        <f>IFERROR(__xludf.DUMMYFUNCTION("""COMPUTED_VALUE"""),"Dole ")</f>
        <v>Dole </v>
      </c>
      <c r="F762" s="23">
        <f>IFERROR(__xludf.DUMMYFUNCTION("""COMPUTED_VALUE"""),44751.764083043985)</f>
        <v>44751.76408</v>
      </c>
      <c r="G762" s="24" t="str">
        <f>IFERROR(__xludf.DUMMYFUNCTION("""COMPUTED_VALUE"""),"Claire")</f>
        <v>Claire</v>
      </c>
      <c r="H762" s="24">
        <f>IFERROR(__xludf.DUMMYFUNCTION("""COMPUTED_VALUE"""),674.0)</f>
        <v>674</v>
      </c>
      <c r="I762" s="24" t="str">
        <f>IFERROR(__xludf.DUMMYFUNCTION("""COMPUTED_VALUE"""),"Meat")</f>
        <v>Meat</v>
      </c>
    </row>
    <row r="763">
      <c r="A763" s="23">
        <f>IFERROR(__xludf.DUMMYFUNCTION("""COMPUTED_VALUE"""),44852.80246155093)</f>
        <v>44852.80246</v>
      </c>
      <c r="B763" s="24" t="str">
        <f>IFERROR(__xludf.DUMMYFUNCTION("""COMPUTED_VALUE"""),"Claire ")</f>
        <v>Claire </v>
      </c>
      <c r="C763" s="24">
        <f>IFERROR(__xludf.DUMMYFUNCTION("""COMPUTED_VALUE"""),1080.0)</f>
        <v>1080</v>
      </c>
      <c r="D763" s="24" t="str">
        <f>IFERROR(__xludf.DUMMYFUNCTION("""COMPUTED_VALUE"""),"Dole")</f>
        <v>Dole</v>
      </c>
      <c r="F763" s="23">
        <f>IFERROR(__xludf.DUMMYFUNCTION("""COMPUTED_VALUE"""),44751.76453916667)</f>
        <v>44751.76454</v>
      </c>
      <c r="G763" s="24" t="str">
        <f>IFERROR(__xludf.DUMMYFUNCTION("""COMPUTED_VALUE"""),"Claire")</f>
        <v>Claire</v>
      </c>
      <c r="H763" s="24">
        <f>IFERROR(__xludf.DUMMYFUNCTION("""COMPUTED_VALUE"""),949.0)</f>
        <v>949</v>
      </c>
      <c r="I763" s="24" t="str">
        <f>IFERROR(__xludf.DUMMYFUNCTION("""COMPUTED_VALUE"""),"Frozen")</f>
        <v>Frozen</v>
      </c>
    </row>
    <row r="764">
      <c r="A764" s="23">
        <f>IFERROR(__xludf.DUMMYFUNCTION("""COMPUTED_VALUE"""),44852.0)</f>
        <v>44852</v>
      </c>
      <c r="B764" s="24" t="str">
        <f>IFERROR(__xludf.DUMMYFUNCTION("""COMPUTED_VALUE"""),"Claire")</f>
        <v>Claire</v>
      </c>
      <c r="C764" s="24">
        <f>IFERROR(__xludf.DUMMYFUNCTION("""COMPUTED_VALUE"""),1049.0)</f>
        <v>1049</v>
      </c>
      <c r="D764" s="24" t="str">
        <f>IFERROR(__xludf.DUMMYFUNCTION("""COMPUTED_VALUE"""),"Dole")</f>
        <v>Dole</v>
      </c>
      <c r="F764" s="23">
        <f>IFERROR(__xludf.DUMMYFUNCTION("""COMPUTED_VALUE"""),44751.765040833336)</f>
        <v>44751.76504</v>
      </c>
      <c r="G764" s="24" t="str">
        <f>IFERROR(__xludf.DUMMYFUNCTION("""COMPUTED_VALUE"""),"Claire")</f>
        <v>Claire</v>
      </c>
      <c r="H764" s="24">
        <f>IFERROR(__xludf.DUMMYFUNCTION("""COMPUTED_VALUE"""),156.0)</f>
        <v>156</v>
      </c>
      <c r="I764" s="24" t="str">
        <f>IFERROR(__xludf.DUMMYFUNCTION("""COMPUTED_VALUE"""),"Meat")</f>
        <v>Meat</v>
      </c>
    </row>
    <row r="765">
      <c r="A765" s="23">
        <f>IFERROR(__xludf.DUMMYFUNCTION("""COMPUTED_VALUE"""),44852.0)</f>
        <v>44852</v>
      </c>
      <c r="B765" s="24" t="str">
        <f>IFERROR(__xludf.DUMMYFUNCTION("""COMPUTED_VALUE"""),"Claire")</f>
        <v>Claire</v>
      </c>
      <c r="C765" s="24">
        <f>IFERROR(__xludf.DUMMYFUNCTION("""COMPUTED_VALUE"""),1052.0)</f>
        <v>1052</v>
      </c>
      <c r="D765" s="24" t="str">
        <f>IFERROR(__xludf.DUMMYFUNCTION("""COMPUTED_VALUE"""),"Dole")</f>
        <v>Dole</v>
      </c>
      <c r="F765" s="23">
        <f>IFERROR(__xludf.DUMMYFUNCTION("""COMPUTED_VALUE"""),44751.765072256945)</f>
        <v>44751.76507</v>
      </c>
      <c r="G765" s="24" t="str">
        <f>IFERROR(__xludf.DUMMYFUNCTION("""COMPUTED_VALUE"""),"Emily Engelbrecht-Wiggans")</f>
        <v>Emily Engelbrecht-Wiggans</v>
      </c>
      <c r="H765" s="24">
        <f>IFERROR(__xludf.DUMMYFUNCTION("""COMPUTED_VALUE"""),23.0)</f>
        <v>23</v>
      </c>
      <c r="I765" s="24"/>
    </row>
    <row r="766">
      <c r="A766" s="23">
        <f>IFERROR(__xludf.DUMMYFUNCTION("""COMPUTED_VALUE"""),44852.0)</f>
        <v>44852</v>
      </c>
      <c r="B766" s="24" t="str">
        <f>IFERROR(__xludf.DUMMYFUNCTION("""COMPUTED_VALUE"""),"Claire")</f>
        <v>Claire</v>
      </c>
      <c r="C766" s="24">
        <f>IFERROR(__xludf.DUMMYFUNCTION("""COMPUTED_VALUE"""),1533.0)</f>
        <v>1533</v>
      </c>
      <c r="D766" s="24" t="str">
        <f>IFERROR(__xludf.DUMMYFUNCTION("""COMPUTED_VALUE"""),"Dole")</f>
        <v>Dole</v>
      </c>
      <c r="F766" s="23">
        <f>IFERROR(__xludf.DUMMYFUNCTION("""COMPUTED_VALUE"""),44751.76546186342)</f>
        <v>44751.76546</v>
      </c>
      <c r="G766" s="24" t="str">
        <f>IFERROR(__xludf.DUMMYFUNCTION("""COMPUTED_VALUE"""),"Claire")</f>
        <v>Claire</v>
      </c>
      <c r="H766" s="24">
        <f>IFERROR(__xludf.DUMMYFUNCTION("""COMPUTED_VALUE"""),518.0)</f>
        <v>518</v>
      </c>
      <c r="I766" s="24" t="str">
        <f>IFERROR(__xludf.DUMMYFUNCTION("""COMPUTED_VALUE"""),"Produce")</f>
        <v>Produce</v>
      </c>
    </row>
    <row r="767">
      <c r="A767" s="23">
        <f>IFERROR(__xludf.DUMMYFUNCTION("""COMPUTED_VALUE"""),44852.80763091436)</f>
        <v>44852.80763</v>
      </c>
      <c r="B767" s="24" t="str">
        <f>IFERROR(__xludf.DUMMYFUNCTION("""COMPUTED_VALUE"""),"Claire ")</f>
        <v>Claire </v>
      </c>
      <c r="C767" s="24">
        <f>IFERROR(__xludf.DUMMYFUNCTION("""COMPUTED_VALUE"""),1510.0)</f>
        <v>1510</v>
      </c>
      <c r="D767" s="24" t="str">
        <f>IFERROR(__xludf.DUMMYFUNCTION("""COMPUTED_VALUE"""),"Dole")</f>
        <v>Dole</v>
      </c>
      <c r="F767" s="23">
        <f>IFERROR(__xludf.DUMMYFUNCTION("""COMPUTED_VALUE"""),44751.76709116898)</f>
        <v>44751.76709</v>
      </c>
      <c r="G767" s="24" t="str">
        <f>IFERROR(__xludf.DUMMYFUNCTION("""COMPUTED_VALUE"""),"Claire")</f>
        <v>Claire</v>
      </c>
      <c r="H767" s="24">
        <f>IFERROR(__xludf.DUMMYFUNCTION("""COMPUTED_VALUE"""),204.0)</f>
        <v>204</v>
      </c>
      <c r="I767" s="24" t="str">
        <f>IFERROR(__xludf.DUMMYFUNCTION("""COMPUTED_VALUE"""),"Paper Goods")</f>
        <v>Paper Goods</v>
      </c>
    </row>
    <row r="768">
      <c r="A768" s="23">
        <f>IFERROR(__xludf.DUMMYFUNCTION("""COMPUTED_VALUE"""),44854.44752582176)</f>
        <v>44854.44753</v>
      </c>
      <c r="B768" s="24" t="str">
        <f>IFERROR(__xludf.DUMMYFUNCTION("""COMPUTED_VALUE"""),"Claire")</f>
        <v>Claire</v>
      </c>
      <c r="C768" s="24">
        <f>IFERROR(__xludf.DUMMYFUNCTION("""COMPUTED_VALUE"""),1017.0)</f>
        <v>1017</v>
      </c>
      <c r="D768" s="24" t="str">
        <f>IFERROR(__xludf.DUMMYFUNCTION("""COMPUTED_VALUE"""),"Dole")</f>
        <v>Dole</v>
      </c>
      <c r="F768" s="23">
        <f>IFERROR(__xludf.DUMMYFUNCTION("""COMPUTED_VALUE"""),44751.76744636574)</f>
        <v>44751.76745</v>
      </c>
      <c r="G768" s="24" t="str">
        <f>IFERROR(__xludf.DUMMYFUNCTION("""COMPUTED_VALUE"""),"Claire")</f>
        <v>Claire</v>
      </c>
      <c r="H768" s="24">
        <f>IFERROR(__xludf.DUMMYFUNCTION("""COMPUTED_VALUE"""),710.0)</f>
        <v>710</v>
      </c>
      <c r="I768" s="24" t="str">
        <f>IFERROR(__xludf.DUMMYFUNCTION("""COMPUTED_VALUE"""),"Frozen")</f>
        <v>Frozen</v>
      </c>
    </row>
    <row r="769">
      <c r="A769" s="23">
        <f>IFERROR(__xludf.DUMMYFUNCTION("""COMPUTED_VALUE"""),44854.44816083333)</f>
        <v>44854.44816</v>
      </c>
      <c r="B769" s="24" t="str">
        <f>IFERROR(__xludf.DUMMYFUNCTION("""COMPUTED_VALUE"""),"Claire")</f>
        <v>Claire</v>
      </c>
      <c r="C769" s="24">
        <f>IFERROR(__xludf.DUMMYFUNCTION("""COMPUTED_VALUE"""),1403.0)</f>
        <v>1403</v>
      </c>
      <c r="D769" s="24" t="str">
        <f>IFERROR(__xludf.DUMMYFUNCTION("""COMPUTED_VALUE"""),"Dole")</f>
        <v>Dole</v>
      </c>
      <c r="F769" s="23">
        <f>IFERROR(__xludf.DUMMYFUNCTION("""COMPUTED_VALUE"""),44751.767636851844)</f>
        <v>44751.76764</v>
      </c>
      <c r="G769" s="24" t="str">
        <f>IFERROR(__xludf.DUMMYFUNCTION("""COMPUTED_VALUE"""),"Claire")</f>
        <v>Claire</v>
      </c>
      <c r="H769" s="24">
        <f>IFERROR(__xludf.DUMMYFUNCTION("""COMPUTED_VALUE"""),130.0)</f>
        <v>130</v>
      </c>
      <c r="I769" s="24" t="str">
        <f>IFERROR(__xludf.DUMMYFUNCTION("""COMPUTED_VALUE"""),"Meat")</f>
        <v>Meat</v>
      </c>
    </row>
    <row r="770">
      <c r="A770" s="23">
        <f>IFERROR(__xludf.DUMMYFUNCTION("""COMPUTED_VALUE"""),44854.448517870376)</f>
        <v>44854.44852</v>
      </c>
      <c r="B770" s="24" t="str">
        <f>IFERROR(__xludf.DUMMYFUNCTION("""COMPUTED_VALUE"""),"Claire")</f>
        <v>Claire</v>
      </c>
      <c r="C770" s="24">
        <f>IFERROR(__xludf.DUMMYFUNCTION("""COMPUTED_VALUE"""),1310.0)</f>
        <v>1310</v>
      </c>
      <c r="D770" s="24" t="str">
        <f>IFERROR(__xludf.DUMMYFUNCTION("""COMPUTED_VALUE"""),"Dole")</f>
        <v>Dole</v>
      </c>
      <c r="F770" s="23">
        <f>IFERROR(__xludf.DUMMYFUNCTION("""COMPUTED_VALUE"""),44751.76789831019)</f>
        <v>44751.7679</v>
      </c>
      <c r="G770" s="24" t="str">
        <f>IFERROR(__xludf.DUMMYFUNCTION("""COMPUTED_VALUE"""),"Deborah claridy ")</f>
        <v>Deborah claridy </v>
      </c>
      <c r="H770" s="24">
        <f>IFERROR(__xludf.DUMMYFUNCTION("""COMPUTED_VALUE"""),19.0)</f>
        <v>19</v>
      </c>
      <c r="I770" s="24"/>
    </row>
    <row r="771">
      <c r="A771" s="23">
        <f>IFERROR(__xludf.DUMMYFUNCTION("""COMPUTED_VALUE"""),44854.44884150463)</f>
        <v>44854.44884</v>
      </c>
      <c r="B771" s="24" t="str">
        <f>IFERROR(__xludf.DUMMYFUNCTION("""COMPUTED_VALUE"""),"Claire")</f>
        <v>Claire</v>
      </c>
      <c r="C771" s="24">
        <f>IFERROR(__xludf.DUMMYFUNCTION("""COMPUTED_VALUE"""),1008.0)</f>
        <v>1008</v>
      </c>
      <c r="D771" s="24" t="str">
        <f>IFERROR(__xludf.DUMMYFUNCTION("""COMPUTED_VALUE"""),"Dole")</f>
        <v>Dole</v>
      </c>
      <c r="F771" s="23">
        <f>IFERROR(__xludf.DUMMYFUNCTION("""COMPUTED_VALUE"""),44751.76794696759)</f>
        <v>44751.76795</v>
      </c>
      <c r="G771" s="24" t="str">
        <f>IFERROR(__xludf.DUMMYFUNCTION("""COMPUTED_VALUE"""),"Claire")</f>
        <v>Claire</v>
      </c>
      <c r="H771" s="24">
        <f>IFERROR(__xludf.DUMMYFUNCTION("""COMPUTED_VALUE"""),179.0)</f>
        <v>179</v>
      </c>
      <c r="I771" s="24" t="str">
        <f>IFERROR(__xludf.DUMMYFUNCTION("""COMPUTED_VALUE"""),"Paper Goods")</f>
        <v>Paper Goods</v>
      </c>
    </row>
    <row r="772">
      <c r="A772" s="23">
        <f>IFERROR(__xludf.DUMMYFUNCTION("""COMPUTED_VALUE"""),44854.44920659722)</f>
        <v>44854.44921</v>
      </c>
      <c r="B772" s="24" t="str">
        <f>IFERROR(__xludf.DUMMYFUNCTION("""COMPUTED_VALUE"""),"Claire")</f>
        <v>Claire</v>
      </c>
      <c r="C772" s="24">
        <f>IFERROR(__xludf.DUMMYFUNCTION("""COMPUTED_VALUE"""),998.0)</f>
        <v>998</v>
      </c>
      <c r="D772" s="24" t="str">
        <f>IFERROR(__xludf.DUMMYFUNCTION("""COMPUTED_VALUE"""),"Dole")</f>
        <v>Dole</v>
      </c>
      <c r="F772" s="23">
        <f>IFERROR(__xludf.DUMMYFUNCTION("""COMPUTED_VALUE"""),44751.7700897338)</f>
        <v>44751.77009</v>
      </c>
      <c r="G772" s="24" t="str">
        <f>IFERROR(__xludf.DUMMYFUNCTION("""COMPUTED_VALUE"""),"Claire")</f>
        <v>Claire</v>
      </c>
      <c r="H772" s="24">
        <f>IFERROR(__xludf.DUMMYFUNCTION("""COMPUTED_VALUE"""),1005.0)</f>
        <v>1005</v>
      </c>
      <c r="I772" s="24" t="str">
        <f>IFERROR(__xludf.DUMMYFUNCTION("""COMPUTED_VALUE"""),"Frozen")</f>
        <v>Frozen</v>
      </c>
    </row>
    <row r="773">
      <c r="A773" s="23">
        <f>IFERROR(__xludf.DUMMYFUNCTION("""COMPUTED_VALUE"""),44854.449579618056)</f>
        <v>44854.44958</v>
      </c>
      <c r="B773" s="24" t="str">
        <f>IFERROR(__xludf.DUMMYFUNCTION("""COMPUTED_VALUE"""),"Claire")</f>
        <v>Claire</v>
      </c>
      <c r="C773" s="24">
        <f>IFERROR(__xludf.DUMMYFUNCTION("""COMPUTED_VALUE"""),1011.0)</f>
        <v>1011</v>
      </c>
      <c r="D773" s="24" t="str">
        <f>IFERROR(__xludf.DUMMYFUNCTION("""COMPUTED_VALUE"""),"Dole")</f>
        <v>Dole</v>
      </c>
      <c r="F773" s="23">
        <f>IFERROR(__xludf.DUMMYFUNCTION("""COMPUTED_VALUE"""),44751.770388969904)</f>
        <v>44751.77039</v>
      </c>
      <c r="G773" s="24" t="str">
        <f>IFERROR(__xludf.DUMMYFUNCTION("""COMPUTED_VALUE"""),"Claire")</f>
        <v>Claire</v>
      </c>
      <c r="H773" s="24">
        <f>IFERROR(__xludf.DUMMYFUNCTION("""COMPUTED_VALUE"""),128.0)</f>
        <v>128</v>
      </c>
      <c r="I773" s="24" t="str">
        <f>IFERROR(__xludf.DUMMYFUNCTION("""COMPUTED_VALUE"""),"OXO")</f>
        <v>OXO</v>
      </c>
    </row>
    <row r="774">
      <c r="A774" s="23">
        <f>IFERROR(__xludf.DUMMYFUNCTION("""COMPUTED_VALUE"""),44854.44988743056)</f>
        <v>44854.44989</v>
      </c>
      <c r="B774" s="24" t="str">
        <f>IFERROR(__xludf.DUMMYFUNCTION("""COMPUTED_VALUE"""),"Claire")</f>
        <v>Claire</v>
      </c>
      <c r="C774" s="24">
        <f>IFERROR(__xludf.DUMMYFUNCTION("""COMPUTED_VALUE"""),1008.0)</f>
        <v>1008</v>
      </c>
      <c r="D774" s="24" t="str">
        <f>IFERROR(__xludf.DUMMYFUNCTION("""COMPUTED_VALUE"""),"Dole")</f>
        <v>Dole</v>
      </c>
      <c r="F774" s="23">
        <f>IFERROR(__xludf.DUMMYFUNCTION("""COMPUTED_VALUE"""),44751.77083097222)</f>
        <v>44751.77083</v>
      </c>
      <c r="G774" s="24" t="str">
        <f>IFERROR(__xludf.DUMMYFUNCTION("""COMPUTED_VALUE"""),"Claire")</f>
        <v>Claire</v>
      </c>
      <c r="H774" s="24">
        <f>IFERROR(__xludf.DUMMYFUNCTION("""COMPUTED_VALUE"""),759.0)</f>
        <v>759</v>
      </c>
      <c r="I774" s="24" t="str">
        <f>IFERROR(__xludf.DUMMYFUNCTION("""COMPUTED_VALUE"""),"Personal care")</f>
        <v>Personal care</v>
      </c>
    </row>
    <row r="775">
      <c r="A775" s="23">
        <f>IFERROR(__xludf.DUMMYFUNCTION("""COMPUTED_VALUE"""),44854.450201817126)</f>
        <v>44854.4502</v>
      </c>
      <c r="B775" s="24" t="str">
        <f>IFERROR(__xludf.DUMMYFUNCTION("""COMPUTED_VALUE"""),"Claire")</f>
        <v>Claire</v>
      </c>
      <c r="C775" s="24">
        <f>IFERROR(__xludf.DUMMYFUNCTION("""COMPUTED_VALUE"""),1007.0)</f>
        <v>1007</v>
      </c>
      <c r="D775" s="24" t="str">
        <f>IFERROR(__xludf.DUMMYFUNCTION("""COMPUTED_VALUE"""),"Dole")</f>
        <v>Dole</v>
      </c>
      <c r="F775" s="23">
        <f>IFERROR(__xludf.DUMMYFUNCTION("""COMPUTED_VALUE"""),44751.77116957176)</f>
        <v>44751.77117</v>
      </c>
      <c r="G775" s="24" t="str">
        <f>IFERROR(__xludf.DUMMYFUNCTION("""COMPUTED_VALUE"""),"Clairr")</f>
        <v>Clairr</v>
      </c>
      <c r="H775" s="24">
        <f>IFERROR(__xludf.DUMMYFUNCTION("""COMPUTED_VALUE"""),2073.0)</f>
        <v>2073</v>
      </c>
      <c r="I775" s="24" t="str">
        <f>IFERROR(__xludf.DUMMYFUNCTION("""COMPUTED_VALUE"""),"Drinks")</f>
        <v>Drinks</v>
      </c>
    </row>
    <row r="776">
      <c r="A776" s="23">
        <f>IFERROR(__xludf.DUMMYFUNCTION("""COMPUTED_VALUE"""),44854.45053721065)</f>
        <v>44854.45054</v>
      </c>
      <c r="B776" s="24" t="str">
        <f>IFERROR(__xludf.DUMMYFUNCTION("""COMPUTED_VALUE"""),"Claire")</f>
        <v>Claire</v>
      </c>
      <c r="C776" s="24">
        <f>IFERROR(__xludf.DUMMYFUNCTION("""COMPUTED_VALUE"""),982.0)</f>
        <v>982</v>
      </c>
      <c r="D776" s="24" t="str">
        <f>IFERROR(__xludf.DUMMYFUNCTION("""COMPUTED_VALUE"""),"Dole")</f>
        <v>Dole</v>
      </c>
      <c r="F776" s="23">
        <f>IFERROR(__xludf.DUMMYFUNCTION("""COMPUTED_VALUE"""),44751.77145637731)</f>
        <v>44751.77146</v>
      </c>
      <c r="G776" s="24" t="str">
        <f>IFERROR(__xludf.DUMMYFUNCTION("""COMPUTED_VALUE"""),"Claire")</f>
        <v>Claire</v>
      </c>
      <c r="H776" s="24">
        <f>IFERROR(__xludf.DUMMYFUNCTION("""COMPUTED_VALUE"""),1253.0)</f>
        <v>1253</v>
      </c>
      <c r="I776" s="24" t="str">
        <f>IFERROR(__xludf.DUMMYFUNCTION("""COMPUTED_VALUE"""),"Cleaning supplies")</f>
        <v>Cleaning supplies</v>
      </c>
    </row>
    <row r="777">
      <c r="A777" s="23">
        <f>IFERROR(__xludf.DUMMYFUNCTION("""COMPUTED_VALUE"""),44854.450967245364)</f>
        <v>44854.45097</v>
      </c>
      <c r="B777" s="24" t="str">
        <f>IFERROR(__xludf.DUMMYFUNCTION("""COMPUTED_VALUE"""),"Claire")</f>
        <v>Claire</v>
      </c>
      <c r="C777" s="24">
        <f>IFERROR(__xludf.DUMMYFUNCTION("""COMPUTED_VALUE"""),982.0)</f>
        <v>982</v>
      </c>
      <c r="D777" s="24" t="str">
        <f>IFERROR(__xludf.DUMMYFUNCTION("""COMPUTED_VALUE"""),"Dole")</f>
        <v>Dole</v>
      </c>
      <c r="F777" s="23">
        <f>IFERROR(__xludf.DUMMYFUNCTION("""COMPUTED_VALUE"""),44751.77190317129)</f>
        <v>44751.7719</v>
      </c>
      <c r="G777" s="24" t="str">
        <f>IFERROR(__xludf.DUMMYFUNCTION("""COMPUTED_VALUE"""),"Claire")</f>
        <v>Claire</v>
      </c>
      <c r="H777" s="24">
        <f>IFERROR(__xludf.DUMMYFUNCTION("""COMPUTED_VALUE"""),1000.0)</f>
        <v>1000</v>
      </c>
      <c r="I777" s="24" t="str">
        <f>IFERROR(__xludf.DUMMYFUNCTION("""COMPUTED_VALUE"""),"Cleaning supplies")</f>
        <v>Cleaning supplies</v>
      </c>
    </row>
    <row r="778">
      <c r="A778" s="23">
        <f>IFERROR(__xludf.DUMMYFUNCTION("""COMPUTED_VALUE"""),44854.452405370364)</f>
        <v>44854.45241</v>
      </c>
      <c r="B778" s="24" t="str">
        <f>IFERROR(__xludf.DUMMYFUNCTION("""COMPUTED_VALUE"""),"Claire")</f>
        <v>Claire</v>
      </c>
      <c r="C778" s="24">
        <f>IFERROR(__xludf.DUMMYFUNCTION("""COMPUTED_VALUE"""),1040.0)</f>
        <v>1040</v>
      </c>
      <c r="D778" s="24" t="str">
        <f>IFERROR(__xludf.DUMMYFUNCTION("""COMPUTED_VALUE"""),"Dole")</f>
        <v>Dole</v>
      </c>
      <c r="F778" s="23">
        <f>IFERROR(__xludf.DUMMYFUNCTION("""COMPUTED_VALUE"""),44751.772221412044)</f>
        <v>44751.77222</v>
      </c>
      <c r="G778" s="24" t="str">
        <f>IFERROR(__xludf.DUMMYFUNCTION("""COMPUTED_VALUE"""),"Claire")</f>
        <v>Claire</v>
      </c>
      <c r="H778" s="24">
        <f>IFERROR(__xludf.DUMMYFUNCTION("""COMPUTED_VALUE"""),1105.0)</f>
        <v>1105</v>
      </c>
      <c r="I778" s="24" t="str">
        <f>IFERROR(__xludf.DUMMYFUNCTION("""COMPUTED_VALUE"""),"Pet Supplies")</f>
        <v>Pet Supplies</v>
      </c>
    </row>
    <row r="779">
      <c r="A779" s="23">
        <f>IFERROR(__xludf.DUMMYFUNCTION("""COMPUTED_VALUE"""),44854.45282456019)</f>
        <v>44854.45282</v>
      </c>
      <c r="B779" s="24" t="str">
        <f>IFERROR(__xludf.DUMMYFUNCTION("""COMPUTED_VALUE"""),"Claire")</f>
        <v>Claire</v>
      </c>
      <c r="C779" s="24">
        <f>IFERROR(__xludf.DUMMYFUNCTION("""COMPUTED_VALUE"""),1289.0)</f>
        <v>1289</v>
      </c>
      <c r="D779" s="24" t="str">
        <f>IFERROR(__xludf.DUMMYFUNCTION("""COMPUTED_VALUE"""),"Dole")</f>
        <v>Dole</v>
      </c>
      <c r="F779" s="23">
        <f>IFERROR(__xludf.DUMMYFUNCTION("""COMPUTED_VALUE"""),44751.77264196759)</f>
        <v>44751.77264</v>
      </c>
      <c r="G779" s="24" t="str">
        <f>IFERROR(__xludf.DUMMYFUNCTION("""COMPUTED_VALUE"""),"Claire")</f>
        <v>Claire</v>
      </c>
      <c r="H779" s="24">
        <f>IFERROR(__xludf.DUMMYFUNCTION("""COMPUTED_VALUE"""),173.0)</f>
        <v>173</v>
      </c>
      <c r="I779" s="24" t="str">
        <f>IFERROR(__xludf.DUMMYFUNCTION("""COMPUTED_VALUE"""),"Toilet paper")</f>
        <v>Toilet paper</v>
      </c>
    </row>
    <row r="780">
      <c r="A780" s="23">
        <f>IFERROR(__xludf.DUMMYFUNCTION("""COMPUTED_VALUE"""),44854.45319226852)</f>
        <v>44854.45319</v>
      </c>
      <c r="B780" s="24" t="str">
        <f>IFERROR(__xludf.DUMMYFUNCTION("""COMPUTED_VALUE"""),"Claire")</f>
        <v>Claire</v>
      </c>
      <c r="C780" s="24">
        <f>IFERROR(__xludf.DUMMYFUNCTION("""COMPUTED_VALUE"""),979.0)</f>
        <v>979</v>
      </c>
      <c r="D780" s="24" t="str">
        <f>IFERROR(__xludf.DUMMYFUNCTION("""COMPUTED_VALUE"""),"Dole")</f>
        <v>Dole</v>
      </c>
      <c r="F780" s="23">
        <f>IFERROR(__xludf.DUMMYFUNCTION("""COMPUTED_VALUE"""),44751.77306875)</f>
        <v>44751.77307</v>
      </c>
      <c r="G780" s="24" t="str">
        <f>IFERROR(__xludf.DUMMYFUNCTION("""COMPUTED_VALUE"""),"Claire")</f>
        <v>Claire</v>
      </c>
      <c r="H780" s="24">
        <f>IFERROR(__xludf.DUMMYFUNCTION("""COMPUTED_VALUE"""),180.0)</f>
        <v>180</v>
      </c>
      <c r="I780" s="24" t="str">
        <f>IFERROR(__xludf.DUMMYFUNCTION("""COMPUTED_VALUE"""),"Paper goods")</f>
        <v>Paper goods</v>
      </c>
    </row>
    <row r="781">
      <c r="A781" s="23">
        <f>IFERROR(__xludf.DUMMYFUNCTION("""COMPUTED_VALUE"""),44854.45354498842)</f>
        <v>44854.45354</v>
      </c>
      <c r="B781" s="24" t="str">
        <f>IFERROR(__xludf.DUMMYFUNCTION("""COMPUTED_VALUE"""),"Claire")</f>
        <v>Claire</v>
      </c>
      <c r="C781" s="24">
        <f>IFERROR(__xludf.DUMMYFUNCTION("""COMPUTED_VALUE"""),1014.0)</f>
        <v>1014</v>
      </c>
      <c r="D781" s="24" t="str">
        <f>IFERROR(__xludf.DUMMYFUNCTION("""COMPUTED_VALUE"""),"Dole")</f>
        <v>Dole</v>
      </c>
      <c r="F781" s="23">
        <f>IFERROR(__xludf.DUMMYFUNCTION("""COMPUTED_VALUE"""),44751.77353484953)</f>
        <v>44751.77353</v>
      </c>
      <c r="G781" s="24" t="str">
        <f>IFERROR(__xludf.DUMMYFUNCTION("""COMPUTED_VALUE"""),"Claire")</f>
        <v>Claire</v>
      </c>
      <c r="H781" s="24">
        <f>IFERROR(__xludf.DUMMYFUNCTION("""COMPUTED_VALUE"""),223.0)</f>
        <v>223</v>
      </c>
      <c r="I781" s="24" t="str">
        <f>IFERROR(__xludf.DUMMYFUNCTION("""COMPUTED_VALUE"""),"Tissue products")</f>
        <v>Tissue products</v>
      </c>
    </row>
    <row r="782">
      <c r="A782" s="23">
        <f>IFERROR(__xludf.DUMMYFUNCTION("""COMPUTED_VALUE"""),44854.45395570601)</f>
        <v>44854.45396</v>
      </c>
      <c r="B782" s="24" t="str">
        <f>IFERROR(__xludf.DUMMYFUNCTION("""COMPUTED_VALUE"""),"Claire ")</f>
        <v>Claire </v>
      </c>
      <c r="C782" s="24">
        <f>IFERROR(__xludf.DUMMYFUNCTION("""COMPUTED_VALUE"""),984.0)</f>
        <v>984</v>
      </c>
      <c r="D782" s="24" t="str">
        <f>IFERROR(__xludf.DUMMYFUNCTION("""COMPUTED_VALUE"""),"Dole")</f>
        <v>Dole</v>
      </c>
      <c r="F782" s="23">
        <f>IFERROR(__xludf.DUMMYFUNCTION("""COMPUTED_VALUE"""),44751.773984398154)</f>
        <v>44751.77398</v>
      </c>
      <c r="G782" s="24" t="str">
        <f>IFERROR(__xludf.DUMMYFUNCTION("""COMPUTED_VALUE"""),"Claire")</f>
        <v>Claire</v>
      </c>
      <c r="H782" s="24">
        <f>IFERROR(__xludf.DUMMYFUNCTION("""COMPUTED_VALUE"""),1278.0)</f>
        <v>1278</v>
      </c>
      <c r="I782" s="24" t="str">
        <f>IFERROR(__xludf.DUMMYFUNCTION("""COMPUTED_VALUE"""),"Drinks")</f>
        <v>Drinks</v>
      </c>
    </row>
    <row r="783">
      <c r="A783" s="23">
        <f>IFERROR(__xludf.DUMMYFUNCTION("""COMPUTED_VALUE"""),44854.45427326389)</f>
        <v>44854.45427</v>
      </c>
      <c r="B783" s="24" t="str">
        <f>IFERROR(__xludf.DUMMYFUNCTION("""COMPUTED_VALUE"""),"Claire")</f>
        <v>Claire</v>
      </c>
      <c r="C783" s="24">
        <f>IFERROR(__xludf.DUMMYFUNCTION("""COMPUTED_VALUE"""),978.0)</f>
        <v>978</v>
      </c>
      <c r="D783" s="24" t="str">
        <f>IFERROR(__xludf.DUMMYFUNCTION("""COMPUTED_VALUE"""),"Dole")</f>
        <v>Dole</v>
      </c>
      <c r="F783" s="23">
        <f>IFERROR(__xludf.DUMMYFUNCTION("""COMPUTED_VALUE"""),44751.77435436343)</f>
        <v>44751.77435</v>
      </c>
      <c r="G783" s="24" t="str">
        <f>IFERROR(__xludf.DUMMYFUNCTION("""COMPUTED_VALUE"""),"Claire")</f>
        <v>Claire</v>
      </c>
      <c r="H783" s="24">
        <f>IFERROR(__xludf.DUMMYFUNCTION("""COMPUTED_VALUE"""),554.0)</f>
        <v>554</v>
      </c>
      <c r="I783" s="24" t="str">
        <f>IFERROR(__xludf.DUMMYFUNCTION("""COMPUTED_VALUE"""),"Broth")</f>
        <v>Broth</v>
      </c>
    </row>
    <row r="784">
      <c r="A784" s="23">
        <f>IFERROR(__xludf.DUMMYFUNCTION("""COMPUTED_VALUE"""),44854.45460517361)</f>
        <v>44854.45461</v>
      </c>
      <c r="B784" s="24" t="str">
        <f>IFERROR(__xludf.DUMMYFUNCTION("""COMPUTED_VALUE"""),"Claire")</f>
        <v>Claire</v>
      </c>
      <c r="C784" s="24">
        <f>IFERROR(__xludf.DUMMYFUNCTION("""COMPUTED_VALUE"""),1015.0)</f>
        <v>1015</v>
      </c>
      <c r="D784" s="24" t="str">
        <f>IFERROR(__xludf.DUMMYFUNCTION("""COMPUTED_VALUE"""),"Dole")</f>
        <v>Dole</v>
      </c>
      <c r="F784" s="23">
        <f>IFERROR(__xludf.DUMMYFUNCTION("""COMPUTED_VALUE"""),44751.77462337963)</f>
        <v>44751.77462</v>
      </c>
      <c r="G784" s="24" t="str">
        <f>IFERROR(__xludf.DUMMYFUNCTION("""COMPUTED_VALUE"""),"Claire")</f>
        <v>Claire</v>
      </c>
      <c r="H784" s="24">
        <f>IFERROR(__xludf.DUMMYFUNCTION("""COMPUTED_VALUE"""),441.0)</f>
        <v>441</v>
      </c>
      <c r="I784" s="24" t="str">
        <f>IFERROR(__xludf.DUMMYFUNCTION("""COMPUTED_VALUE"""),"Oil")</f>
        <v>Oil</v>
      </c>
    </row>
    <row r="785">
      <c r="A785" s="23">
        <f>IFERROR(__xludf.DUMMYFUNCTION("""COMPUTED_VALUE"""),44854.454966944446)</f>
        <v>44854.45497</v>
      </c>
      <c r="B785" s="24" t="str">
        <f>IFERROR(__xludf.DUMMYFUNCTION("""COMPUTED_VALUE"""),"Claire")</f>
        <v>Claire</v>
      </c>
      <c r="C785" s="24">
        <f>IFERROR(__xludf.DUMMYFUNCTION("""COMPUTED_VALUE"""),1101.0)</f>
        <v>1101</v>
      </c>
      <c r="D785" s="24" t="str">
        <f>IFERROR(__xludf.DUMMYFUNCTION("""COMPUTED_VALUE"""),"Dole")</f>
        <v>Dole</v>
      </c>
      <c r="F785" s="23">
        <f>IFERROR(__xludf.DUMMYFUNCTION("""COMPUTED_VALUE"""),44751.77493337963)</f>
        <v>44751.77493</v>
      </c>
      <c r="G785" s="24" t="str">
        <f>IFERROR(__xludf.DUMMYFUNCTION("""COMPUTED_VALUE"""),"Claire")</f>
        <v>Claire</v>
      </c>
      <c r="H785" s="24">
        <f>IFERROR(__xludf.DUMMYFUNCTION("""COMPUTED_VALUE"""),889.0)</f>
        <v>889</v>
      </c>
      <c r="I785" s="24" t="str">
        <f>IFERROR(__xludf.DUMMYFUNCTION("""COMPUTED_VALUE"""),"Dairy")</f>
        <v>Dairy</v>
      </c>
    </row>
    <row r="786">
      <c r="A786" s="23">
        <f>IFERROR(__xludf.DUMMYFUNCTION("""COMPUTED_VALUE"""),44854.455453310184)</f>
        <v>44854.45545</v>
      </c>
      <c r="B786" s="24" t="str">
        <f>IFERROR(__xludf.DUMMYFUNCTION("""COMPUTED_VALUE"""),"Claire")</f>
        <v>Claire</v>
      </c>
      <c r="C786" s="24">
        <f>IFERROR(__xludf.DUMMYFUNCTION("""COMPUTED_VALUE"""),1022.0)</f>
        <v>1022</v>
      </c>
      <c r="D786" s="24" t="str">
        <f>IFERROR(__xludf.DUMMYFUNCTION("""COMPUTED_VALUE"""),"Dole")</f>
        <v>Dole</v>
      </c>
      <c r="F786" s="23">
        <f>IFERROR(__xludf.DUMMYFUNCTION("""COMPUTED_VALUE"""),44751.7749488426)</f>
        <v>44751.77495</v>
      </c>
      <c r="G786" s="24" t="str">
        <f>IFERROR(__xludf.DUMMYFUNCTION("""COMPUTED_VALUE"""),"Deborah claridy")</f>
        <v>Deborah claridy</v>
      </c>
      <c r="H786" s="24">
        <f>IFERROR(__xludf.DUMMYFUNCTION("""COMPUTED_VALUE"""),2.0)</f>
        <v>2</v>
      </c>
      <c r="I786" s="24"/>
    </row>
    <row r="787">
      <c r="A787" s="23">
        <f>IFERROR(__xludf.DUMMYFUNCTION("""COMPUTED_VALUE"""),44854.45579793981)</f>
        <v>44854.4558</v>
      </c>
      <c r="B787" s="24" t="str">
        <f>IFERROR(__xludf.DUMMYFUNCTION("""COMPUTED_VALUE"""),"Claire")</f>
        <v>Claire</v>
      </c>
      <c r="C787" s="24">
        <f>IFERROR(__xludf.DUMMYFUNCTION("""COMPUTED_VALUE"""),1016.0)</f>
        <v>1016</v>
      </c>
      <c r="D787" s="24" t="str">
        <f>IFERROR(__xludf.DUMMYFUNCTION("""COMPUTED_VALUE"""),"Dole")</f>
        <v>Dole</v>
      </c>
      <c r="F787" s="23">
        <f>IFERROR(__xludf.DUMMYFUNCTION("""COMPUTED_VALUE"""),44751.7751909375)</f>
        <v>44751.77519</v>
      </c>
      <c r="G787" s="24" t="str">
        <f>IFERROR(__xludf.DUMMYFUNCTION("""COMPUTED_VALUE"""),"Claire")</f>
        <v>Claire</v>
      </c>
      <c r="H787" s="24">
        <f>IFERROR(__xludf.DUMMYFUNCTION("""COMPUTED_VALUE"""),1463.0)</f>
        <v>1463</v>
      </c>
      <c r="I787" s="24" t="str">
        <f>IFERROR(__xludf.DUMMYFUNCTION("""COMPUTED_VALUE"""),"Drinks")</f>
        <v>Drinks</v>
      </c>
    </row>
    <row r="788">
      <c r="A788" s="23">
        <f>IFERROR(__xludf.DUMMYFUNCTION("""COMPUTED_VALUE"""),44854.45616497685)</f>
        <v>44854.45616</v>
      </c>
      <c r="B788" s="24" t="str">
        <f>IFERROR(__xludf.DUMMYFUNCTION("""COMPUTED_VALUE"""),"Claire")</f>
        <v>Claire</v>
      </c>
      <c r="C788" s="24">
        <f>IFERROR(__xludf.DUMMYFUNCTION("""COMPUTED_VALUE"""),1014.0)</f>
        <v>1014</v>
      </c>
      <c r="D788" s="24" t="str">
        <f>IFERROR(__xludf.DUMMYFUNCTION("""COMPUTED_VALUE"""),"Dole")</f>
        <v>Dole</v>
      </c>
      <c r="F788" s="23">
        <f>IFERROR(__xludf.DUMMYFUNCTION("""COMPUTED_VALUE"""),44751.77558767361)</f>
        <v>44751.77559</v>
      </c>
      <c r="G788" s="24" t="str">
        <f>IFERROR(__xludf.DUMMYFUNCTION("""COMPUTED_VALUE"""),"Claire")</f>
        <v>Claire</v>
      </c>
      <c r="H788" s="24">
        <f>IFERROR(__xludf.DUMMYFUNCTION("""COMPUTED_VALUE"""),-400.0)</f>
        <v>-400</v>
      </c>
      <c r="I788" s="24" t="str">
        <f>IFERROR(__xludf.DUMMYFUNCTION("""COMPUTED_VALUE"""),"Personal care")</f>
        <v>Personal care</v>
      </c>
    </row>
    <row r="789">
      <c r="A789" s="23">
        <f>IFERROR(__xludf.DUMMYFUNCTION("""COMPUTED_VALUE"""),44854.45747958333)</f>
        <v>44854.45748</v>
      </c>
      <c r="B789" s="24" t="str">
        <f>IFERROR(__xludf.DUMMYFUNCTION("""COMPUTED_VALUE"""),"Claire")</f>
        <v>Claire</v>
      </c>
      <c r="C789" s="24">
        <f>IFERROR(__xludf.DUMMYFUNCTION("""COMPUTED_VALUE"""),1069.0)</f>
        <v>1069</v>
      </c>
      <c r="D789" s="24" t="str">
        <f>IFERROR(__xludf.DUMMYFUNCTION("""COMPUTED_VALUE"""),"Dole")</f>
        <v>Dole</v>
      </c>
      <c r="F789" s="23">
        <f>IFERROR(__xludf.DUMMYFUNCTION("""COMPUTED_VALUE"""),44751.77581976852)</f>
        <v>44751.77582</v>
      </c>
      <c r="G789" s="24" t="str">
        <f>IFERROR(__xludf.DUMMYFUNCTION("""COMPUTED_VALUE"""),"Claire")</f>
        <v>Claire</v>
      </c>
      <c r="H789" s="24">
        <f>IFERROR(__xludf.DUMMYFUNCTION("""COMPUTED_VALUE"""),-65.0)</f>
        <v>-65</v>
      </c>
      <c r="I789" s="24" t="str">
        <f>IFERROR(__xludf.DUMMYFUNCTION("""COMPUTED_VALUE"""),"Meat")</f>
        <v>Meat</v>
      </c>
    </row>
    <row r="790">
      <c r="A790" s="23">
        <f>IFERROR(__xludf.DUMMYFUNCTION("""COMPUTED_VALUE"""),44854.4578450926)</f>
        <v>44854.45785</v>
      </c>
      <c r="B790" s="24" t="str">
        <f>IFERROR(__xludf.DUMMYFUNCTION("""COMPUTED_VALUE"""),"Claire")</f>
        <v>Claire</v>
      </c>
      <c r="C790" s="24">
        <f>IFERROR(__xludf.DUMMYFUNCTION("""COMPUTED_VALUE"""),1070.0)</f>
        <v>1070</v>
      </c>
      <c r="D790" s="24" t="str">
        <f>IFERROR(__xludf.DUMMYFUNCTION("""COMPUTED_VALUE"""),"Dole")</f>
        <v>Dole</v>
      </c>
      <c r="F790" s="23">
        <f>IFERROR(__xludf.DUMMYFUNCTION("""COMPUTED_VALUE"""),44751.77610447916)</f>
        <v>44751.7761</v>
      </c>
      <c r="G790" s="24" t="str">
        <f>IFERROR(__xludf.DUMMYFUNCTION("""COMPUTED_VALUE"""),"Claire")</f>
        <v>Claire</v>
      </c>
      <c r="H790" s="24">
        <f>IFERROR(__xludf.DUMMYFUNCTION("""COMPUTED_VALUE"""),-352.0)</f>
        <v>-352</v>
      </c>
      <c r="I790" s="24" t="str">
        <f>IFERROR(__xludf.DUMMYFUNCTION("""COMPUTED_VALUE"""),"Oil")</f>
        <v>Oil</v>
      </c>
    </row>
    <row r="791">
      <c r="A791" s="23">
        <f>IFERROR(__xludf.DUMMYFUNCTION("""COMPUTED_VALUE"""),44854.45818159722)</f>
        <v>44854.45818</v>
      </c>
      <c r="B791" s="24" t="str">
        <f>IFERROR(__xludf.DUMMYFUNCTION("""COMPUTED_VALUE"""),"Claire")</f>
        <v>Claire</v>
      </c>
      <c r="C791" s="24">
        <f>IFERROR(__xludf.DUMMYFUNCTION("""COMPUTED_VALUE"""),1012.0)</f>
        <v>1012</v>
      </c>
      <c r="D791" s="24" t="str">
        <f>IFERROR(__xludf.DUMMYFUNCTION("""COMPUTED_VALUE"""),"Dole")</f>
        <v>Dole</v>
      </c>
      <c r="F791" s="23">
        <f>IFERROR(__xludf.DUMMYFUNCTION("""COMPUTED_VALUE"""),44751.77638905092)</f>
        <v>44751.77639</v>
      </c>
      <c r="G791" s="24" t="str">
        <f>IFERROR(__xludf.DUMMYFUNCTION("""COMPUTED_VALUE"""),"Claire")</f>
        <v>Claire</v>
      </c>
      <c r="H791" s="24">
        <f>IFERROR(__xludf.DUMMYFUNCTION("""COMPUTED_VALUE"""),-337.0)</f>
        <v>-337</v>
      </c>
      <c r="I791" s="24" t="str">
        <f>IFERROR(__xludf.DUMMYFUNCTION("""COMPUTED_VALUE"""),"Pet supplies")</f>
        <v>Pet supplies</v>
      </c>
    </row>
    <row r="792">
      <c r="A792" s="23">
        <f>IFERROR(__xludf.DUMMYFUNCTION("""COMPUTED_VALUE"""),44854.4585893287)</f>
        <v>44854.45859</v>
      </c>
      <c r="B792" s="24" t="str">
        <f>IFERROR(__xludf.DUMMYFUNCTION("""COMPUTED_VALUE"""),"Claire")</f>
        <v>Claire</v>
      </c>
      <c r="C792" s="24">
        <f>IFERROR(__xludf.DUMMYFUNCTION("""COMPUTED_VALUE"""),1021.0)</f>
        <v>1021</v>
      </c>
      <c r="D792" s="24" t="str">
        <f>IFERROR(__xludf.DUMMYFUNCTION("""COMPUTED_VALUE"""),"Dole")</f>
        <v>Dole</v>
      </c>
      <c r="F792" s="23">
        <f>IFERROR(__xludf.DUMMYFUNCTION("""COMPUTED_VALUE"""),44751.776644641206)</f>
        <v>44751.77664</v>
      </c>
      <c r="G792" s="24" t="str">
        <f>IFERROR(__xludf.DUMMYFUNCTION("""COMPUTED_VALUE"""),"Claire")</f>
        <v>Claire</v>
      </c>
      <c r="H792" s="24">
        <f>IFERROR(__xludf.DUMMYFUNCTION("""COMPUTED_VALUE"""),-30.0)</f>
        <v>-30</v>
      </c>
      <c r="I792" s="24" t="str">
        <f>IFERROR(__xludf.DUMMYFUNCTION("""COMPUTED_VALUE"""),"OXO")</f>
        <v>OXO</v>
      </c>
    </row>
    <row r="793">
      <c r="A793" s="23">
        <f>IFERROR(__xludf.DUMMYFUNCTION("""COMPUTED_VALUE"""),44854.45889734954)</f>
        <v>44854.4589</v>
      </c>
      <c r="B793" s="24" t="str">
        <f>IFERROR(__xludf.DUMMYFUNCTION("""COMPUTED_VALUE"""),"Claire")</f>
        <v>Claire</v>
      </c>
      <c r="C793" s="24">
        <f>IFERROR(__xludf.DUMMYFUNCTION("""COMPUTED_VALUE"""),1033.0)</f>
        <v>1033</v>
      </c>
      <c r="D793" s="24" t="str">
        <f>IFERROR(__xludf.DUMMYFUNCTION("""COMPUTED_VALUE"""),"Dole")</f>
        <v>Dole</v>
      </c>
      <c r="F793" s="23">
        <f>IFERROR(__xludf.DUMMYFUNCTION("""COMPUTED_VALUE"""),44751.77749425926)</f>
        <v>44751.77749</v>
      </c>
      <c r="G793" s="24" t="str">
        <f>IFERROR(__xludf.DUMMYFUNCTION("""COMPUTED_VALUE"""),"Claire")</f>
        <v>Claire</v>
      </c>
      <c r="H793" s="24">
        <f>IFERROR(__xludf.DUMMYFUNCTION("""COMPUTED_VALUE"""),-1486.0)</f>
        <v>-1486</v>
      </c>
      <c r="I793" s="24" t="str">
        <f>IFERROR(__xludf.DUMMYFUNCTION("""COMPUTED_VALUE"""),"Drinks")</f>
        <v>Drinks</v>
      </c>
    </row>
    <row r="794">
      <c r="A794" s="23">
        <f>IFERROR(__xludf.DUMMYFUNCTION("""COMPUTED_VALUE"""),44854.45940600694)</f>
        <v>44854.45941</v>
      </c>
      <c r="B794" s="24" t="str">
        <f>IFERROR(__xludf.DUMMYFUNCTION("""COMPUTED_VALUE"""),"Claire")</f>
        <v>Claire</v>
      </c>
      <c r="C794" s="24">
        <f>IFERROR(__xludf.DUMMYFUNCTION("""COMPUTED_VALUE"""),1038.0)</f>
        <v>1038</v>
      </c>
      <c r="D794" s="24" t="str">
        <f>IFERROR(__xludf.DUMMYFUNCTION("""COMPUTED_VALUE"""),"Dole")</f>
        <v>Dole</v>
      </c>
      <c r="F794" s="23">
        <f>IFERROR(__xludf.DUMMYFUNCTION("""COMPUTED_VALUE"""),44751.790207013895)</f>
        <v>44751.79021</v>
      </c>
      <c r="G794" s="24" t="str">
        <f>IFERROR(__xludf.DUMMYFUNCTION("""COMPUTED_VALUE"""),"Vincent Faulk")</f>
        <v>Vincent Faulk</v>
      </c>
      <c r="H794" s="24">
        <f>IFERROR(__xludf.DUMMYFUNCTION("""COMPUTED_VALUE"""),31.0)</f>
        <v>31</v>
      </c>
      <c r="I794" s="24"/>
    </row>
    <row r="795">
      <c r="A795" s="23">
        <f>IFERROR(__xludf.DUMMYFUNCTION("""COMPUTED_VALUE"""),44854.45982877315)</f>
        <v>44854.45983</v>
      </c>
      <c r="B795" s="24" t="str">
        <f>IFERROR(__xludf.DUMMYFUNCTION("""COMPUTED_VALUE"""),"Claire")</f>
        <v>Claire</v>
      </c>
      <c r="C795" s="24">
        <f>IFERROR(__xludf.DUMMYFUNCTION("""COMPUTED_VALUE"""),1012.0)</f>
        <v>1012</v>
      </c>
      <c r="D795" s="24" t="str">
        <f>IFERROR(__xludf.DUMMYFUNCTION("""COMPUTED_VALUE"""),"Dole")</f>
        <v>Dole</v>
      </c>
      <c r="F795" s="23">
        <f>IFERROR(__xludf.DUMMYFUNCTION("""COMPUTED_VALUE"""),44751.79050256944)</f>
        <v>44751.7905</v>
      </c>
      <c r="G795" s="24" t="str">
        <f>IFERROR(__xludf.DUMMYFUNCTION("""COMPUTED_VALUE"""),"Lynnette c")</f>
        <v>Lynnette c</v>
      </c>
      <c r="H795" s="24">
        <f>IFERROR(__xludf.DUMMYFUNCTION("""COMPUTED_VALUE"""),20.0)</f>
        <v>20</v>
      </c>
      <c r="I795" s="24"/>
    </row>
    <row r="796">
      <c r="A796" s="23">
        <f>IFERROR(__xludf.DUMMYFUNCTION("""COMPUTED_VALUE"""),44854.46018657407)</f>
        <v>44854.46019</v>
      </c>
      <c r="B796" s="24" t="str">
        <f>IFERROR(__xludf.DUMMYFUNCTION("""COMPUTED_VALUE"""),"Claire")</f>
        <v>Claire</v>
      </c>
      <c r="C796" s="24">
        <f>IFERROR(__xludf.DUMMYFUNCTION("""COMPUTED_VALUE"""),870.0)</f>
        <v>870</v>
      </c>
      <c r="D796" s="24" t="str">
        <f>IFERROR(__xludf.DUMMYFUNCTION("""COMPUTED_VALUE"""),"Dole")</f>
        <v>Dole</v>
      </c>
      <c r="F796" s="23">
        <f>IFERROR(__xludf.DUMMYFUNCTION("""COMPUTED_VALUE"""),44751.7908237963)</f>
        <v>44751.79082</v>
      </c>
      <c r="G796" s="24" t="str">
        <f>IFERROR(__xludf.DUMMYFUNCTION("""COMPUTED_VALUE"""),"Lynnette c expire (damage)")</f>
        <v>Lynnette c expire (damage)</v>
      </c>
      <c r="H796" s="24">
        <f>IFERROR(__xludf.DUMMYFUNCTION("""COMPUTED_VALUE"""),5.0)</f>
        <v>5</v>
      </c>
      <c r="I796" s="24"/>
    </row>
    <row r="797">
      <c r="A797" s="23">
        <f>IFERROR(__xludf.DUMMYFUNCTION("""COMPUTED_VALUE"""),44854.4605527662)</f>
        <v>44854.46055</v>
      </c>
      <c r="B797" s="24" t="str">
        <f>IFERROR(__xludf.DUMMYFUNCTION("""COMPUTED_VALUE"""),"Claire")</f>
        <v>Claire</v>
      </c>
      <c r="C797" s="24">
        <f>IFERROR(__xludf.DUMMYFUNCTION("""COMPUTED_VALUE"""),1378.0)</f>
        <v>1378</v>
      </c>
      <c r="D797" s="24" t="str">
        <f>IFERROR(__xludf.DUMMYFUNCTION("""COMPUTED_VALUE"""),"Dole")</f>
        <v>Dole</v>
      </c>
      <c r="F797" s="23">
        <f>IFERROR(__xludf.DUMMYFUNCTION("""COMPUTED_VALUE"""),44751.793265092594)</f>
        <v>44751.79327</v>
      </c>
      <c r="G797" s="24" t="str">
        <f>IFERROR(__xludf.DUMMYFUNCTION("""COMPUTED_VALUE"""),"Juanita coleman (damage")</f>
        <v>Juanita coleman (damage</v>
      </c>
      <c r="H797" s="24">
        <f>IFERROR(__xludf.DUMMYFUNCTION("""COMPUTED_VALUE"""),6.0)</f>
        <v>6</v>
      </c>
      <c r="I797" s="24"/>
    </row>
    <row r="798">
      <c r="A798" s="23">
        <f>IFERROR(__xludf.DUMMYFUNCTION("""COMPUTED_VALUE"""),44854.46087798611)</f>
        <v>44854.46088</v>
      </c>
      <c r="B798" s="24" t="str">
        <f>IFERROR(__xludf.DUMMYFUNCTION("""COMPUTED_VALUE"""),"Claire")</f>
        <v>Claire</v>
      </c>
      <c r="C798" s="24">
        <f>IFERROR(__xludf.DUMMYFUNCTION("""COMPUTED_VALUE"""),982.0)</f>
        <v>982</v>
      </c>
      <c r="D798" s="24" t="str">
        <f>IFERROR(__xludf.DUMMYFUNCTION("""COMPUTED_VALUE"""),"Dole")</f>
        <v>Dole</v>
      </c>
      <c r="F798" s="23">
        <f>IFERROR(__xludf.DUMMYFUNCTION("""COMPUTED_VALUE"""),44752.0)</f>
        <v>44752</v>
      </c>
      <c r="G798" s="24" t="str">
        <f>IFERROR(__xludf.DUMMYFUNCTION("""COMPUTED_VALUE"""),"Claire")</f>
        <v>Claire</v>
      </c>
      <c r="H798" s="24">
        <f>IFERROR(__xludf.DUMMYFUNCTION("""COMPUTED_VALUE"""),35.0)</f>
        <v>35</v>
      </c>
      <c r="I798" s="24" t="str">
        <f>IFERROR(__xludf.DUMMYFUNCTION("""COMPUTED_VALUE"""),"Ausar’s Food donations")</f>
        <v>Ausar’s Food donations</v>
      </c>
    </row>
    <row r="799">
      <c r="A799" s="23">
        <f>IFERROR(__xludf.DUMMYFUNCTION("""COMPUTED_VALUE"""),44854.46125359954)</f>
        <v>44854.46125</v>
      </c>
      <c r="B799" s="24" t="str">
        <f>IFERROR(__xludf.DUMMYFUNCTION("""COMPUTED_VALUE"""),"Claire")</f>
        <v>Claire</v>
      </c>
      <c r="C799" s="24">
        <f>IFERROR(__xludf.DUMMYFUNCTION("""COMPUTED_VALUE"""),1045.0)</f>
        <v>1045</v>
      </c>
      <c r="D799" s="24" t="str">
        <f>IFERROR(__xludf.DUMMYFUNCTION("""COMPUTED_VALUE"""),"Dole")</f>
        <v>Dole</v>
      </c>
      <c r="F799" s="23">
        <f>IFERROR(__xludf.DUMMYFUNCTION("""COMPUTED_VALUE"""),44752.0)</f>
        <v>44752</v>
      </c>
      <c r="G799" s="24" t="str">
        <f>IFERROR(__xludf.DUMMYFUNCTION("""COMPUTED_VALUE"""),"Marci")</f>
        <v>Marci</v>
      </c>
      <c r="H799" s="24">
        <f>IFERROR(__xludf.DUMMYFUNCTION("""COMPUTED_VALUE"""),20.0)</f>
        <v>20</v>
      </c>
      <c r="I799" s="24"/>
    </row>
    <row r="800">
      <c r="A800" s="23">
        <f>IFERROR(__xludf.DUMMYFUNCTION("""COMPUTED_VALUE"""),44857.55434604167)</f>
        <v>44857.55435</v>
      </c>
      <c r="B800" s="24" t="str">
        <f>IFERROR(__xludf.DUMMYFUNCTION("""COMPUTED_VALUE"""),"Claire")</f>
        <v>Claire</v>
      </c>
      <c r="C800" s="24">
        <f>IFERROR(__xludf.DUMMYFUNCTION("""COMPUTED_VALUE"""),14.0)</f>
        <v>14</v>
      </c>
      <c r="D800" s="24" t="str">
        <f>IFERROR(__xludf.DUMMYFUNCTION("""COMPUTED_VALUE"""),"Tubman House")</f>
        <v>Tubman House</v>
      </c>
      <c r="F800" s="23">
        <f>IFERROR(__xludf.DUMMYFUNCTION("""COMPUTED_VALUE"""),44752.0)</f>
        <v>44752</v>
      </c>
      <c r="G800" s="24" t="str">
        <f>IFERROR(__xludf.DUMMYFUNCTION("""COMPUTED_VALUE"""),"Marci")</f>
        <v>Marci</v>
      </c>
      <c r="H800" s="24">
        <f>IFERROR(__xludf.DUMMYFUNCTION("""COMPUTED_VALUE"""),46.0)</f>
        <v>46</v>
      </c>
      <c r="I800" s="24"/>
    </row>
    <row r="801">
      <c r="A801" s="23">
        <f>IFERROR(__xludf.DUMMYFUNCTION("""COMPUTED_VALUE"""),44857.55458471065)</f>
        <v>44857.55458</v>
      </c>
      <c r="B801" s="24" t="str">
        <f>IFERROR(__xludf.DUMMYFUNCTION("""COMPUTED_VALUE"""),"Claire")</f>
        <v>Claire</v>
      </c>
      <c r="C801" s="24">
        <f>IFERROR(__xludf.DUMMYFUNCTION("""COMPUTED_VALUE"""),36.0)</f>
        <v>36</v>
      </c>
      <c r="D801" s="24" t="str">
        <f>IFERROR(__xludf.DUMMYFUNCTION("""COMPUTED_VALUE"""),"Amazon")</f>
        <v>Amazon</v>
      </c>
      <c r="F801" s="23">
        <f>IFERROR(__xludf.DUMMYFUNCTION("""COMPUTED_VALUE"""),44752.0)</f>
        <v>44752</v>
      </c>
      <c r="G801" s="24" t="str">
        <f>IFERROR(__xludf.DUMMYFUNCTION("""COMPUTED_VALUE"""),"Clarie")</f>
        <v>Clarie</v>
      </c>
      <c r="H801" s="24">
        <f>IFERROR(__xludf.DUMMYFUNCTION("""COMPUTED_VALUE"""),30.0)</f>
        <v>30</v>
      </c>
      <c r="I801" s="24"/>
    </row>
    <row r="802">
      <c r="A802" s="23">
        <f>IFERROR(__xludf.DUMMYFUNCTION("""COMPUTED_VALUE"""),44857.554887349535)</f>
        <v>44857.55489</v>
      </c>
      <c r="B802" s="24" t="str">
        <f>IFERROR(__xludf.DUMMYFUNCTION("""COMPUTED_VALUE"""),"Claire ")</f>
        <v>Claire </v>
      </c>
      <c r="C802" s="24">
        <f>IFERROR(__xludf.DUMMYFUNCTION("""COMPUTED_VALUE"""),729.0)</f>
        <v>729</v>
      </c>
      <c r="D802" s="24" t="str">
        <f>IFERROR(__xludf.DUMMYFUNCTION("""COMPUTED_VALUE"""),"Amazon")</f>
        <v>Amazon</v>
      </c>
      <c r="F802" s="23">
        <f>IFERROR(__xludf.DUMMYFUNCTION("""COMPUTED_VALUE"""),44752.0)</f>
        <v>44752</v>
      </c>
      <c r="G802" s="24" t="str">
        <f>IFERROR(__xludf.DUMMYFUNCTION("""COMPUTED_VALUE"""),"Kaneesha")</f>
        <v>Kaneesha</v>
      </c>
      <c r="H802" s="24">
        <f>IFERROR(__xludf.DUMMYFUNCTION("""COMPUTED_VALUE"""),20.0)</f>
        <v>20</v>
      </c>
      <c r="I802" s="24"/>
    </row>
    <row r="803">
      <c r="A803" s="23">
        <f>IFERROR(__xludf.DUMMYFUNCTION("""COMPUTED_VALUE"""),44857.55511059027)</f>
        <v>44857.55511</v>
      </c>
      <c r="B803" s="24" t="str">
        <f>IFERROR(__xludf.DUMMYFUNCTION("""COMPUTED_VALUE"""),"Claire ")</f>
        <v>Claire </v>
      </c>
      <c r="C803" s="24">
        <f>IFERROR(__xludf.DUMMYFUNCTION("""COMPUTED_VALUE"""),572.0)</f>
        <v>572</v>
      </c>
      <c r="D803" s="24" t="str">
        <f>IFERROR(__xludf.DUMMYFUNCTION("""COMPUTED_VALUE"""),"Amazon")</f>
        <v>Amazon</v>
      </c>
      <c r="F803" s="23">
        <f>IFERROR(__xludf.DUMMYFUNCTION("""COMPUTED_VALUE"""),44752.0)</f>
        <v>44752</v>
      </c>
      <c r="G803" s="24" t="str">
        <f>IFERROR(__xludf.DUMMYFUNCTION("""COMPUTED_VALUE"""),"Kaneesha")</f>
        <v>Kaneesha</v>
      </c>
      <c r="H803" s="24">
        <f>IFERROR(__xludf.DUMMYFUNCTION("""COMPUTED_VALUE"""),12.0)</f>
        <v>12</v>
      </c>
      <c r="I803" s="24"/>
    </row>
    <row r="804">
      <c r="A804" s="23">
        <f>IFERROR(__xludf.DUMMYFUNCTION("""COMPUTED_VALUE"""),44857.555377592595)</f>
        <v>44857.55538</v>
      </c>
      <c r="B804" s="24" t="str">
        <f>IFERROR(__xludf.DUMMYFUNCTION("""COMPUTED_VALUE"""),"Claire ")</f>
        <v>Claire </v>
      </c>
      <c r="C804" s="24">
        <f>IFERROR(__xludf.DUMMYFUNCTION("""COMPUTED_VALUE"""),543.0)</f>
        <v>543</v>
      </c>
      <c r="D804" s="24" t="str">
        <f>IFERROR(__xludf.DUMMYFUNCTION("""COMPUTED_VALUE"""),"Amazon")</f>
        <v>Amazon</v>
      </c>
      <c r="F804" s="23">
        <f>IFERROR(__xludf.DUMMYFUNCTION("""COMPUTED_VALUE"""),44752.64483253472)</f>
        <v>44752.64483</v>
      </c>
      <c r="G804" s="24" t="str">
        <f>IFERROR(__xludf.DUMMYFUNCTION("""COMPUTED_VALUE"""),"Ausar")</f>
        <v>Ausar</v>
      </c>
      <c r="H804" s="24">
        <f>IFERROR(__xludf.DUMMYFUNCTION("""COMPUTED_VALUE"""),832.0)</f>
        <v>832</v>
      </c>
      <c r="I804" s="24" t="str">
        <f>IFERROR(__xludf.DUMMYFUNCTION("""COMPUTED_VALUE"""),"Amazon")</f>
        <v>Amazon</v>
      </c>
    </row>
    <row r="805">
      <c r="A805" s="23">
        <f>IFERROR(__xludf.DUMMYFUNCTION("""COMPUTED_VALUE"""),44857.55568480324)</f>
        <v>44857.55568</v>
      </c>
      <c r="B805" s="24" t="str">
        <f>IFERROR(__xludf.DUMMYFUNCTION("""COMPUTED_VALUE"""),"Claire ")</f>
        <v>Claire </v>
      </c>
      <c r="C805" s="24">
        <f>IFERROR(__xludf.DUMMYFUNCTION("""COMPUTED_VALUE"""),643.0)</f>
        <v>643</v>
      </c>
      <c r="D805" s="24" t="str">
        <f>IFERROR(__xludf.DUMMYFUNCTION("""COMPUTED_VALUE"""),"Amazon")</f>
        <v>Amazon</v>
      </c>
      <c r="F805" s="23">
        <f>IFERROR(__xludf.DUMMYFUNCTION("""COMPUTED_VALUE"""),44752.645127881944)</f>
        <v>44752.64513</v>
      </c>
      <c r="G805" s="24" t="str">
        <f>IFERROR(__xludf.DUMMYFUNCTION("""COMPUTED_VALUE"""),"Ausar")</f>
        <v>Ausar</v>
      </c>
      <c r="H805" s="24">
        <f>IFERROR(__xludf.DUMMYFUNCTION("""COMPUTED_VALUE"""),888.0)</f>
        <v>888</v>
      </c>
      <c r="I805" s="24" t="str">
        <f>IFERROR(__xludf.DUMMYFUNCTION("""COMPUTED_VALUE"""),"Amazon")</f>
        <v>Amazon</v>
      </c>
    </row>
    <row r="806">
      <c r="A806" s="23">
        <f>IFERROR(__xludf.DUMMYFUNCTION("""COMPUTED_VALUE"""),44861.5807924537)</f>
        <v>44861.58079</v>
      </c>
      <c r="B806" s="24" t="str">
        <f>IFERROR(__xludf.DUMMYFUNCTION("""COMPUTED_VALUE"""),"Jean")</f>
        <v>Jean</v>
      </c>
      <c r="C806" s="24">
        <f>IFERROR(__xludf.DUMMYFUNCTION("""COMPUTED_VALUE"""),544.0)</f>
        <v>544</v>
      </c>
      <c r="D806" s="24" t="str">
        <f>IFERROR(__xludf.DUMMYFUNCTION("""COMPUTED_VALUE"""),"First Fruits Farm")</f>
        <v>First Fruits Farm</v>
      </c>
      <c r="F806" s="23">
        <f>IFERROR(__xludf.DUMMYFUNCTION("""COMPUTED_VALUE"""),44752.6453833912)</f>
        <v>44752.64538</v>
      </c>
      <c r="G806" s="24" t="str">
        <f>IFERROR(__xludf.DUMMYFUNCTION("""COMPUTED_VALUE"""),"Amazon ")</f>
        <v>Amazon </v>
      </c>
      <c r="H806" s="24">
        <f>IFERROR(__xludf.DUMMYFUNCTION("""COMPUTED_VALUE"""),954.0)</f>
        <v>954</v>
      </c>
      <c r="I806" s="24" t="str">
        <f>IFERROR(__xludf.DUMMYFUNCTION("""COMPUTED_VALUE"""),"Amazon")</f>
        <v>Amazon</v>
      </c>
    </row>
    <row r="807">
      <c r="A807" s="23">
        <f>IFERROR(__xludf.DUMMYFUNCTION("""COMPUTED_VALUE"""),44861.581504375004)</f>
        <v>44861.5815</v>
      </c>
      <c r="B807" s="24" t="str">
        <f>IFERROR(__xludf.DUMMYFUNCTION("""COMPUTED_VALUE"""),"Jean")</f>
        <v>Jean</v>
      </c>
      <c r="C807" s="24">
        <f>IFERROR(__xludf.DUMMYFUNCTION("""COMPUTED_VALUE"""),565.0)</f>
        <v>565</v>
      </c>
      <c r="D807" s="24" t="str">
        <f>IFERROR(__xludf.DUMMYFUNCTION("""COMPUTED_VALUE"""),"First Fruits Farm")</f>
        <v>First Fruits Farm</v>
      </c>
      <c r="F807" s="23">
        <f>IFERROR(__xludf.DUMMYFUNCTION("""COMPUTED_VALUE"""),44752.66715778935)</f>
        <v>44752.66716</v>
      </c>
      <c r="G807" s="24" t="str">
        <f>IFERROR(__xludf.DUMMYFUNCTION("""COMPUTED_VALUE"""),"Carla")</f>
        <v>Carla</v>
      </c>
      <c r="H807" s="24">
        <f>IFERROR(__xludf.DUMMYFUNCTION("""COMPUTED_VALUE"""),20.0)</f>
        <v>20</v>
      </c>
      <c r="I807" s="24"/>
    </row>
    <row r="808">
      <c r="A808" s="23">
        <f>IFERROR(__xludf.DUMMYFUNCTION("""COMPUTED_VALUE"""),44861.58232642361)</f>
        <v>44861.58233</v>
      </c>
      <c r="B808" s="24" t="str">
        <f>IFERROR(__xludf.DUMMYFUNCTION("""COMPUTED_VALUE"""),"Jean")</f>
        <v>Jean</v>
      </c>
      <c r="C808" s="24">
        <f>IFERROR(__xludf.DUMMYFUNCTION("""COMPUTED_VALUE"""),1260.0)</f>
        <v>1260</v>
      </c>
      <c r="D808" s="24" t="str">
        <f>IFERROR(__xludf.DUMMYFUNCTION("""COMPUTED_VALUE"""),"First Fruits Farm")</f>
        <v>First Fruits Farm</v>
      </c>
      <c r="F808" s="23">
        <f>IFERROR(__xludf.DUMMYFUNCTION("""COMPUTED_VALUE"""),44752.67934792824)</f>
        <v>44752.67935</v>
      </c>
      <c r="G808" s="24" t="str">
        <f>IFERROR(__xludf.DUMMYFUNCTION("""COMPUTED_VALUE"""),"Anna Nicosia")</f>
        <v>Anna Nicosia</v>
      </c>
      <c r="H808" s="24">
        <f>IFERROR(__xludf.DUMMYFUNCTION("""COMPUTED_VALUE"""),20.0)</f>
        <v>20</v>
      </c>
      <c r="I808" s="24"/>
    </row>
    <row r="809">
      <c r="A809" s="23">
        <f>IFERROR(__xludf.DUMMYFUNCTION("""COMPUTED_VALUE"""),44861.582932604164)</f>
        <v>44861.58293</v>
      </c>
      <c r="B809" s="24" t="str">
        <f>IFERROR(__xludf.DUMMYFUNCTION("""COMPUTED_VALUE"""),"Jean")</f>
        <v>Jean</v>
      </c>
      <c r="C809" s="24">
        <f>IFERROR(__xludf.DUMMYFUNCTION("""COMPUTED_VALUE"""),1275.0)</f>
        <v>1275</v>
      </c>
      <c r="D809" s="24" t="str">
        <f>IFERROR(__xludf.DUMMYFUNCTION("""COMPUTED_VALUE"""),"First Fruits Farm")</f>
        <v>First Fruits Farm</v>
      </c>
      <c r="F809" s="23">
        <f>IFERROR(__xludf.DUMMYFUNCTION("""COMPUTED_VALUE"""),44752.679447222225)</f>
        <v>44752.67945</v>
      </c>
      <c r="G809" s="24" t="str">
        <f>IFERROR(__xludf.DUMMYFUNCTION("""COMPUTED_VALUE"""),"Evan El-Halawani")</f>
        <v>Evan El-Halawani</v>
      </c>
      <c r="H809" s="24">
        <f>IFERROR(__xludf.DUMMYFUNCTION("""COMPUTED_VALUE"""),20.0)</f>
        <v>20</v>
      </c>
      <c r="I809" s="24"/>
    </row>
    <row r="810">
      <c r="A810" s="23">
        <f>IFERROR(__xludf.DUMMYFUNCTION("""COMPUTED_VALUE"""),44864.65159460648)</f>
        <v>44864.65159</v>
      </c>
      <c r="B810" s="24" t="str">
        <f>IFERROR(__xludf.DUMMYFUNCTION("""COMPUTED_VALUE"""),"Dorja ")</f>
        <v>Dorja </v>
      </c>
      <c r="C810" s="24">
        <f>IFERROR(__xludf.DUMMYFUNCTION("""COMPUTED_VALUE"""),151.0)</f>
        <v>151</v>
      </c>
      <c r="D810" s="24" t="str">
        <f>IFERROR(__xludf.DUMMYFUNCTION("""COMPUTED_VALUE"""),"Homewood Friends")</f>
        <v>Homewood Friends</v>
      </c>
      <c r="F810" s="23">
        <f>IFERROR(__xludf.DUMMYFUNCTION("""COMPUTED_VALUE"""),44752.698073680556)</f>
        <v>44752.69807</v>
      </c>
      <c r="G810" s="24" t="str">
        <f>IFERROR(__xludf.DUMMYFUNCTION("""COMPUTED_VALUE"""),"Ausar")</f>
        <v>Ausar</v>
      </c>
      <c r="H810" s="24">
        <f>IFERROR(__xludf.DUMMYFUNCTION("""COMPUTED_VALUE"""),322.0)</f>
        <v>322</v>
      </c>
      <c r="I810" s="24" t="str">
        <f>IFERROR(__xludf.DUMMYFUNCTION("""COMPUTED_VALUE"""),"Paper")</f>
        <v>Paper</v>
      </c>
    </row>
    <row r="811">
      <c r="A811" s="23">
        <f>IFERROR(__xludf.DUMMYFUNCTION("""COMPUTED_VALUE"""),44864.652123935186)</f>
        <v>44864.65212</v>
      </c>
      <c r="B811" s="24" t="str">
        <f>IFERROR(__xludf.DUMMYFUNCTION("""COMPUTED_VALUE"""),"Amazon ")</f>
        <v>Amazon </v>
      </c>
      <c r="C811" s="24">
        <f>IFERROR(__xludf.DUMMYFUNCTION("""COMPUTED_VALUE"""),633.0)</f>
        <v>633</v>
      </c>
      <c r="D811" s="24" t="str">
        <f>IFERROR(__xludf.DUMMYFUNCTION("""COMPUTED_VALUE"""),"Amazon")</f>
        <v>Amazon</v>
      </c>
      <c r="F811" s="23">
        <f>IFERROR(__xludf.DUMMYFUNCTION("""COMPUTED_VALUE"""),44752.69891686343)</f>
        <v>44752.69892</v>
      </c>
      <c r="G811" s="24" t="str">
        <f>IFERROR(__xludf.DUMMYFUNCTION("""COMPUTED_VALUE"""),"Ausar")</f>
        <v>Ausar</v>
      </c>
      <c r="H811" s="24">
        <f>IFERROR(__xludf.DUMMYFUNCTION("""COMPUTED_VALUE"""),784.0)</f>
        <v>784</v>
      </c>
      <c r="I811" s="24" t="str">
        <f>IFERROR(__xludf.DUMMYFUNCTION("""COMPUTED_VALUE"""),"Dairy")</f>
        <v>Dairy</v>
      </c>
    </row>
    <row r="812">
      <c r="A812" s="23">
        <f>IFERROR(__xludf.DUMMYFUNCTION("""COMPUTED_VALUE"""),44864.6523622338)</f>
        <v>44864.65236</v>
      </c>
      <c r="B812" s="24" t="str">
        <f>IFERROR(__xludf.DUMMYFUNCTION("""COMPUTED_VALUE"""),"Dorja ")</f>
        <v>Dorja </v>
      </c>
      <c r="C812" s="24">
        <f>IFERROR(__xludf.DUMMYFUNCTION("""COMPUTED_VALUE"""),353.0)</f>
        <v>353</v>
      </c>
      <c r="D812" s="24" t="str">
        <f>IFERROR(__xludf.DUMMYFUNCTION("""COMPUTED_VALUE"""),"Amazon")</f>
        <v>Amazon</v>
      </c>
      <c r="F812" s="23">
        <f>IFERROR(__xludf.DUMMYFUNCTION("""COMPUTED_VALUE"""),44752.702373078704)</f>
        <v>44752.70237</v>
      </c>
      <c r="G812" s="24" t="str">
        <f>IFERROR(__xludf.DUMMYFUNCTION("""COMPUTED_VALUE"""),"Ausar")</f>
        <v>Ausar</v>
      </c>
      <c r="H812" s="24">
        <f>IFERROR(__xludf.DUMMYFUNCTION("""COMPUTED_VALUE"""),297.0)</f>
        <v>297</v>
      </c>
      <c r="I812" s="24" t="str">
        <f>IFERROR(__xludf.DUMMYFUNCTION("""COMPUTED_VALUE"""),"Ice cream ")</f>
        <v>Ice cream </v>
      </c>
    </row>
    <row r="813">
      <c r="A813" s="23">
        <f>IFERROR(__xludf.DUMMYFUNCTION("""COMPUTED_VALUE"""),44864.652740081016)</f>
        <v>44864.65274</v>
      </c>
      <c r="B813" s="24" t="str">
        <f>IFERROR(__xludf.DUMMYFUNCTION("""COMPUTED_VALUE"""),"Dorja")</f>
        <v>Dorja</v>
      </c>
      <c r="C813" s="24">
        <f>IFERROR(__xludf.DUMMYFUNCTION("""COMPUTED_VALUE"""),622.0)</f>
        <v>622</v>
      </c>
      <c r="D813" s="24" t="str">
        <f>IFERROR(__xludf.DUMMYFUNCTION("""COMPUTED_VALUE"""),"Amazon")</f>
        <v>Amazon</v>
      </c>
      <c r="F813" s="23">
        <f>IFERROR(__xludf.DUMMYFUNCTION("""COMPUTED_VALUE"""),44752.70322685185)</f>
        <v>44752.70323</v>
      </c>
      <c r="G813" s="24" t="str">
        <f>IFERROR(__xludf.DUMMYFUNCTION("""COMPUTED_VALUE"""),"Ausar")</f>
        <v>Ausar</v>
      </c>
      <c r="H813" s="24">
        <f>IFERROR(__xludf.DUMMYFUNCTION("""COMPUTED_VALUE"""),294.0)</f>
        <v>294</v>
      </c>
      <c r="I813" s="24" t="str">
        <f>IFERROR(__xludf.DUMMYFUNCTION("""COMPUTED_VALUE"""),"Chicken")</f>
        <v>Chicken</v>
      </c>
    </row>
    <row r="814">
      <c r="A814" s="23">
        <f>IFERROR(__xludf.DUMMYFUNCTION("""COMPUTED_VALUE"""),44864.653297129626)</f>
        <v>44864.6533</v>
      </c>
      <c r="B814" s="24" t="str">
        <f>IFERROR(__xludf.DUMMYFUNCTION("""COMPUTED_VALUE"""),"Dorja ")</f>
        <v>Dorja </v>
      </c>
      <c r="C814" s="24">
        <f>IFERROR(__xludf.DUMMYFUNCTION("""COMPUTED_VALUE"""),789.0)</f>
        <v>789</v>
      </c>
      <c r="D814" s="24" t="str">
        <f>IFERROR(__xludf.DUMMYFUNCTION("""COMPUTED_VALUE"""),"Amazon")</f>
        <v>Amazon</v>
      </c>
      <c r="F814" s="23">
        <f>IFERROR(__xludf.DUMMYFUNCTION("""COMPUTED_VALUE"""),44752.70352270834)</f>
        <v>44752.70352</v>
      </c>
      <c r="G814" s="24" t="str">
        <f>IFERROR(__xludf.DUMMYFUNCTION("""COMPUTED_VALUE"""),"Ausar")</f>
        <v>Ausar</v>
      </c>
      <c r="H814" s="24">
        <f>IFERROR(__xludf.DUMMYFUNCTION("""COMPUTED_VALUE"""),69.0)</f>
        <v>69</v>
      </c>
      <c r="I814" s="24" t="str">
        <f>IFERROR(__xludf.DUMMYFUNCTION("""COMPUTED_VALUE"""),"Dairy")</f>
        <v>Dairy</v>
      </c>
    </row>
    <row r="815">
      <c r="A815" s="23">
        <f>IFERROR(__xludf.DUMMYFUNCTION("""COMPUTED_VALUE"""),44864.65371644676)</f>
        <v>44864.65372</v>
      </c>
      <c r="B815" s="24" t="str">
        <f>IFERROR(__xludf.DUMMYFUNCTION("""COMPUTED_VALUE"""),"Dorja")</f>
        <v>Dorja</v>
      </c>
      <c r="C815" s="24">
        <f>IFERROR(__xludf.DUMMYFUNCTION("""COMPUTED_VALUE"""),714.0)</f>
        <v>714</v>
      </c>
      <c r="D815" s="24" t="str">
        <f>IFERROR(__xludf.DUMMYFUNCTION("""COMPUTED_VALUE"""),"Amazon")</f>
        <v>Amazon</v>
      </c>
      <c r="F815" s="23">
        <f>IFERROR(__xludf.DUMMYFUNCTION("""COMPUTED_VALUE"""),44752.704216736114)</f>
        <v>44752.70422</v>
      </c>
      <c r="G815" s="24" t="str">
        <f>IFERROR(__xludf.DUMMYFUNCTION("""COMPUTED_VALUE"""),"Ausar")</f>
        <v>Ausar</v>
      </c>
      <c r="H815" s="24">
        <f>IFERROR(__xludf.DUMMYFUNCTION("""COMPUTED_VALUE"""),375.0)</f>
        <v>375</v>
      </c>
      <c r="I815" s="24" t="str">
        <f>IFERROR(__xludf.DUMMYFUNCTION("""COMPUTED_VALUE"""),"Assorted option")</f>
        <v>Assorted option</v>
      </c>
    </row>
    <row r="816">
      <c r="A816" s="23">
        <f>IFERROR(__xludf.DUMMYFUNCTION("""COMPUTED_VALUE"""),44864.654179641206)</f>
        <v>44864.65418</v>
      </c>
      <c r="B816" s="24" t="str">
        <f>IFERROR(__xludf.DUMMYFUNCTION("""COMPUTED_VALUE"""),"Dorja")</f>
        <v>Dorja</v>
      </c>
      <c r="C816" s="24">
        <f>IFERROR(__xludf.DUMMYFUNCTION("""COMPUTED_VALUE"""),661.0)</f>
        <v>661</v>
      </c>
      <c r="D816" s="24" t="str">
        <f>IFERROR(__xludf.DUMMYFUNCTION("""COMPUTED_VALUE"""),"Amazon")</f>
        <v>Amazon</v>
      </c>
      <c r="F816" s="23">
        <f>IFERROR(__xludf.DUMMYFUNCTION("""COMPUTED_VALUE"""),44752.71164513889)</f>
        <v>44752.71165</v>
      </c>
      <c r="G816" s="24" t="str">
        <f>IFERROR(__xludf.DUMMYFUNCTION("""COMPUTED_VALUE"""),"Zoe")</f>
        <v>Zoe</v>
      </c>
      <c r="H816" s="24">
        <f>IFERROR(__xludf.DUMMYFUNCTION("""COMPUTED_VALUE"""),11.0)</f>
        <v>11</v>
      </c>
      <c r="I816" s="24"/>
    </row>
    <row r="817">
      <c r="A817" s="23">
        <f>IFERROR(__xludf.DUMMYFUNCTION("""COMPUTED_VALUE"""),44864.65437060186)</f>
        <v>44864.65437</v>
      </c>
      <c r="B817" s="24" t="str">
        <f>IFERROR(__xludf.DUMMYFUNCTION("""COMPUTED_VALUE"""),"Dorja ")</f>
        <v>Dorja </v>
      </c>
      <c r="C817" s="24">
        <f>IFERROR(__xludf.DUMMYFUNCTION("""COMPUTED_VALUE"""),662.0)</f>
        <v>662</v>
      </c>
      <c r="D817" s="24" t="str">
        <f>IFERROR(__xludf.DUMMYFUNCTION("""COMPUTED_VALUE"""),"Amazon")</f>
        <v>Amazon</v>
      </c>
      <c r="F817" s="23">
        <f>IFERROR(__xludf.DUMMYFUNCTION("""COMPUTED_VALUE"""),44752.711959259264)</f>
        <v>44752.71196</v>
      </c>
      <c r="G817" s="24" t="str">
        <f>IFERROR(__xludf.DUMMYFUNCTION("""COMPUTED_VALUE"""),"Ausar")</f>
        <v>Ausar</v>
      </c>
      <c r="H817" s="24">
        <f>IFERROR(__xludf.DUMMYFUNCTION("""COMPUTED_VALUE"""),12.0)</f>
        <v>12</v>
      </c>
      <c r="I817" s="24" t="str">
        <f>IFERROR(__xludf.DUMMYFUNCTION("""COMPUTED_VALUE"""),"Assorted option")</f>
        <v>Assorted option</v>
      </c>
    </row>
    <row r="818">
      <c r="A818" s="23">
        <f>IFERROR(__xludf.DUMMYFUNCTION("""COMPUTED_VALUE"""),44864.65455900463)</f>
        <v>44864.65456</v>
      </c>
      <c r="B818" s="24" t="str">
        <f>IFERROR(__xludf.DUMMYFUNCTION("""COMPUTED_VALUE"""),"Dorja ")</f>
        <v>Dorja </v>
      </c>
      <c r="C818" s="24">
        <f>IFERROR(__xludf.DUMMYFUNCTION("""COMPUTED_VALUE"""),665.0)</f>
        <v>665</v>
      </c>
      <c r="D818" s="24" t="str">
        <f>IFERROR(__xludf.DUMMYFUNCTION("""COMPUTED_VALUE"""),"Amazon")</f>
        <v>Amazon</v>
      </c>
      <c r="F818" s="23">
        <f>IFERROR(__xludf.DUMMYFUNCTION("""COMPUTED_VALUE"""),44752.714363101855)</f>
        <v>44752.71436</v>
      </c>
      <c r="G818" s="24" t="str">
        <f>IFERROR(__xludf.DUMMYFUNCTION("""COMPUTED_VALUE"""),"Dorja ")</f>
        <v>Dorja </v>
      </c>
      <c r="H818" s="24">
        <f>IFERROR(__xludf.DUMMYFUNCTION("""COMPUTED_VALUE"""),32.0)</f>
        <v>32</v>
      </c>
      <c r="I818" s="24"/>
    </row>
    <row r="819">
      <c r="A819" s="23">
        <f>IFERROR(__xludf.DUMMYFUNCTION("""COMPUTED_VALUE"""),44866.67804690972)</f>
        <v>44866.67805</v>
      </c>
      <c r="B819" s="24" t="str">
        <f>IFERROR(__xludf.DUMMYFUNCTION("""COMPUTED_VALUE"""),"Beverly")</f>
        <v>Beverly</v>
      </c>
      <c r="C819" s="24">
        <f>IFERROR(__xludf.DUMMYFUNCTION("""COMPUTED_VALUE"""),1590.0)</f>
        <v>1590</v>
      </c>
      <c r="D819" s="24" t="str">
        <f>IFERROR(__xludf.DUMMYFUNCTION("""COMPUTED_VALUE"""),"Jean Shiers")</f>
        <v>Jean Shiers</v>
      </c>
      <c r="F819" s="23">
        <f>IFERROR(__xludf.DUMMYFUNCTION("""COMPUTED_VALUE"""),44752.71662616898)</f>
        <v>44752.71663</v>
      </c>
      <c r="G819" s="24" t="str">
        <f>IFERROR(__xludf.DUMMYFUNCTION("""COMPUTED_VALUE"""),"Dorja ")</f>
        <v>Dorja </v>
      </c>
      <c r="H819" s="24">
        <f>IFERROR(__xludf.DUMMYFUNCTION("""COMPUTED_VALUE"""),26.0)</f>
        <v>26</v>
      </c>
      <c r="I819" s="24"/>
    </row>
    <row r="820">
      <c r="A820" s="23">
        <f>IFERROR(__xludf.DUMMYFUNCTION("""COMPUTED_VALUE"""),44866.67953988426)</f>
        <v>44866.67954</v>
      </c>
      <c r="B820" s="24" t="str">
        <f>IFERROR(__xludf.DUMMYFUNCTION("""COMPUTED_VALUE"""),"Beverly")</f>
        <v>Beverly</v>
      </c>
      <c r="C820" s="24">
        <f>IFERROR(__xludf.DUMMYFUNCTION("""COMPUTED_VALUE"""),1490.0)</f>
        <v>1490</v>
      </c>
      <c r="D820" s="24" t="str">
        <f>IFERROR(__xludf.DUMMYFUNCTION("""COMPUTED_VALUE"""),"Jean Shiers")</f>
        <v>Jean Shiers</v>
      </c>
      <c r="F820" s="23">
        <f>IFERROR(__xludf.DUMMYFUNCTION("""COMPUTED_VALUE"""),44754.0)</f>
        <v>44754</v>
      </c>
      <c r="G820" s="24" t="str">
        <f>IFERROR(__xludf.DUMMYFUNCTION("""COMPUTED_VALUE"""),"Claire")</f>
        <v>Claire</v>
      </c>
      <c r="H820" s="24">
        <f>IFERROR(__xludf.DUMMYFUNCTION("""COMPUTED_VALUE"""),43.0)</f>
        <v>43</v>
      </c>
      <c r="I820" s="24" t="str">
        <f>IFERROR(__xludf.DUMMYFUNCTION("""COMPUTED_VALUE"""),"Assorted option")</f>
        <v>Assorted option</v>
      </c>
    </row>
    <row r="821">
      <c r="A821" s="23">
        <f>IFERROR(__xludf.DUMMYFUNCTION("""COMPUTED_VALUE"""),44866.68561569445)</f>
        <v>44866.68562</v>
      </c>
      <c r="B821" s="24" t="str">
        <f>IFERROR(__xludf.DUMMYFUNCTION("""COMPUTED_VALUE"""),"Beverly")</f>
        <v>Beverly</v>
      </c>
      <c r="C821" s="24">
        <f>IFERROR(__xludf.DUMMYFUNCTION("""COMPUTED_VALUE"""),1671.0)</f>
        <v>1671</v>
      </c>
      <c r="D821" s="24" t="str">
        <f>IFERROR(__xludf.DUMMYFUNCTION("""COMPUTED_VALUE"""),"Jean Shiers ")</f>
        <v>Jean Shiers </v>
      </c>
      <c r="F821" s="23">
        <f>IFERROR(__xludf.DUMMYFUNCTION("""COMPUTED_VALUE"""),44754.0)</f>
        <v>44754</v>
      </c>
      <c r="G821" s="24" t="str">
        <f>IFERROR(__xludf.DUMMYFUNCTION("""COMPUTED_VALUE"""),"Alexia ")</f>
        <v>Alexia </v>
      </c>
      <c r="H821" s="24">
        <f>IFERROR(__xludf.DUMMYFUNCTION("""COMPUTED_VALUE"""),17.0)</f>
        <v>17</v>
      </c>
      <c r="I821" s="24"/>
    </row>
    <row r="822">
      <c r="A822" s="23">
        <f>IFERROR(__xludf.DUMMYFUNCTION("""COMPUTED_VALUE"""),44866.68908965278)</f>
        <v>44866.68909</v>
      </c>
      <c r="B822" s="24" t="str">
        <f>IFERROR(__xludf.DUMMYFUNCTION("""COMPUTED_VALUE"""),"Beverly")</f>
        <v>Beverly</v>
      </c>
      <c r="C822" s="24">
        <f>IFERROR(__xludf.DUMMYFUNCTION("""COMPUTED_VALUE"""),1511.0)</f>
        <v>1511</v>
      </c>
      <c r="D822" s="24" t="str">
        <f>IFERROR(__xludf.DUMMYFUNCTION("""COMPUTED_VALUE"""),"Jean Shiers ")</f>
        <v>Jean Shiers </v>
      </c>
      <c r="F822" s="23">
        <f>IFERROR(__xludf.DUMMYFUNCTION("""COMPUTED_VALUE"""),44754.0)</f>
        <v>44754</v>
      </c>
      <c r="G822" s="24" t="str">
        <f>IFERROR(__xludf.DUMMYFUNCTION("""COMPUTED_VALUE"""),"Alexia ")</f>
        <v>Alexia </v>
      </c>
      <c r="H822" s="24">
        <f>IFERROR(__xludf.DUMMYFUNCTION("""COMPUTED_VALUE"""),3.0)</f>
        <v>3</v>
      </c>
      <c r="I822" s="24"/>
    </row>
    <row r="823">
      <c r="A823" s="23">
        <f>IFERROR(__xludf.DUMMYFUNCTION("""COMPUTED_VALUE"""),44867.80098094907)</f>
        <v>44867.80098</v>
      </c>
      <c r="B823" s="24" t="str">
        <f>IFERROR(__xludf.DUMMYFUNCTION("""COMPUTED_VALUE"""),"Claire")</f>
        <v>Claire</v>
      </c>
      <c r="C823" s="24">
        <f>IFERROR(__xludf.DUMMYFUNCTION("""COMPUTED_VALUE"""),513.0)</f>
        <v>513</v>
      </c>
      <c r="D823" s="24" t="str">
        <f>IFERROR(__xludf.DUMMYFUNCTION("""COMPUTED_VALUE"""),"First Fruits Farm")</f>
        <v>First Fruits Farm</v>
      </c>
      <c r="F823" s="23">
        <f>IFERROR(__xludf.DUMMYFUNCTION("""COMPUTED_VALUE"""),44754.0)</f>
        <v>44754</v>
      </c>
      <c r="G823" s="24" t="str">
        <f>IFERROR(__xludf.DUMMYFUNCTION("""COMPUTED_VALUE"""),"Doris Parker Tuggle")</f>
        <v>Doris Parker Tuggle</v>
      </c>
      <c r="H823" s="24">
        <f>IFERROR(__xludf.DUMMYFUNCTION("""COMPUTED_VALUE"""),20.0)</f>
        <v>20</v>
      </c>
      <c r="I823" s="24"/>
    </row>
    <row r="824">
      <c r="A824" s="23">
        <f>IFERROR(__xludf.DUMMYFUNCTION("""COMPUTED_VALUE"""),44867.801619375)</f>
        <v>44867.80162</v>
      </c>
      <c r="B824" s="24" t="str">
        <f>IFERROR(__xludf.DUMMYFUNCTION("""COMPUTED_VALUE"""),"Claire")</f>
        <v>Claire</v>
      </c>
      <c r="C824" s="24">
        <f>IFERROR(__xludf.DUMMYFUNCTION("""COMPUTED_VALUE"""),1372.0)</f>
        <v>1372</v>
      </c>
      <c r="D824" s="24" t="str">
        <f>IFERROR(__xludf.DUMMYFUNCTION("""COMPUTED_VALUE"""),"First Fruits Farm")</f>
        <v>First Fruits Farm</v>
      </c>
      <c r="F824" s="23">
        <f>IFERROR(__xludf.DUMMYFUNCTION("""COMPUTED_VALUE"""),44754.0)</f>
        <v>44754</v>
      </c>
      <c r="G824" s="24" t="str">
        <f>IFERROR(__xludf.DUMMYFUNCTION("""COMPUTED_VALUE"""),"Doris Parker Tuggle")</f>
        <v>Doris Parker Tuggle</v>
      </c>
      <c r="H824" s="24">
        <f>IFERROR(__xludf.DUMMYFUNCTION("""COMPUTED_VALUE"""),15.0)</f>
        <v>15</v>
      </c>
      <c r="I824" s="24"/>
    </row>
    <row r="825">
      <c r="A825" s="23">
        <f>IFERROR(__xludf.DUMMYFUNCTION("""COMPUTED_VALUE"""),44867.80202166667)</f>
        <v>44867.80202</v>
      </c>
      <c r="B825" s="24" t="str">
        <f>IFERROR(__xludf.DUMMYFUNCTION("""COMPUTED_VALUE"""),"Claire")</f>
        <v>Claire</v>
      </c>
      <c r="C825" s="24">
        <f>IFERROR(__xludf.DUMMYFUNCTION("""COMPUTED_VALUE"""),1480.0)</f>
        <v>1480</v>
      </c>
      <c r="D825" s="24" t="str">
        <f>IFERROR(__xludf.DUMMYFUNCTION("""COMPUTED_VALUE"""),"First Fruits Farm")</f>
        <v>First Fruits Farm</v>
      </c>
      <c r="F825" s="23">
        <f>IFERROR(__xludf.DUMMYFUNCTION("""COMPUTED_VALUE"""),44754.0)</f>
        <v>44754</v>
      </c>
      <c r="G825" s="24" t="str">
        <f>IFERROR(__xludf.DUMMYFUNCTION("""COMPUTED_VALUE"""),"Marci")</f>
        <v>Marci</v>
      </c>
      <c r="H825" s="24">
        <f>IFERROR(__xludf.DUMMYFUNCTION("""COMPUTED_VALUE"""),13.0)</f>
        <v>13</v>
      </c>
      <c r="I825" s="24"/>
    </row>
    <row r="826">
      <c r="A826" s="23">
        <f>IFERROR(__xludf.DUMMYFUNCTION("""COMPUTED_VALUE"""),44867.802310347215)</f>
        <v>44867.80231</v>
      </c>
      <c r="B826" s="24" t="str">
        <f>IFERROR(__xludf.DUMMYFUNCTION("""COMPUTED_VALUE"""),"Claire")</f>
        <v>Claire</v>
      </c>
      <c r="C826" s="24">
        <f>IFERROR(__xludf.DUMMYFUNCTION("""COMPUTED_VALUE"""),573.0)</f>
        <v>573</v>
      </c>
      <c r="D826" s="24" t="str">
        <f>IFERROR(__xludf.DUMMYFUNCTION("""COMPUTED_VALUE"""),"First Fruits Farm")</f>
        <v>First Fruits Farm</v>
      </c>
      <c r="F826" s="23">
        <f>IFERROR(__xludf.DUMMYFUNCTION("""COMPUTED_VALUE"""),44754.0)</f>
        <v>44754</v>
      </c>
      <c r="G826" s="24" t="str">
        <f>IFERROR(__xludf.DUMMYFUNCTION("""COMPUTED_VALUE"""),"Marci")</f>
        <v>Marci</v>
      </c>
      <c r="H826" s="24">
        <f>IFERROR(__xludf.DUMMYFUNCTION("""COMPUTED_VALUE"""),32.0)</f>
        <v>32</v>
      </c>
      <c r="I826" s="24"/>
    </row>
    <row r="827">
      <c r="A827" s="23">
        <f>IFERROR(__xludf.DUMMYFUNCTION("""COMPUTED_VALUE"""),44867.802703125)</f>
        <v>44867.8027</v>
      </c>
      <c r="B827" s="24" t="str">
        <f>IFERROR(__xludf.DUMMYFUNCTION("""COMPUTED_VALUE"""),"Claire")</f>
        <v>Claire</v>
      </c>
      <c r="C827" s="24">
        <f>IFERROR(__xludf.DUMMYFUNCTION("""COMPUTED_VALUE"""),568.0)</f>
        <v>568</v>
      </c>
      <c r="D827" s="24" t="str">
        <f>IFERROR(__xludf.DUMMYFUNCTION("""COMPUTED_VALUE"""),"First Fruits Farm")</f>
        <v>First Fruits Farm</v>
      </c>
      <c r="F827" s="23">
        <f>IFERROR(__xludf.DUMMYFUNCTION("""COMPUTED_VALUE"""),44754.66051446759)</f>
        <v>44754.66051</v>
      </c>
      <c r="G827" s="24" t="str">
        <f>IFERROR(__xludf.DUMMYFUNCTION("""COMPUTED_VALUE"""),"Jean")</f>
        <v>Jean</v>
      </c>
      <c r="H827" s="24">
        <f>IFERROR(__xludf.DUMMYFUNCTION("""COMPUTED_VALUE"""),669.0)</f>
        <v>669</v>
      </c>
      <c r="I827" s="24" t="str">
        <f>IFERROR(__xludf.DUMMYFUNCTION("""COMPUTED_VALUE"""),"First fruits farm")</f>
        <v>First fruits farm</v>
      </c>
    </row>
    <row r="828">
      <c r="A828" s="23">
        <f>IFERROR(__xludf.DUMMYFUNCTION("""COMPUTED_VALUE"""),44867.80299888889)</f>
        <v>44867.803</v>
      </c>
      <c r="B828" s="24" t="str">
        <f>IFERROR(__xludf.DUMMYFUNCTION("""COMPUTED_VALUE"""),"Claire")</f>
        <v>Claire</v>
      </c>
      <c r="C828" s="24">
        <f>IFERROR(__xludf.DUMMYFUNCTION("""COMPUTED_VALUE"""),590.0)</f>
        <v>590</v>
      </c>
      <c r="D828" s="24" t="str">
        <f>IFERROR(__xludf.DUMMYFUNCTION("""COMPUTED_VALUE"""),"First Fruits Farm")</f>
        <v>First Fruits Farm</v>
      </c>
      <c r="F828" s="23">
        <f>IFERROR(__xludf.DUMMYFUNCTION("""COMPUTED_VALUE"""),44754.661282766196)</f>
        <v>44754.66128</v>
      </c>
      <c r="G828" s="24" t="str">
        <f>IFERROR(__xludf.DUMMYFUNCTION("""COMPUTED_VALUE"""),"Jean")</f>
        <v>Jean</v>
      </c>
      <c r="H828" s="24">
        <f>IFERROR(__xludf.DUMMYFUNCTION("""COMPUTED_VALUE"""),538.0)</f>
        <v>538</v>
      </c>
      <c r="I828" s="24" t="str">
        <f>IFERROR(__xludf.DUMMYFUNCTION("""COMPUTED_VALUE"""),"First fruits farm")</f>
        <v>First fruits farm</v>
      </c>
    </row>
    <row r="829">
      <c r="A829" s="23">
        <f>IFERROR(__xludf.DUMMYFUNCTION("""COMPUTED_VALUE"""),44867.803257534724)</f>
        <v>44867.80326</v>
      </c>
      <c r="B829" s="24" t="str">
        <f>IFERROR(__xludf.DUMMYFUNCTION("""COMPUTED_VALUE"""),"Claire")</f>
        <v>Claire</v>
      </c>
      <c r="C829" s="24">
        <f>IFERROR(__xludf.DUMMYFUNCTION("""COMPUTED_VALUE"""),510.0)</f>
        <v>510</v>
      </c>
      <c r="D829" s="24" t="str">
        <f>IFERROR(__xludf.DUMMYFUNCTION("""COMPUTED_VALUE"""),"First Fruits Farm")</f>
        <v>First Fruits Farm</v>
      </c>
      <c r="F829" s="23">
        <f>IFERROR(__xludf.DUMMYFUNCTION("""COMPUTED_VALUE"""),44754.66954859954)</f>
        <v>44754.66955</v>
      </c>
      <c r="G829" s="24" t="str">
        <f>IFERROR(__xludf.DUMMYFUNCTION("""COMPUTED_VALUE"""),"Jean")</f>
        <v>Jean</v>
      </c>
      <c r="H829" s="24">
        <f>IFERROR(__xludf.DUMMYFUNCTION("""COMPUTED_VALUE"""),359.0)</f>
        <v>359</v>
      </c>
      <c r="I829" s="24" t="str">
        <f>IFERROR(__xludf.DUMMYFUNCTION("""COMPUTED_VALUE"""),"Walmart")</f>
        <v>Walmart</v>
      </c>
    </row>
    <row r="830">
      <c r="A830" s="23">
        <f>IFERROR(__xludf.DUMMYFUNCTION("""COMPUTED_VALUE"""),44867.80350795139)</f>
        <v>44867.80351</v>
      </c>
      <c r="B830" s="24" t="str">
        <f>IFERROR(__xludf.DUMMYFUNCTION("""COMPUTED_VALUE"""),"Claire")</f>
        <v>Claire</v>
      </c>
      <c r="C830" s="24">
        <f>IFERROR(__xludf.DUMMYFUNCTION("""COMPUTED_VALUE"""),518.0)</f>
        <v>518</v>
      </c>
      <c r="D830" s="24" t="str">
        <f>IFERROR(__xludf.DUMMYFUNCTION("""COMPUTED_VALUE"""),"First Fruits Farm")</f>
        <v>First Fruits Farm</v>
      </c>
      <c r="F830" s="23">
        <f>IFERROR(__xludf.DUMMYFUNCTION("""COMPUTED_VALUE"""),44754.68111594908)</f>
        <v>44754.68112</v>
      </c>
      <c r="G830" s="24" t="str">
        <f>IFERROR(__xludf.DUMMYFUNCTION("""COMPUTED_VALUE"""),"Jean")</f>
        <v>Jean</v>
      </c>
      <c r="H830" s="24">
        <f>IFERROR(__xludf.DUMMYFUNCTION("""COMPUTED_VALUE"""),41.0)</f>
        <v>41</v>
      </c>
      <c r="I830" s="24" t="str">
        <f>IFERROR(__xludf.DUMMYFUNCTION("""COMPUTED_VALUE"""),"Walmart")</f>
        <v>Walmart</v>
      </c>
    </row>
    <row r="831">
      <c r="A831" s="23">
        <f>IFERROR(__xludf.DUMMYFUNCTION("""COMPUTED_VALUE"""),44870.49493313657)</f>
        <v>44870.49493</v>
      </c>
      <c r="B831" s="24" t="str">
        <f>IFERROR(__xludf.DUMMYFUNCTION("""COMPUTED_VALUE"""),"Claire")</f>
        <v>Claire</v>
      </c>
      <c r="C831" s="24">
        <f>IFERROR(__xludf.DUMMYFUNCTION("""COMPUTED_VALUE"""),918.0)</f>
        <v>918</v>
      </c>
      <c r="D831" s="24" t="str">
        <f>IFERROR(__xludf.DUMMYFUNCTION("""COMPUTED_VALUE"""),"Amazon")</f>
        <v>Amazon</v>
      </c>
      <c r="F831" s="23">
        <f>IFERROR(__xludf.DUMMYFUNCTION("""COMPUTED_VALUE"""),44754.68290486111)</f>
        <v>44754.6829</v>
      </c>
      <c r="G831" s="24" t="str">
        <f>IFERROR(__xludf.DUMMYFUNCTION("""COMPUTED_VALUE"""),"Jean")</f>
        <v>Jean</v>
      </c>
      <c r="H831" s="24">
        <f>IFERROR(__xludf.DUMMYFUNCTION("""COMPUTED_VALUE"""),1208.0)</f>
        <v>1208</v>
      </c>
      <c r="I831" s="24" t="str">
        <f>IFERROR(__xludf.DUMMYFUNCTION("""COMPUTED_VALUE"""),"Walmart")</f>
        <v>Walmart</v>
      </c>
    </row>
    <row r="832">
      <c r="A832" s="23">
        <f>IFERROR(__xludf.DUMMYFUNCTION("""COMPUTED_VALUE"""),44870.495169236114)</f>
        <v>44870.49517</v>
      </c>
      <c r="B832" s="24" t="str">
        <f>IFERROR(__xludf.DUMMYFUNCTION("""COMPUTED_VALUE"""),"Claire")</f>
        <v>Claire</v>
      </c>
      <c r="C832" s="24">
        <f>IFERROR(__xludf.DUMMYFUNCTION("""COMPUTED_VALUE"""),960.0)</f>
        <v>960</v>
      </c>
      <c r="D832" s="24" t="str">
        <f>IFERROR(__xludf.DUMMYFUNCTION("""COMPUTED_VALUE"""),"Amazon")</f>
        <v>Amazon</v>
      </c>
      <c r="F832" s="23">
        <f>IFERROR(__xludf.DUMMYFUNCTION("""COMPUTED_VALUE"""),44754.68641702546)</f>
        <v>44754.68642</v>
      </c>
      <c r="G832" s="24" t="str">
        <f>IFERROR(__xludf.DUMMYFUNCTION("""COMPUTED_VALUE"""),"Jean")</f>
        <v>Jean</v>
      </c>
      <c r="H832" s="24">
        <f>IFERROR(__xludf.DUMMYFUNCTION("""COMPUTED_VALUE"""),179.0)</f>
        <v>179</v>
      </c>
      <c r="I832" s="24" t="str">
        <f>IFERROR(__xludf.DUMMYFUNCTION("""COMPUTED_VALUE"""),"Walmart")</f>
        <v>Walmart</v>
      </c>
    </row>
    <row r="833">
      <c r="A833" s="23">
        <f>IFERROR(__xludf.DUMMYFUNCTION("""COMPUTED_VALUE"""),44870.67386112269)</f>
        <v>44870.67386</v>
      </c>
      <c r="B833" s="24" t="str">
        <f>IFERROR(__xludf.DUMMYFUNCTION("""COMPUTED_VALUE"""),"Beverly Pinn")</f>
        <v>Beverly Pinn</v>
      </c>
      <c r="C833" s="24">
        <f>IFERROR(__xludf.DUMMYFUNCTION("""COMPUTED_VALUE"""),720.0)</f>
        <v>720</v>
      </c>
      <c r="D833" s="24" t="str">
        <f>IFERROR(__xludf.DUMMYFUNCTION("""COMPUTED_VALUE"""),"Amazon")</f>
        <v>Amazon</v>
      </c>
      <c r="F833" s="23">
        <f>IFERROR(__xludf.DUMMYFUNCTION("""COMPUTED_VALUE"""),44754.692717210644)</f>
        <v>44754.69272</v>
      </c>
      <c r="G833" s="24" t="str">
        <f>IFERROR(__xludf.DUMMYFUNCTION("""COMPUTED_VALUE"""),"Jean")</f>
        <v>Jean</v>
      </c>
      <c r="H833" s="24">
        <f>IFERROR(__xludf.DUMMYFUNCTION("""COMPUTED_VALUE"""),79.0)</f>
        <v>79</v>
      </c>
      <c r="I833" s="24" t="str">
        <f>IFERROR(__xludf.DUMMYFUNCTION("""COMPUTED_VALUE"""),"Walmart")</f>
        <v>Walmart</v>
      </c>
    </row>
    <row r="834">
      <c r="A834" s="23">
        <f>IFERROR(__xludf.DUMMYFUNCTION("""COMPUTED_VALUE"""),44870.67433929398)</f>
        <v>44870.67434</v>
      </c>
      <c r="B834" s="24" t="str">
        <f>IFERROR(__xludf.DUMMYFUNCTION("""COMPUTED_VALUE"""),"Beverly Pinn")</f>
        <v>Beverly Pinn</v>
      </c>
      <c r="C834" s="24">
        <f>IFERROR(__xludf.DUMMYFUNCTION("""COMPUTED_VALUE"""),642.0)</f>
        <v>642</v>
      </c>
      <c r="D834" s="24" t="str">
        <f>IFERROR(__xludf.DUMMYFUNCTION("""COMPUTED_VALUE"""),"Amazon")</f>
        <v>Amazon</v>
      </c>
      <c r="F834" s="23">
        <f>IFERROR(__xludf.DUMMYFUNCTION("""COMPUTED_VALUE"""),44754.7169868287)</f>
        <v>44754.71699</v>
      </c>
      <c r="G834" s="24" t="str">
        <f>IFERROR(__xludf.DUMMYFUNCTION("""COMPUTED_VALUE"""),"Beverly Pinn")</f>
        <v>Beverly Pinn</v>
      </c>
      <c r="H834" s="24">
        <f>IFERROR(__xludf.DUMMYFUNCTION("""COMPUTED_VALUE"""),20.0)</f>
        <v>20</v>
      </c>
      <c r="I834" s="24"/>
    </row>
    <row r="835">
      <c r="A835" s="23">
        <f>IFERROR(__xludf.DUMMYFUNCTION("""COMPUTED_VALUE"""),44870.67466344908)</f>
        <v>44870.67466</v>
      </c>
      <c r="B835" s="24" t="str">
        <f>IFERROR(__xludf.DUMMYFUNCTION("""COMPUTED_VALUE"""),"Beverly Pinn")</f>
        <v>Beverly Pinn</v>
      </c>
      <c r="C835" s="24">
        <f>IFERROR(__xludf.DUMMYFUNCTION("""COMPUTED_VALUE"""),652.0)</f>
        <v>652</v>
      </c>
      <c r="D835" s="24" t="str">
        <f>IFERROR(__xludf.DUMMYFUNCTION("""COMPUTED_VALUE"""),"Amazon")</f>
        <v>Amazon</v>
      </c>
      <c r="F835" s="23">
        <f>IFERROR(__xludf.DUMMYFUNCTION("""COMPUTED_VALUE"""),44754.71729807871)</f>
        <v>44754.7173</v>
      </c>
      <c r="G835" s="24" t="str">
        <f>IFERROR(__xludf.DUMMYFUNCTION("""COMPUTED_VALUE"""),"Beverly Pinn")</f>
        <v>Beverly Pinn</v>
      </c>
      <c r="H835" s="24">
        <f>IFERROR(__xludf.DUMMYFUNCTION("""COMPUTED_VALUE"""),8.0)</f>
        <v>8</v>
      </c>
      <c r="I835" s="24"/>
    </row>
    <row r="836">
      <c r="A836" s="23">
        <f>IFERROR(__xludf.DUMMYFUNCTION("""COMPUTED_VALUE"""),44870.6750460301)</f>
        <v>44870.67505</v>
      </c>
      <c r="B836" s="24" t="str">
        <f>IFERROR(__xludf.DUMMYFUNCTION("""COMPUTED_VALUE"""),"Beverly Pinn")</f>
        <v>Beverly Pinn</v>
      </c>
      <c r="C836" s="24">
        <f>IFERROR(__xludf.DUMMYFUNCTION("""COMPUTED_VALUE"""),725.0)</f>
        <v>725</v>
      </c>
      <c r="D836" s="24" t="str">
        <f>IFERROR(__xludf.DUMMYFUNCTION("""COMPUTED_VALUE"""),"Amazon")</f>
        <v>Amazon</v>
      </c>
      <c r="F836" s="23">
        <f>IFERROR(__xludf.DUMMYFUNCTION("""COMPUTED_VALUE"""),44754.71844693287)</f>
        <v>44754.71845</v>
      </c>
      <c r="G836" s="24" t="str">
        <f>IFERROR(__xludf.DUMMYFUNCTION("""COMPUTED_VALUE"""),"Jean. Extra")</f>
        <v>Jean. Extra</v>
      </c>
      <c r="H836" s="24">
        <f>IFERROR(__xludf.DUMMYFUNCTION("""COMPUTED_VALUE"""),26.0)</f>
        <v>26</v>
      </c>
      <c r="I836" s="24"/>
    </row>
    <row r="837">
      <c r="A837" s="23">
        <f>IFERROR(__xludf.DUMMYFUNCTION("""COMPUTED_VALUE"""),44870.764522627316)</f>
        <v>44870.76452</v>
      </c>
      <c r="B837" s="24" t="str">
        <f>IFERROR(__xludf.DUMMYFUNCTION("""COMPUTED_VALUE"""),"JC")</f>
        <v>JC</v>
      </c>
      <c r="C837" s="24">
        <f>IFERROR(__xludf.DUMMYFUNCTION("""COMPUTED_VALUE"""),255.0)</f>
        <v>255</v>
      </c>
      <c r="D837" s="24" t="str">
        <f>IFERROR(__xludf.DUMMYFUNCTION("""COMPUTED_VALUE"""),"Amazon")</f>
        <v>Amazon</v>
      </c>
      <c r="F837" s="23">
        <f>IFERROR(__xludf.DUMMYFUNCTION("""COMPUTED_VALUE"""),44754.71867700232)</f>
        <v>44754.71868</v>
      </c>
      <c r="G837" s="24" t="str">
        <f>IFERROR(__xludf.DUMMYFUNCTION("""COMPUTED_VALUE"""),"Jean")</f>
        <v>Jean</v>
      </c>
      <c r="H837" s="24">
        <f>IFERROR(__xludf.DUMMYFUNCTION("""COMPUTED_VALUE"""),34.0)</f>
        <v>34</v>
      </c>
      <c r="I837" s="24"/>
    </row>
    <row r="838">
      <c r="A838" s="23">
        <f>IFERROR(__xludf.DUMMYFUNCTION("""COMPUTED_VALUE"""),44870.76478792824)</f>
        <v>44870.76479</v>
      </c>
      <c r="B838" s="24" t="str">
        <f>IFERROR(__xludf.DUMMYFUNCTION("""COMPUTED_VALUE"""),"JC")</f>
        <v>JC</v>
      </c>
      <c r="C838" s="24">
        <f>IFERROR(__xludf.DUMMYFUNCTION("""COMPUTED_VALUE"""),1052.0)</f>
        <v>1052</v>
      </c>
      <c r="D838" s="24" t="str">
        <f>IFERROR(__xludf.DUMMYFUNCTION("""COMPUTED_VALUE"""),"Amazon")</f>
        <v>Amazon</v>
      </c>
      <c r="F838" s="23">
        <f>IFERROR(__xludf.DUMMYFUNCTION("""COMPUTED_VALUE"""),44754.71914376158)</f>
        <v>44754.71914</v>
      </c>
      <c r="G838" s="24" t="str">
        <f>IFERROR(__xludf.DUMMYFUNCTION("""COMPUTED_VALUE"""),"Kaneesha ")</f>
        <v>Kaneesha </v>
      </c>
      <c r="H838" s="24">
        <f>IFERROR(__xludf.DUMMYFUNCTION("""COMPUTED_VALUE"""),20.0)</f>
        <v>20</v>
      </c>
      <c r="I838" s="24"/>
    </row>
    <row r="839">
      <c r="A839" s="23">
        <f>IFERROR(__xludf.DUMMYFUNCTION("""COMPUTED_VALUE"""),44870.765085960644)</f>
        <v>44870.76509</v>
      </c>
      <c r="B839" s="24" t="str">
        <f>IFERROR(__xludf.DUMMYFUNCTION("""COMPUTED_VALUE"""),"JC")</f>
        <v>JC</v>
      </c>
      <c r="C839" s="24">
        <f>IFERROR(__xludf.DUMMYFUNCTION("""COMPUTED_VALUE"""),594.0)</f>
        <v>594</v>
      </c>
      <c r="D839" s="24" t="str">
        <f>IFERROR(__xludf.DUMMYFUNCTION("""COMPUTED_VALUE"""),"Amazon")</f>
        <v>Amazon</v>
      </c>
      <c r="F839" s="23">
        <f>IFERROR(__xludf.DUMMYFUNCTION("""COMPUTED_VALUE"""),44754.719341909724)</f>
        <v>44754.71934</v>
      </c>
      <c r="G839" s="24" t="str">
        <f>IFERROR(__xludf.DUMMYFUNCTION("""COMPUTED_VALUE"""),"Kaneesha(expired)")</f>
        <v>Kaneesha(expired)</v>
      </c>
      <c r="H839" s="24">
        <f>IFERROR(__xludf.DUMMYFUNCTION("""COMPUTED_VALUE"""),17.0)</f>
        <v>17</v>
      </c>
      <c r="I839" s="24"/>
    </row>
    <row r="840">
      <c r="A840" s="23">
        <f>IFERROR(__xludf.DUMMYFUNCTION("""COMPUTED_VALUE"""),44870.76557725695)</f>
        <v>44870.76558</v>
      </c>
      <c r="B840" s="24" t="str">
        <f>IFERROR(__xludf.DUMMYFUNCTION("""COMPUTED_VALUE"""),"JC")</f>
        <v>JC</v>
      </c>
      <c r="C840" s="24">
        <f>IFERROR(__xludf.DUMMYFUNCTION("""COMPUTED_VALUE"""),798.0)</f>
        <v>798</v>
      </c>
      <c r="D840" s="24" t="str">
        <f>IFERROR(__xludf.DUMMYFUNCTION("""COMPUTED_VALUE"""),"Amazon")</f>
        <v>Amazon</v>
      </c>
      <c r="F840" s="23">
        <f>IFERROR(__xludf.DUMMYFUNCTION("""COMPUTED_VALUE"""),44755.0)</f>
        <v>44755</v>
      </c>
      <c r="G840" s="24" t="str">
        <f>IFERROR(__xludf.DUMMYFUNCTION("""COMPUTED_VALUE"""),"Claire")</f>
        <v>Claire</v>
      </c>
      <c r="H840" s="24">
        <f>IFERROR(__xludf.DUMMYFUNCTION("""COMPUTED_VALUE"""),89.0)</f>
        <v>89</v>
      </c>
      <c r="I840" s="24" t="str">
        <f>IFERROR(__xludf.DUMMYFUNCTION("""COMPUTED_VALUE"""),"Assort")</f>
        <v>Assort</v>
      </c>
    </row>
    <row r="841">
      <c r="A841" s="23">
        <f>IFERROR(__xludf.DUMMYFUNCTION("""COMPUTED_VALUE"""),44870.765874467594)</f>
        <v>44870.76587</v>
      </c>
      <c r="B841" s="24" t="str">
        <f>IFERROR(__xludf.DUMMYFUNCTION("""COMPUTED_VALUE"""),"JC")</f>
        <v>JC</v>
      </c>
      <c r="C841" s="24">
        <f>IFERROR(__xludf.DUMMYFUNCTION("""COMPUTED_VALUE"""),1184.0)</f>
        <v>1184</v>
      </c>
      <c r="D841" s="24" t="str">
        <f>IFERROR(__xludf.DUMMYFUNCTION("""COMPUTED_VALUE"""),"Amazon")</f>
        <v>Amazon</v>
      </c>
      <c r="F841" s="23">
        <f>IFERROR(__xludf.DUMMYFUNCTION("""COMPUTED_VALUE"""),44755.0)</f>
        <v>44755</v>
      </c>
      <c r="G841" s="24" t="str">
        <f>IFERROR(__xludf.DUMMYFUNCTION("""COMPUTED_VALUE"""),"Lynette c")</f>
        <v>Lynette c</v>
      </c>
      <c r="H841" s="24">
        <f>IFERROR(__xludf.DUMMYFUNCTION("""COMPUTED_VALUE"""),18.0)</f>
        <v>18</v>
      </c>
      <c r="I841" s="24"/>
    </row>
    <row r="842">
      <c r="A842" s="23">
        <f>IFERROR(__xludf.DUMMYFUNCTION("""COMPUTED_VALUE"""),44870.76690015046)</f>
        <v>44870.7669</v>
      </c>
      <c r="B842" s="24" t="str">
        <f>IFERROR(__xludf.DUMMYFUNCTION("""COMPUTED_VALUE"""),"JC")</f>
        <v>JC</v>
      </c>
      <c r="C842" s="24">
        <f>IFERROR(__xludf.DUMMYFUNCTION("""COMPUTED_VALUE"""),930.0)</f>
        <v>930</v>
      </c>
      <c r="D842" s="24" t="str">
        <f>IFERROR(__xludf.DUMMYFUNCTION("""COMPUTED_VALUE"""),"Amazon")</f>
        <v>Amazon</v>
      </c>
      <c r="F842" s="23">
        <f>IFERROR(__xludf.DUMMYFUNCTION("""COMPUTED_VALUE"""),44755.0)</f>
        <v>44755</v>
      </c>
      <c r="G842" s="24" t="str">
        <f>IFERROR(__xludf.DUMMYFUNCTION("""COMPUTED_VALUE"""),"Lynette c")</f>
        <v>Lynette c</v>
      </c>
      <c r="H842" s="24">
        <f>IFERROR(__xludf.DUMMYFUNCTION("""COMPUTED_VALUE"""),43.0)</f>
        <v>43</v>
      </c>
      <c r="I842" s="24"/>
    </row>
    <row r="843">
      <c r="A843" s="23">
        <f>IFERROR(__xludf.DUMMYFUNCTION("""COMPUTED_VALUE"""),44870.76715943287)</f>
        <v>44870.76716</v>
      </c>
      <c r="B843" s="24" t="str">
        <f>IFERROR(__xludf.DUMMYFUNCTION("""COMPUTED_VALUE"""),"JC")</f>
        <v>JC</v>
      </c>
      <c r="C843" s="24">
        <f>IFERROR(__xludf.DUMMYFUNCTION("""COMPUTED_VALUE"""),447.0)</f>
        <v>447</v>
      </c>
      <c r="D843" s="24" t="str">
        <f>IFERROR(__xludf.DUMMYFUNCTION("""COMPUTED_VALUE"""),"Amazon")</f>
        <v>Amazon</v>
      </c>
      <c r="F843" s="23">
        <f>IFERROR(__xludf.DUMMYFUNCTION("""COMPUTED_VALUE"""),44755.0)</f>
        <v>44755</v>
      </c>
      <c r="G843" s="24" t="str">
        <f>IFERROR(__xludf.DUMMYFUNCTION("""COMPUTED_VALUE"""),"Marci")</f>
        <v>Marci</v>
      </c>
      <c r="H843" s="24">
        <f>IFERROR(__xludf.DUMMYFUNCTION("""COMPUTED_VALUE"""),21.0)</f>
        <v>21</v>
      </c>
      <c r="I843" s="24"/>
    </row>
    <row r="844">
      <c r="A844" s="23">
        <f>IFERROR(__xludf.DUMMYFUNCTION("""COMPUTED_VALUE"""),44871.51955708333)</f>
        <v>44871.51956</v>
      </c>
      <c r="B844" s="24" t="str">
        <f>IFERROR(__xludf.DUMMYFUNCTION("""COMPUTED_VALUE"""),"Juanita Chandler ")</f>
        <v>Juanita Chandler </v>
      </c>
      <c r="C844" s="24">
        <f>IFERROR(__xludf.DUMMYFUNCTION("""COMPUTED_VALUE"""),153.0)</f>
        <v>153</v>
      </c>
      <c r="D844" s="24" t="str">
        <f>IFERROR(__xludf.DUMMYFUNCTION("""COMPUTED_VALUE"""),"Sandtown")</f>
        <v>Sandtown</v>
      </c>
      <c r="F844" s="23">
        <f>IFERROR(__xludf.DUMMYFUNCTION("""COMPUTED_VALUE"""),44755.0)</f>
        <v>44755</v>
      </c>
      <c r="G844" s="24" t="str">
        <f>IFERROR(__xludf.DUMMYFUNCTION("""COMPUTED_VALUE"""),"Marci")</f>
        <v>Marci</v>
      </c>
      <c r="H844" s="24">
        <f>IFERROR(__xludf.DUMMYFUNCTION("""COMPUTED_VALUE"""),44.0)</f>
        <v>44</v>
      </c>
      <c r="I844" s="24"/>
    </row>
    <row r="845">
      <c r="A845" s="23">
        <f>IFERROR(__xludf.DUMMYFUNCTION("""COMPUTED_VALUE"""),44871.521592199075)</f>
        <v>44871.52159</v>
      </c>
      <c r="B845" s="24" t="str">
        <f>IFERROR(__xludf.DUMMYFUNCTION("""COMPUTED_VALUE"""),"Juanita Chandler ")</f>
        <v>Juanita Chandler </v>
      </c>
      <c r="C845" s="24">
        <f>IFERROR(__xludf.DUMMYFUNCTION("""COMPUTED_VALUE"""),648.0)</f>
        <v>648</v>
      </c>
      <c r="D845" s="24" t="str">
        <f>IFERROR(__xludf.DUMMYFUNCTION("""COMPUTED_VALUE"""),"Amazon")</f>
        <v>Amazon</v>
      </c>
      <c r="F845" s="23">
        <f>IFERROR(__xludf.DUMMYFUNCTION("""COMPUTED_VALUE"""),44755.0)</f>
        <v>44755</v>
      </c>
      <c r="G845" s="24" t="str">
        <f>IFERROR(__xludf.DUMMYFUNCTION("""COMPUTED_VALUE"""),"Juanita c")</f>
        <v>Juanita c</v>
      </c>
      <c r="H845" s="24">
        <f>IFERROR(__xludf.DUMMYFUNCTION("""COMPUTED_VALUE"""),9.0)</f>
        <v>9</v>
      </c>
      <c r="I845" s="24"/>
    </row>
    <row r="846">
      <c r="A846" s="23">
        <f>IFERROR(__xludf.DUMMYFUNCTION("""COMPUTED_VALUE"""),44871.52264888889)</f>
        <v>44871.52265</v>
      </c>
      <c r="B846" s="24" t="str">
        <f>IFERROR(__xludf.DUMMYFUNCTION("""COMPUTED_VALUE"""),"Juanita Chandler ")</f>
        <v>Juanita Chandler </v>
      </c>
      <c r="C846" s="24">
        <f>IFERROR(__xludf.DUMMYFUNCTION("""COMPUTED_VALUE"""),316.0)</f>
        <v>316</v>
      </c>
      <c r="D846" s="24" t="str">
        <f>IFERROR(__xludf.DUMMYFUNCTION("""COMPUTED_VALUE"""),"Amazon")</f>
        <v>Amazon</v>
      </c>
      <c r="F846" s="23">
        <f>IFERROR(__xludf.DUMMYFUNCTION("""COMPUTED_VALUE"""),44755.0)</f>
        <v>44755</v>
      </c>
      <c r="G846" s="24" t="str">
        <f>IFERROR(__xludf.DUMMYFUNCTION("""COMPUTED_VALUE"""),"Juanita c")</f>
        <v>Juanita c</v>
      </c>
      <c r="H846" s="24">
        <f>IFERROR(__xludf.DUMMYFUNCTION("""COMPUTED_VALUE"""),30.0)</f>
        <v>30</v>
      </c>
      <c r="I846" s="24"/>
    </row>
    <row r="847">
      <c r="A847" s="23">
        <f>IFERROR(__xludf.DUMMYFUNCTION("""COMPUTED_VALUE"""),44871.52318556713)</f>
        <v>44871.52319</v>
      </c>
      <c r="B847" s="24" t="str">
        <f>IFERROR(__xludf.DUMMYFUNCTION("""COMPUTED_VALUE"""),"Juanita Chandler ")</f>
        <v>Juanita Chandler </v>
      </c>
      <c r="C847" s="24">
        <f>IFERROR(__xludf.DUMMYFUNCTION("""COMPUTED_VALUE"""),611.0)</f>
        <v>611</v>
      </c>
      <c r="D847" s="24" t="str">
        <f>IFERROR(__xludf.DUMMYFUNCTION("""COMPUTED_VALUE"""),"Amazon")</f>
        <v>Amazon</v>
      </c>
      <c r="F847" s="23">
        <f>IFERROR(__xludf.DUMMYFUNCTION("""COMPUTED_VALUE"""),44755.6470950463)</f>
        <v>44755.6471</v>
      </c>
      <c r="G847" s="24" t="str">
        <f>IFERROR(__xludf.DUMMYFUNCTION("""COMPUTED_VALUE"""),"Deborah Claridy ")</f>
        <v>Deborah Claridy </v>
      </c>
      <c r="H847" s="24">
        <f>IFERROR(__xludf.DUMMYFUNCTION("""COMPUTED_VALUE"""),174.0)</f>
        <v>174</v>
      </c>
      <c r="I847" s="24" t="str">
        <f>IFERROR(__xludf.DUMMYFUNCTION("""COMPUTED_VALUE"""),"Paper Goods")</f>
        <v>Paper Goods</v>
      </c>
    </row>
    <row r="848">
      <c r="A848" s="23">
        <f>IFERROR(__xludf.DUMMYFUNCTION("""COMPUTED_VALUE"""),44874.0)</f>
        <v>44874</v>
      </c>
      <c r="B848" s="24" t="str">
        <f>IFERROR(__xludf.DUMMYFUNCTION("""COMPUTED_VALUE"""),"Claire")</f>
        <v>Claire</v>
      </c>
      <c r="C848" s="24">
        <f>IFERROR(__xludf.DUMMYFUNCTION("""COMPUTED_VALUE"""),511.0)</f>
        <v>511</v>
      </c>
      <c r="D848" s="24" t="str">
        <f>IFERROR(__xludf.DUMMYFUNCTION("""COMPUTED_VALUE"""),"First Fruits Farm")</f>
        <v>First Fruits Farm</v>
      </c>
      <c r="F848" s="23">
        <f>IFERROR(__xludf.DUMMYFUNCTION("""COMPUTED_VALUE"""),44755.65157366898)</f>
        <v>44755.65157</v>
      </c>
      <c r="G848" s="24" t="str">
        <f>IFERROR(__xludf.DUMMYFUNCTION("""COMPUTED_VALUE"""),"Deborah Claridy ")</f>
        <v>Deborah Claridy </v>
      </c>
      <c r="H848" s="24">
        <f>IFERROR(__xludf.DUMMYFUNCTION("""COMPUTED_VALUE"""),109.0)</f>
        <v>109</v>
      </c>
      <c r="I848" s="24" t="str">
        <f>IFERROR(__xludf.DUMMYFUNCTION("""COMPUTED_VALUE"""),"Paper goods")</f>
        <v>Paper goods</v>
      </c>
    </row>
    <row r="849">
      <c r="A849" s="23">
        <f>IFERROR(__xludf.DUMMYFUNCTION("""COMPUTED_VALUE"""),44874.56220609954)</f>
        <v>44874.56221</v>
      </c>
      <c r="B849" s="24" t="str">
        <f>IFERROR(__xludf.DUMMYFUNCTION("""COMPUTED_VALUE"""),"Juanita Chandler ")</f>
        <v>Juanita Chandler </v>
      </c>
      <c r="C849" s="24">
        <f>IFERROR(__xludf.DUMMYFUNCTION("""COMPUTED_VALUE"""),534.0)</f>
        <v>534</v>
      </c>
      <c r="D849" s="24" t="str">
        <f>IFERROR(__xludf.DUMMYFUNCTION("""COMPUTED_VALUE"""),"First Fruits Farm")</f>
        <v>First Fruits Farm</v>
      </c>
      <c r="F849" s="23">
        <f>IFERROR(__xludf.DUMMYFUNCTION("""COMPUTED_VALUE"""),44755.65251101852)</f>
        <v>44755.65251</v>
      </c>
      <c r="G849" s="24" t="str">
        <f>IFERROR(__xludf.DUMMYFUNCTION("""COMPUTED_VALUE"""),"Deborah Claridy ")</f>
        <v>Deborah Claridy </v>
      </c>
      <c r="H849" s="24">
        <f>IFERROR(__xludf.DUMMYFUNCTION("""COMPUTED_VALUE"""),550.0)</f>
        <v>550</v>
      </c>
      <c r="I849" s="24" t="str">
        <f>IFERROR(__xludf.DUMMYFUNCTION("""COMPUTED_VALUE"""),"Cleaning products")</f>
        <v>Cleaning products</v>
      </c>
    </row>
    <row r="850">
      <c r="A850" s="23">
        <f>IFERROR(__xludf.DUMMYFUNCTION("""COMPUTED_VALUE"""),44874.56433940972)</f>
        <v>44874.56434</v>
      </c>
      <c r="B850" s="24" t="str">
        <f>IFERROR(__xludf.DUMMYFUNCTION("""COMPUTED_VALUE"""),"Juanita Chandler ")</f>
        <v>Juanita Chandler </v>
      </c>
      <c r="C850" s="24">
        <f>IFERROR(__xludf.DUMMYFUNCTION("""COMPUTED_VALUE"""),1413.0)</f>
        <v>1413</v>
      </c>
      <c r="D850" s="24" t="str">
        <f>IFERROR(__xludf.DUMMYFUNCTION("""COMPUTED_VALUE"""),"First Fruits Farm")</f>
        <v>First Fruits Farm</v>
      </c>
      <c r="F850" s="23">
        <f>IFERROR(__xludf.DUMMYFUNCTION("""COMPUTED_VALUE"""),44755.72124368056)</f>
        <v>44755.72124</v>
      </c>
      <c r="G850" s="24" t="str">
        <f>IFERROR(__xludf.DUMMYFUNCTION("""COMPUTED_VALUE"""),"Deborah Claridy ")</f>
        <v>Deborah Claridy </v>
      </c>
      <c r="H850" s="24">
        <f>IFERROR(__xludf.DUMMYFUNCTION("""COMPUTED_VALUE"""),14.0)</f>
        <v>14</v>
      </c>
      <c r="I850" s="24"/>
    </row>
    <row r="851">
      <c r="A851" s="23">
        <f>IFERROR(__xludf.DUMMYFUNCTION("""COMPUTED_VALUE"""),44874.64343162037)</f>
        <v>44874.64343</v>
      </c>
      <c r="B851" s="24" t="str">
        <f>IFERROR(__xludf.DUMMYFUNCTION("""COMPUTED_VALUE"""),"Juanita Chandler ")</f>
        <v>Juanita Chandler </v>
      </c>
      <c r="C851" s="24">
        <f>IFERROR(__xludf.DUMMYFUNCTION("""COMPUTED_VALUE"""),1364.0)</f>
        <v>1364</v>
      </c>
      <c r="D851" s="24" t="str">
        <f>IFERROR(__xludf.DUMMYFUNCTION("""COMPUTED_VALUE"""),"First Fruits Farm")</f>
        <v>First Fruits Farm</v>
      </c>
      <c r="F851" s="23">
        <f>IFERROR(__xludf.DUMMYFUNCTION("""COMPUTED_VALUE"""),44755.72157072916)</f>
        <v>44755.72157</v>
      </c>
      <c r="G851" s="24" t="str">
        <f>IFERROR(__xludf.DUMMYFUNCTION("""COMPUTED_VALUE"""),"Deborah Claridy ")</f>
        <v>Deborah Claridy </v>
      </c>
      <c r="H851" s="24">
        <f>IFERROR(__xludf.DUMMYFUNCTION("""COMPUTED_VALUE"""),13.0)</f>
        <v>13</v>
      </c>
      <c r="I851" s="24"/>
    </row>
    <row r="852">
      <c r="A852" s="23">
        <f>IFERROR(__xludf.DUMMYFUNCTION("""COMPUTED_VALUE"""),44874.64392251157)</f>
        <v>44874.64392</v>
      </c>
      <c r="B852" s="24" t="str">
        <f>IFERROR(__xludf.DUMMYFUNCTION("""COMPUTED_VALUE"""),"Juanita Chandler ")</f>
        <v>Juanita Chandler </v>
      </c>
      <c r="C852" s="24">
        <f>IFERROR(__xludf.DUMMYFUNCTION("""COMPUTED_VALUE"""),527.0)</f>
        <v>527</v>
      </c>
      <c r="D852" s="24" t="str">
        <f>IFERROR(__xludf.DUMMYFUNCTION("""COMPUTED_VALUE"""),"First Fruits Farm")</f>
        <v>First Fruits Farm</v>
      </c>
      <c r="F852" s="23">
        <f>IFERROR(__xludf.DUMMYFUNCTION("""COMPUTED_VALUE"""),44755.7930166088)</f>
        <v>44755.79302</v>
      </c>
      <c r="G852" s="24" t="str">
        <f>IFERROR(__xludf.DUMMYFUNCTION("""COMPUTED_VALUE"""),"Theresa Keil")</f>
        <v>Theresa Keil</v>
      </c>
      <c r="H852" s="24">
        <f>IFERROR(__xludf.DUMMYFUNCTION("""COMPUTED_VALUE"""),141.0)</f>
        <v>141</v>
      </c>
      <c r="I852" s="24"/>
    </row>
    <row r="853">
      <c r="A853" s="23">
        <f>IFERROR(__xludf.DUMMYFUNCTION("""COMPUTED_VALUE"""),44874.64472233796)</f>
        <v>44874.64472</v>
      </c>
      <c r="B853" s="24" t="str">
        <f>IFERROR(__xludf.DUMMYFUNCTION("""COMPUTED_VALUE"""),"Juanita Chandler ")</f>
        <v>Juanita Chandler </v>
      </c>
      <c r="C853" s="24">
        <f>IFERROR(__xludf.DUMMYFUNCTION("""COMPUTED_VALUE"""),533.0)</f>
        <v>533</v>
      </c>
      <c r="D853" s="24" t="str">
        <f>IFERROR(__xludf.DUMMYFUNCTION("""COMPUTED_VALUE"""),"First Fruits Farm")</f>
        <v>First Fruits Farm</v>
      </c>
      <c r="F853" s="23">
        <f>IFERROR(__xludf.DUMMYFUNCTION("""COMPUTED_VALUE"""),44755.81808693287)</f>
        <v>44755.81809</v>
      </c>
      <c r="G853" s="24" t="str">
        <f>IFERROR(__xludf.DUMMYFUNCTION("""COMPUTED_VALUE"""),"Trav")</f>
        <v>Trav</v>
      </c>
      <c r="H853" s="24">
        <f>IFERROR(__xludf.DUMMYFUNCTION("""COMPUTED_VALUE"""),25.0)</f>
        <v>25</v>
      </c>
      <c r="I853" s="24" t="str">
        <f>IFERROR(__xludf.DUMMYFUNCTION("""COMPUTED_VALUE"""),"Assorted option")</f>
        <v>Assorted option</v>
      </c>
    </row>
    <row r="854">
      <c r="A854" s="23">
        <f>IFERROR(__xludf.DUMMYFUNCTION("""COMPUTED_VALUE"""),44878.51852767361)</f>
        <v>44878.51853</v>
      </c>
      <c r="B854" s="24" t="str">
        <f>IFERROR(__xludf.DUMMYFUNCTION("""COMPUTED_VALUE"""),"Dorja")</f>
        <v>Dorja</v>
      </c>
      <c r="C854" s="24">
        <f>IFERROR(__xludf.DUMMYFUNCTION("""COMPUTED_VALUE"""),548.0)</f>
        <v>548</v>
      </c>
      <c r="D854" s="24" t="str">
        <f>IFERROR(__xludf.DUMMYFUNCTION("""COMPUTED_VALUE"""),"Amazon")</f>
        <v>Amazon</v>
      </c>
      <c r="F854" s="23">
        <f>IFERROR(__xludf.DUMMYFUNCTION("""COMPUTED_VALUE"""),44755.86731408565)</f>
        <v>44755.86731</v>
      </c>
      <c r="G854" s="24" t="str">
        <f>IFERROR(__xludf.DUMMYFUNCTION("""COMPUTED_VALUE"""),"Connor Gephart")</f>
        <v>Connor Gephart</v>
      </c>
      <c r="H854" s="24">
        <f>IFERROR(__xludf.DUMMYFUNCTION("""COMPUTED_VALUE"""),15.0)</f>
        <v>15</v>
      </c>
      <c r="I854" s="24"/>
    </row>
    <row r="855">
      <c r="A855" s="23">
        <f>IFERROR(__xludf.DUMMYFUNCTION("""COMPUTED_VALUE"""),44878.51994850694)</f>
        <v>44878.51995</v>
      </c>
      <c r="B855" s="24" t="str">
        <f>IFERROR(__xludf.DUMMYFUNCTION("""COMPUTED_VALUE"""),"Dorja ")</f>
        <v>Dorja </v>
      </c>
      <c r="C855" s="24">
        <f>IFERROR(__xludf.DUMMYFUNCTION("""COMPUTED_VALUE"""),299.0)</f>
        <v>299</v>
      </c>
      <c r="D855" s="24" t="str">
        <f>IFERROR(__xludf.DUMMYFUNCTION("""COMPUTED_VALUE"""),"Amazon")</f>
        <v>Amazon</v>
      </c>
      <c r="F855" s="23">
        <f>IFERROR(__xludf.DUMMYFUNCTION("""COMPUTED_VALUE"""),44755.87010193287)</f>
        <v>44755.8701</v>
      </c>
      <c r="G855" s="24" t="str">
        <f>IFERROR(__xludf.DUMMYFUNCTION("""COMPUTED_VALUE"""),"Deborah Davis")</f>
        <v>Deborah Davis</v>
      </c>
      <c r="H855" s="24">
        <f>IFERROR(__xludf.DUMMYFUNCTION("""COMPUTED_VALUE"""),16.0)</f>
        <v>16</v>
      </c>
      <c r="I855" s="24"/>
    </row>
    <row r="856">
      <c r="A856" s="23">
        <f>IFERROR(__xludf.DUMMYFUNCTION("""COMPUTED_VALUE"""),44878.52697568287)</f>
        <v>44878.52698</v>
      </c>
      <c r="B856" s="24" t="str">
        <f>IFERROR(__xludf.DUMMYFUNCTION("""COMPUTED_VALUE"""),"Dorja ")</f>
        <v>Dorja </v>
      </c>
      <c r="C856" s="24">
        <f>IFERROR(__xludf.DUMMYFUNCTION("""COMPUTED_VALUE"""),922.0)</f>
        <v>922</v>
      </c>
      <c r="D856" s="24" t="str">
        <f>IFERROR(__xludf.DUMMYFUNCTION("""COMPUTED_VALUE"""),"Amazon")</f>
        <v>Amazon</v>
      </c>
      <c r="F856" s="23">
        <f>IFERROR(__xludf.DUMMYFUNCTION("""COMPUTED_VALUE"""),44755.871195949076)</f>
        <v>44755.8712</v>
      </c>
      <c r="G856" s="24" t="str">
        <f>IFERROR(__xludf.DUMMYFUNCTION("""COMPUTED_VALUE"""),"Maddie ")</f>
        <v>Maddie </v>
      </c>
      <c r="H856" s="24">
        <f>IFERROR(__xludf.DUMMYFUNCTION("""COMPUTED_VALUE"""),20.0)</f>
        <v>20</v>
      </c>
      <c r="I856" s="24"/>
    </row>
    <row r="857">
      <c r="A857" s="23">
        <f>IFERROR(__xludf.DUMMYFUNCTION("""COMPUTED_VALUE"""),44878.53207317129)</f>
        <v>44878.53207</v>
      </c>
      <c r="B857" s="24" t="str">
        <f>IFERROR(__xludf.DUMMYFUNCTION("""COMPUTED_VALUE"""),"Dorja ")</f>
        <v>Dorja </v>
      </c>
      <c r="C857" s="24">
        <f>IFERROR(__xludf.DUMMYFUNCTION("""COMPUTED_VALUE"""),537.0)</f>
        <v>537</v>
      </c>
      <c r="D857" s="24" t="str">
        <f>IFERROR(__xludf.DUMMYFUNCTION("""COMPUTED_VALUE"""),"Amazon")</f>
        <v>Amazon</v>
      </c>
      <c r="F857" s="23">
        <f>IFERROR(__xludf.DUMMYFUNCTION("""COMPUTED_VALUE"""),44755.87599325232)</f>
        <v>44755.87599</v>
      </c>
      <c r="G857" s="24" t="str">
        <f>IFERROR(__xludf.DUMMYFUNCTION("""COMPUTED_VALUE"""),"Lynwood ")</f>
        <v>Lynwood </v>
      </c>
      <c r="H857" s="24">
        <f>IFERROR(__xludf.DUMMYFUNCTION("""COMPUTED_VALUE"""),22.0)</f>
        <v>22</v>
      </c>
      <c r="I857" s="24"/>
    </row>
    <row r="858">
      <c r="A858" s="23">
        <f>IFERROR(__xludf.DUMMYFUNCTION("""COMPUTED_VALUE"""),44878.53748445602)</f>
        <v>44878.53748</v>
      </c>
      <c r="B858" s="24" t="str">
        <f>IFERROR(__xludf.DUMMYFUNCTION("""COMPUTED_VALUE"""),"Dorja ")</f>
        <v>Dorja </v>
      </c>
      <c r="C858" s="24">
        <f>IFERROR(__xludf.DUMMYFUNCTION("""COMPUTED_VALUE"""),689.0)</f>
        <v>689</v>
      </c>
      <c r="D858" s="24" t="str">
        <f>IFERROR(__xludf.DUMMYFUNCTION("""COMPUTED_VALUE"""),"Amazon")</f>
        <v>Amazon</v>
      </c>
      <c r="F858" s="23">
        <f>IFERROR(__xludf.DUMMYFUNCTION("""COMPUTED_VALUE"""),44755.877936550925)</f>
        <v>44755.87794</v>
      </c>
      <c r="G858" s="24" t="str">
        <f>IFERROR(__xludf.DUMMYFUNCTION("""COMPUTED_VALUE"""),"Dee Satterfield")</f>
        <v>Dee Satterfield</v>
      </c>
      <c r="H858" s="24">
        <f>IFERROR(__xludf.DUMMYFUNCTION("""COMPUTED_VALUE"""),20.0)</f>
        <v>20</v>
      </c>
      <c r="I858" s="24"/>
    </row>
    <row r="859">
      <c r="A859" s="23">
        <f>IFERROR(__xludf.DUMMYFUNCTION("""COMPUTED_VALUE"""),44878.589511585655)</f>
        <v>44878.58951</v>
      </c>
      <c r="B859" s="24" t="str">
        <f>IFERROR(__xludf.DUMMYFUNCTION("""COMPUTED_VALUE"""),"Dorja ")</f>
        <v>Dorja </v>
      </c>
      <c r="C859" s="24">
        <f>IFERROR(__xludf.DUMMYFUNCTION("""COMPUTED_VALUE"""),466.0)</f>
        <v>466</v>
      </c>
      <c r="D859" s="24" t="str">
        <f>IFERROR(__xludf.DUMMYFUNCTION("""COMPUTED_VALUE"""),"Amazon")</f>
        <v>Amazon</v>
      </c>
      <c r="F859" s="23">
        <f>IFERROR(__xludf.DUMMYFUNCTION("""COMPUTED_VALUE"""),44755.87813556713)</f>
        <v>44755.87814</v>
      </c>
      <c r="G859" s="24" t="str">
        <f>IFERROR(__xludf.DUMMYFUNCTION("""COMPUTED_VALUE"""),"Dee Satterfield")</f>
        <v>Dee Satterfield</v>
      </c>
      <c r="H859" s="24">
        <f>IFERROR(__xludf.DUMMYFUNCTION("""COMPUTED_VALUE"""),6.0)</f>
        <v>6</v>
      </c>
      <c r="I859" s="24"/>
    </row>
    <row r="860">
      <c r="A860" s="23">
        <f>IFERROR(__xludf.DUMMYFUNCTION("""COMPUTED_VALUE"""),44880.655125185185)</f>
        <v>44880.65513</v>
      </c>
      <c r="B860" s="24" t="str">
        <f>IFERROR(__xludf.DUMMYFUNCTION("""COMPUTED_VALUE"""),"Beverly Pinn")</f>
        <v>Beverly Pinn</v>
      </c>
      <c r="C860" s="24">
        <f>IFERROR(__xludf.DUMMYFUNCTION("""COMPUTED_VALUE"""),1033.0)</f>
        <v>1033</v>
      </c>
      <c r="D860" s="24" t="str">
        <f>IFERROR(__xludf.DUMMYFUNCTION("""COMPUTED_VALUE"""),"Dole")</f>
        <v>Dole</v>
      </c>
      <c r="F860" s="23">
        <f>IFERROR(__xludf.DUMMYFUNCTION("""COMPUTED_VALUE"""),44755.87925626157)</f>
        <v>44755.87926</v>
      </c>
      <c r="G860" s="24" t="str">
        <f>IFERROR(__xludf.DUMMYFUNCTION("""COMPUTED_VALUE"""),"Luke mayhew")</f>
        <v>Luke mayhew</v>
      </c>
      <c r="H860" s="24">
        <f>IFERROR(__xludf.DUMMYFUNCTION("""COMPUTED_VALUE"""),20.0)</f>
        <v>20</v>
      </c>
      <c r="I860" s="24"/>
    </row>
    <row r="861">
      <c r="A861" s="23">
        <f>IFERROR(__xludf.DUMMYFUNCTION("""COMPUTED_VALUE"""),44880.65559672454)</f>
        <v>44880.6556</v>
      </c>
      <c r="B861" s="24" t="str">
        <f>IFERROR(__xludf.DUMMYFUNCTION("""COMPUTED_VALUE"""),"Beverly Pinn")</f>
        <v>Beverly Pinn</v>
      </c>
      <c r="C861" s="24">
        <f>IFERROR(__xludf.DUMMYFUNCTION("""COMPUTED_VALUE"""),1049.0)</f>
        <v>1049</v>
      </c>
      <c r="D861" s="24" t="str">
        <f>IFERROR(__xludf.DUMMYFUNCTION("""COMPUTED_VALUE"""),"Dole")</f>
        <v>Dole</v>
      </c>
      <c r="F861" s="23">
        <f>IFERROR(__xludf.DUMMYFUNCTION("""COMPUTED_VALUE"""),44755.87938854167)</f>
        <v>44755.87939</v>
      </c>
      <c r="G861" s="24" t="str">
        <f>IFERROR(__xludf.DUMMYFUNCTION("""COMPUTED_VALUE"""),"Luke Mayhew Expired")</f>
        <v>Luke Mayhew Expired</v>
      </c>
      <c r="H861" s="24">
        <f>IFERROR(__xludf.DUMMYFUNCTION("""COMPUTED_VALUE"""),20.0)</f>
        <v>20</v>
      </c>
      <c r="I861" s="24"/>
    </row>
    <row r="862">
      <c r="A862" s="23">
        <f>IFERROR(__xludf.DUMMYFUNCTION("""COMPUTED_VALUE"""),44880.65603532407)</f>
        <v>44880.65604</v>
      </c>
      <c r="B862" s="24" t="str">
        <f>IFERROR(__xludf.DUMMYFUNCTION("""COMPUTED_VALUE"""),"Beverly Pinn")</f>
        <v>Beverly Pinn</v>
      </c>
      <c r="C862" s="24">
        <f>IFERROR(__xludf.DUMMYFUNCTION("""COMPUTED_VALUE"""),936.0)</f>
        <v>936</v>
      </c>
      <c r="D862" s="24" t="str">
        <f>IFERROR(__xludf.DUMMYFUNCTION("""COMPUTED_VALUE"""),"Dole")</f>
        <v>Dole</v>
      </c>
      <c r="F862" s="23">
        <f>IFERROR(__xludf.DUMMYFUNCTION("""COMPUTED_VALUE"""),44756.0)</f>
        <v>44756</v>
      </c>
      <c r="G862" s="24" t="str">
        <f>IFERROR(__xludf.DUMMYFUNCTION("""COMPUTED_VALUE"""),"Denise Brown")</f>
        <v>Denise Brown</v>
      </c>
      <c r="H862" s="24">
        <f>IFERROR(__xludf.DUMMYFUNCTION("""COMPUTED_VALUE"""),13.0)</f>
        <v>13</v>
      </c>
      <c r="I862" s="24"/>
    </row>
    <row r="863">
      <c r="A863" s="23">
        <f>IFERROR(__xludf.DUMMYFUNCTION("""COMPUTED_VALUE"""),44880.65667665509)</f>
        <v>44880.65668</v>
      </c>
      <c r="B863" s="24" t="str">
        <f>IFERROR(__xludf.DUMMYFUNCTION("""COMPUTED_VALUE"""),"Beverly Pinn")</f>
        <v>Beverly Pinn</v>
      </c>
      <c r="C863" s="24">
        <f>IFERROR(__xludf.DUMMYFUNCTION("""COMPUTED_VALUE"""),1130.0)</f>
        <v>1130</v>
      </c>
      <c r="D863" s="24" t="str">
        <f>IFERROR(__xludf.DUMMYFUNCTION("""COMPUTED_VALUE"""),"Dole")</f>
        <v>Dole</v>
      </c>
      <c r="F863" s="23">
        <f>IFERROR(__xludf.DUMMYFUNCTION("""COMPUTED_VALUE"""),44756.0)</f>
        <v>44756</v>
      </c>
      <c r="G863" s="24" t="str">
        <f>IFERROR(__xludf.DUMMYFUNCTION("""COMPUTED_VALUE"""),"Kimone Kocica")</f>
        <v>Kimone Kocica</v>
      </c>
      <c r="H863" s="24">
        <f>IFERROR(__xludf.DUMMYFUNCTION("""COMPUTED_VALUE"""),12.0)</f>
        <v>12</v>
      </c>
      <c r="I863" s="24"/>
    </row>
    <row r="864">
      <c r="A864" s="23">
        <f>IFERROR(__xludf.DUMMYFUNCTION("""COMPUTED_VALUE"""),44880.65713137732)</f>
        <v>44880.65713</v>
      </c>
      <c r="B864" s="24" t="str">
        <f>IFERROR(__xludf.DUMMYFUNCTION("""COMPUTED_VALUE"""),"Beverly Pinn")</f>
        <v>Beverly Pinn</v>
      </c>
      <c r="C864" s="24">
        <f>IFERROR(__xludf.DUMMYFUNCTION("""COMPUTED_VALUE"""),1051.0)</f>
        <v>1051</v>
      </c>
      <c r="D864" s="24" t="str">
        <f>IFERROR(__xludf.DUMMYFUNCTION("""COMPUTED_VALUE"""),"Dole ")</f>
        <v>Dole </v>
      </c>
      <c r="F864" s="23">
        <f>IFERROR(__xludf.DUMMYFUNCTION("""COMPUTED_VALUE"""),44756.0)</f>
        <v>44756</v>
      </c>
      <c r="G864" s="24" t="str">
        <f>IFERROR(__xludf.DUMMYFUNCTION("""COMPUTED_VALUE"""),"Hong Xue")</f>
        <v>Hong Xue</v>
      </c>
      <c r="H864" s="24">
        <f>IFERROR(__xludf.DUMMYFUNCTION("""COMPUTED_VALUE"""),22.0)</f>
        <v>22</v>
      </c>
      <c r="I864" s="24"/>
    </row>
    <row r="865">
      <c r="A865" s="23">
        <f>IFERROR(__xludf.DUMMYFUNCTION("""COMPUTED_VALUE"""),44880.65755511574)</f>
        <v>44880.65756</v>
      </c>
      <c r="B865" s="24" t="str">
        <f>IFERROR(__xludf.DUMMYFUNCTION("""COMPUTED_VALUE"""),"Beverly Pinn")</f>
        <v>Beverly Pinn</v>
      </c>
      <c r="C865" s="24">
        <f>IFERROR(__xludf.DUMMYFUNCTION("""COMPUTED_VALUE"""),846.0)</f>
        <v>846</v>
      </c>
      <c r="D865" s="24" t="str">
        <f>IFERROR(__xludf.DUMMYFUNCTION("""COMPUTED_VALUE"""),"Dole")</f>
        <v>Dole</v>
      </c>
      <c r="F865" s="23">
        <f>IFERROR(__xludf.DUMMYFUNCTION("""COMPUTED_VALUE"""),44756.0)</f>
        <v>44756</v>
      </c>
      <c r="G865" s="24" t="str">
        <f>IFERROR(__xludf.DUMMYFUNCTION("""COMPUTED_VALUE"""),"Hong Xue")</f>
        <v>Hong Xue</v>
      </c>
      <c r="H865" s="24">
        <f>IFERROR(__xludf.DUMMYFUNCTION("""COMPUTED_VALUE"""),16.0)</f>
        <v>16</v>
      </c>
      <c r="I865" s="24"/>
    </row>
    <row r="866">
      <c r="A866" s="23">
        <f>IFERROR(__xludf.DUMMYFUNCTION("""COMPUTED_VALUE"""),44880.657940254634)</f>
        <v>44880.65794</v>
      </c>
      <c r="B866" s="24" t="str">
        <f>IFERROR(__xludf.DUMMYFUNCTION("""COMPUTED_VALUE"""),"Beverly Pinn")</f>
        <v>Beverly Pinn</v>
      </c>
      <c r="C866" s="24">
        <f>IFERROR(__xludf.DUMMYFUNCTION("""COMPUTED_VALUE"""),1038.0)</f>
        <v>1038</v>
      </c>
      <c r="D866" s="24" t="str">
        <f>IFERROR(__xludf.DUMMYFUNCTION("""COMPUTED_VALUE"""),"Dole")</f>
        <v>Dole</v>
      </c>
      <c r="F866" s="23">
        <f>IFERROR(__xludf.DUMMYFUNCTION("""COMPUTED_VALUE"""),44756.0)</f>
        <v>44756</v>
      </c>
      <c r="G866" s="24" t="str">
        <f>IFERROR(__xludf.DUMMYFUNCTION("""COMPUTED_VALUE"""),"Monah Perry")</f>
        <v>Monah Perry</v>
      </c>
      <c r="H866" s="24">
        <f>IFERROR(__xludf.DUMMYFUNCTION("""COMPUTED_VALUE"""),20.0)</f>
        <v>20</v>
      </c>
      <c r="I866" s="24"/>
    </row>
    <row r="867">
      <c r="A867" s="23">
        <f>IFERROR(__xludf.DUMMYFUNCTION("""COMPUTED_VALUE"""),44880.658475624994)</f>
        <v>44880.65848</v>
      </c>
      <c r="B867" s="24" t="str">
        <f>IFERROR(__xludf.DUMMYFUNCTION("""COMPUTED_VALUE"""),"Beverly Pinn")</f>
        <v>Beverly Pinn</v>
      </c>
      <c r="C867" s="24">
        <f>IFERROR(__xludf.DUMMYFUNCTION("""COMPUTED_VALUE"""),1031.0)</f>
        <v>1031</v>
      </c>
      <c r="D867" s="24" t="str">
        <f>IFERROR(__xludf.DUMMYFUNCTION("""COMPUTED_VALUE"""),"Dole")</f>
        <v>Dole</v>
      </c>
      <c r="F867" s="23">
        <f>IFERROR(__xludf.DUMMYFUNCTION("""COMPUTED_VALUE"""),44756.0)</f>
        <v>44756</v>
      </c>
      <c r="G867" s="24" t="str">
        <f>IFERROR(__xludf.DUMMYFUNCTION("""COMPUTED_VALUE"""),"Monah Perry")</f>
        <v>Monah Perry</v>
      </c>
      <c r="H867" s="24">
        <f>IFERROR(__xludf.DUMMYFUNCTION("""COMPUTED_VALUE"""),19.0)</f>
        <v>19</v>
      </c>
      <c r="I867" s="24"/>
    </row>
    <row r="868">
      <c r="A868" s="23">
        <f>IFERROR(__xludf.DUMMYFUNCTION("""COMPUTED_VALUE"""),44880.65884956018)</f>
        <v>44880.65885</v>
      </c>
      <c r="B868" s="24" t="str">
        <f>IFERROR(__xludf.DUMMYFUNCTION("""COMPUTED_VALUE"""),"Beverly Pinn")</f>
        <v>Beverly Pinn</v>
      </c>
      <c r="C868" s="24">
        <f>IFERROR(__xludf.DUMMYFUNCTION("""COMPUTED_VALUE"""),1034.0)</f>
        <v>1034</v>
      </c>
      <c r="D868" s="24" t="str">
        <f>IFERROR(__xludf.DUMMYFUNCTION("""COMPUTED_VALUE"""),"Dole")</f>
        <v>Dole</v>
      </c>
      <c r="F868" s="23">
        <f>IFERROR(__xludf.DUMMYFUNCTION("""COMPUTED_VALUE"""),44756.0)</f>
        <v>44756</v>
      </c>
      <c r="G868" s="24" t="str">
        <f>IFERROR(__xludf.DUMMYFUNCTION("""COMPUTED_VALUE"""),"Ladaisha Thompson")</f>
        <v>Ladaisha Thompson</v>
      </c>
      <c r="H868" s="24">
        <f>IFERROR(__xludf.DUMMYFUNCTION("""COMPUTED_VALUE"""),19.0)</f>
        <v>19</v>
      </c>
      <c r="I868" s="24"/>
    </row>
    <row r="869">
      <c r="A869" s="23">
        <f>IFERROR(__xludf.DUMMYFUNCTION("""COMPUTED_VALUE"""),44880.65922121528)</f>
        <v>44880.65922</v>
      </c>
      <c r="B869" s="24" t="str">
        <f>IFERROR(__xludf.DUMMYFUNCTION("""COMPUTED_VALUE"""),"Beverly Pinn")</f>
        <v>Beverly Pinn</v>
      </c>
      <c r="C869" s="24">
        <f>IFERROR(__xludf.DUMMYFUNCTION("""COMPUTED_VALUE"""),1235.0)</f>
        <v>1235</v>
      </c>
      <c r="D869" s="24" t="str">
        <f>IFERROR(__xludf.DUMMYFUNCTION("""COMPUTED_VALUE"""),"Dole")</f>
        <v>Dole</v>
      </c>
      <c r="F869" s="23">
        <f>IFERROR(__xludf.DUMMYFUNCTION("""COMPUTED_VALUE"""),44756.0)</f>
        <v>44756</v>
      </c>
      <c r="G869" s="24" t="str">
        <f>IFERROR(__xludf.DUMMYFUNCTION("""COMPUTED_VALUE"""),"Aziza Frank")</f>
        <v>Aziza Frank</v>
      </c>
      <c r="H869" s="24">
        <f>IFERROR(__xludf.DUMMYFUNCTION("""COMPUTED_VALUE"""),20.0)</f>
        <v>20</v>
      </c>
      <c r="I869" s="24"/>
    </row>
    <row r="870">
      <c r="A870" s="23">
        <f>IFERROR(__xludf.DUMMYFUNCTION("""COMPUTED_VALUE"""),44880.659634814816)</f>
        <v>44880.65963</v>
      </c>
      <c r="B870" s="24" t="str">
        <f>IFERROR(__xludf.DUMMYFUNCTION("""COMPUTED_VALUE"""),"Beverly Pinn")</f>
        <v>Beverly Pinn</v>
      </c>
      <c r="C870" s="24">
        <f>IFERROR(__xludf.DUMMYFUNCTION("""COMPUTED_VALUE"""),943.0)</f>
        <v>943</v>
      </c>
      <c r="D870" s="24" t="str">
        <f>IFERROR(__xludf.DUMMYFUNCTION("""COMPUTED_VALUE"""),"Dole")</f>
        <v>Dole</v>
      </c>
      <c r="F870" s="23">
        <f>IFERROR(__xludf.DUMMYFUNCTION("""COMPUTED_VALUE"""),44756.0)</f>
        <v>44756</v>
      </c>
      <c r="G870" s="24" t="str">
        <f>IFERROR(__xludf.DUMMYFUNCTION("""COMPUTED_VALUE"""),"Aziza Frank")</f>
        <v>Aziza Frank</v>
      </c>
      <c r="H870" s="24">
        <f>IFERROR(__xludf.DUMMYFUNCTION("""COMPUTED_VALUE"""),2.0)</f>
        <v>2</v>
      </c>
      <c r="I870" s="24"/>
    </row>
    <row r="871">
      <c r="A871" s="23">
        <f>IFERROR(__xludf.DUMMYFUNCTION("""COMPUTED_VALUE"""),44880.664931643514)</f>
        <v>44880.66493</v>
      </c>
      <c r="B871" s="24" t="str">
        <f>IFERROR(__xludf.DUMMYFUNCTION("""COMPUTED_VALUE"""),"Beverly Pinn")</f>
        <v>Beverly Pinn</v>
      </c>
      <c r="C871" s="24">
        <f>IFERROR(__xludf.DUMMYFUNCTION("""COMPUTED_VALUE"""),1134.0)</f>
        <v>1134</v>
      </c>
      <c r="D871" s="24" t="str">
        <f>IFERROR(__xludf.DUMMYFUNCTION("""COMPUTED_VALUE"""),"Dole")</f>
        <v>Dole</v>
      </c>
      <c r="F871" s="23">
        <f>IFERROR(__xludf.DUMMYFUNCTION("""COMPUTED_VALUE"""),44756.0)</f>
        <v>44756</v>
      </c>
      <c r="G871" s="24" t="str">
        <f>IFERROR(__xludf.DUMMYFUNCTION("""COMPUTED_VALUE"""),"Aziza Frank (cat food)")</f>
        <v>Aziza Frank (cat food)</v>
      </c>
      <c r="H871" s="24">
        <f>IFERROR(__xludf.DUMMYFUNCTION("""COMPUTED_VALUE"""),16.0)</f>
        <v>16</v>
      </c>
      <c r="I871" s="24"/>
    </row>
    <row r="872">
      <c r="A872" s="23">
        <f>IFERROR(__xludf.DUMMYFUNCTION("""COMPUTED_VALUE"""),44880.66535909722)</f>
        <v>44880.66536</v>
      </c>
      <c r="B872" s="24" t="str">
        <f>IFERROR(__xludf.DUMMYFUNCTION("""COMPUTED_VALUE"""),"Beverly Pinn")</f>
        <v>Beverly Pinn</v>
      </c>
      <c r="C872" s="24">
        <f>IFERROR(__xludf.DUMMYFUNCTION("""COMPUTED_VALUE"""),1244.0)</f>
        <v>1244</v>
      </c>
      <c r="D872" s="24" t="str">
        <f>IFERROR(__xludf.DUMMYFUNCTION("""COMPUTED_VALUE"""),"Dole")</f>
        <v>Dole</v>
      </c>
      <c r="F872" s="23">
        <f>IFERROR(__xludf.DUMMYFUNCTION("""COMPUTED_VALUE"""),44756.0)</f>
        <v>44756</v>
      </c>
      <c r="G872" s="24" t="str">
        <f>IFERROR(__xludf.DUMMYFUNCTION("""COMPUTED_VALUE"""),"Seth Crawford")</f>
        <v>Seth Crawford</v>
      </c>
      <c r="H872" s="24">
        <f>IFERROR(__xludf.DUMMYFUNCTION("""COMPUTED_VALUE"""),20.0)</f>
        <v>20</v>
      </c>
      <c r="I872" s="24"/>
    </row>
    <row r="873">
      <c r="A873" s="23">
        <f>IFERROR(__xludf.DUMMYFUNCTION("""COMPUTED_VALUE"""),44880.66692613426)</f>
        <v>44880.66693</v>
      </c>
      <c r="B873" s="24" t="str">
        <f>IFERROR(__xludf.DUMMYFUNCTION("""COMPUTED_VALUE"""),"Beverly Pinn")</f>
        <v>Beverly Pinn</v>
      </c>
      <c r="C873" s="24">
        <f>IFERROR(__xludf.DUMMYFUNCTION("""COMPUTED_VALUE"""),1212.0)</f>
        <v>1212</v>
      </c>
      <c r="D873" s="24" t="str">
        <f>IFERROR(__xludf.DUMMYFUNCTION("""COMPUTED_VALUE"""),"Dole")</f>
        <v>Dole</v>
      </c>
      <c r="F873" s="23">
        <f>IFERROR(__xludf.DUMMYFUNCTION("""COMPUTED_VALUE"""),44756.0)</f>
        <v>44756</v>
      </c>
      <c r="G873" s="24" t="str">
        <f>IFERROR(__xludf.DUMMYFUNCTION("""COMPUTED_VALUE"""),"Seth Crawford")</f>
        <v>Seth Crawford</v>
      </c>
      <c r="H873" s="24">
        <f>IFERROR(__xludf.DUMMYFUNCTION("""COMPUTED_VALUE"""),2.0)</f>
        <v>2</v>
      </c>
      <c r="I873" s="24"/>
    </row>
    <row r="874">
      <c r="A874" s="23">
        <f>IFERROR(__xludf.DUMMYFUNCTION("""COMPUTED_VALUE"""),44880.669283842595)</f>
        <v>44880.66928</v>
      </c>
      <c r="B874" s="24" t="str">
        <f>IFERROR(__xludf.DUMMYFUNCTION("""COMPUTED_VALUE"""),"Beverly Pinn")</f>
        <v>Beverly Pinn</v>
      </c>
      <c r="C874" s="24">
        <f>IFERROR(__xludf.DUMMYFUNCTION("""COMPUTED_VALUE"""),964.0)</f>
        <v>964</v>
      </c>
      <c r="D874" s="24" t="str">
        <f>IFERROR(__xludf.DUMMYFUNCTION("""COMPUTED_VALUE"""),"Dole")</f>
        <v>Dole</v>
      </c>
      <c r="F874" s="23">
        <f>IFERROR(__xludf.DUMMYFUNCTION("""COMPUTED_VALUE"""),44756.0)</f>
        <v>44756</v>
      </c>
      <c r="G874" s="24" t="str">
        <f>IFERROR(__xludf.DUMMYFUNCTION("""COMPUTED_VALUE"""),"Sheneil Black")</f>
        <v>Sheneil Black</v>
      </c>
      <c r="H874" s="24">
        <f>IFERROR(__xludf.DUMMYFUNCTION("""COMPUTED_VALUE"""),20.0)</f>
        <v>20</v>
      </c>
      <c r="I874" s="24"/>
    </row>
    <row r="875">
      <c r="A875" s="23">
        <f>IFERROR(__xludf.DUMMYFUNCTION("""COMPUTED_VALUE"""),44880.67397581019)</f>
        <v>44880.67398</v>
      </c>
      <c r="B875" s="24" t="str">
        <f>IFERROR(__xludf.DUMMYFUNCTION("""COMPUTED_VALUE"""),"Beverly Pinn")</f>
        <v>Beverly Pinn</v>
      </c>
      <c r="C875" s="24">
        <f>IFERROR(__xludf.DUMMYFUNCTION("""COMPUTED_VALUE"""),1234.0)</f>
        <v>1234</v>
      </c>
      <c r="D875" s="24" t="str">
        <f>IFERROR(__xludf.DUMMYFUNCTION("""COMPUTED_VALUE"""),"Dole")</f>
        <v>Dole</v>
      </c>
      <c r="F875" s="23">
        <f>IFERROR(__xludf.DUMMYFUNCTION("""COMPUTED_VALUE"""),44756.0)</f>
        <v>44756</v>
      </c>
      <c r="G875" s="24" t="str">
        <f>IFERROR(__xludf.DUMMYFUNCTION("""COMPUTED_VALUE"""),"Nathaniel Mcclean")</f>
        <v>Nathaniel Mcclean</v>
      </c>
      <c r="H875" s="24">
        <f>IFERROR(__xludf.DUMMYFUNCTION("""COMPUTED_VALUE"""),18.0)</f>
        <v>18</v>
      </c>
      <c r="I875" s="24"/>
    </row>
    <row r="876">
      <c r="A876" s="23">
        <f>IFERROR(__xludf.DUMMYFUNCTION("""COMPUTED_VALUE"""),44880.67596835648)</f>
        <v>44880.67597</v>
      </c>
      <c r="B876" s="24" t="str">
        <f>IFERROR(__xludf.DUMMYFUNCTION("""COMPUTED_VALUE"""),"Beverly Pinn")</f>
        <v>Beverly Pinn</v>
      </c>
      <c r="C876" s="24">
        <f>IFERROR(__xludf.DUMMYFUNCTION("""COMPUTED_VALUE"""),328.0)</f>
        <v>328</v>
      </c>
      <c r="D876" s="24" t="str">
        <f>IFERROR(__xludf.DUMMYFUNCTION("""COMPUTED_VALUE"""),"First Fruits Farm")</f>
        <v>First Fruits Farm</v>
      </c>
      <c r="F876" s="23">
        <f>IFERROR(__xludf.DUMMYFUNCTION("""COMPUTED_VALUE"""),44756.0)</f>
        <v>44756</v>
      </c>
      <c r="G876" s="24" t="str">
        <f>IFERROR(__xludf.DUMMYFUNCTION("""COMPUTED_VALUE"""),"Nathaniel Mcclean")</f>
        <v>Nathaniel Mcclean</v>
      </c>
      <c r="H876" s="24">
        <f>IFERROR(__xludf.DUMMYFUNCTION("""COMPUTED_VALUE"""),11.0)</f>
        <v>11</v>
      </c>
      <c r="I876" s="24"/>
    </row>
    <row r="877">
      <c r="A877" s="23">
        <f>IFERROR(__xludf.DUMMYFUNCTION("""COMPUTED_VALUE"""),44880.67943957176)</f>
        <v>44880.67944</v>
      </c>
      <c r="B877" s="24" t="str">
        <f>IFERROR(__xludf.DUMMYFUNCTION("""COMPUTED_VALUE"""),"Claire")</f>
        <v>Claire</v>
      </c>
      <c r="C877" s="24">
        <f>IFERROR(__xludf.DUMMYFUNCTION("""COMPUTED_VALUE"""),962.0)</f>
        <v>962</v>
      </c>
      <c r="D877" s="24" t="str">
        <f>IFERROR(__xludf.DUMMYFUNCTION("""COMPUTED_VALUE"""),"Dole")</f>
        <v>Dole</v>
      </c>
      <c r="F877" s="23">
        <f>IFERROR(__xludf.DUMMYFUNCTION("""COMPUTED_VALUE"""),44756.60052291667)</f>
        <v>44756.60052</v>
      </c>
      <c r="G877" s="24" t="str">
        <f>IFERROR(__xludf.DUMMYFUNCTION("""COMPUTED_VALUE"""),"JC")</f>
        <v>JC</v>
      </c>
      <c r="H877" s="24">
        <f>IFERROR(__xludf.DUMMYFUNCTION("""COMPUTED_VALUE"""),10.0)</f>
        <v>10</v>
      </c>
      <c r="I877" s="24" t="str">
        <f>IFERROR(__xludf.DUMMYFUNCTION("""COMPUTED_VALUE"""),"UTZ")</f>
        <v>UTZ</v>
      </c>
    </row>
    <row r="878">
      <c r="A878" s="23">
        <f>IFERROR(__xludf.DUMMYFUNCTION("""COMPUTED_VALUE"""),44880.68087673611)</f>
        <v>44880.68088</v>
      </c>
      <c r="B878" s="24" t="str">
        <f>IFERROR(__xludf.DUMMYFUNCTION("""COMPUTED_VALUE"""),"Claire")</f>
        <v>Claire</v>
      </c>
      <c r="C878" s="24">
        <f>IFERROR(__xludf.DUMMYFUNCTION("""COMPUTED_VALUE"""),1026.0)</f>
        <v>1026</v>
      </c>
      <c r="D878" s="24" t="str">
        <f>IFERROR(__xludf.DUMMYFUNCTION("""COMPUTED_VALUE"""),"Dole")</f>
        <v>Dole</v>
      </c>
      <c r="F878" s="23">
        <f>IFERROR(__xludf.DUMMYFUNCTION("""COMPUTED_VALUE"""),44756.71221392361)</f>
        <v>44756.71221</v>
      </c>
      <c r="G878" s="24" t="str">
        <f>IFERROR(__xludf.DUMMYFUNCTION("""COMPUTED_VALUE"""),"Deborah Davis")</f>
        <v>Deborah Davis</v>
      </c>
      <c r="H878" s="24">
        <f>IFERROR(__xludf.DUMMYFUNCTION("""COMPUTED_VALUE"""),16.0)</f>
        <v>16</v>
      </c>
      <c r="I878" s="24"/>
    </row>
    <row r="879">
      <c r="A879" s="23">
        <f>IFERROR(__xludf.DUMMYFUNCTION("""COMPUTED_VALUE"""),44880.68106979166)</f>
        <v>44880.68107</v>
      </c>
      <c r="B879" s="24" t="str">
        <f>IFERROR(__xludf.DUMMYFUNCTION("""COMPUTED_VALUE"""),"Claire")</f>
        <v>Claire</v>
      </c>
      <c r="C879" s="24">
        <f>IFERROR(__xludf.DUMMYFUNCTION("""COMPUTED_VALUE"""),1034.0)</f>
        <v>1034</v>
      </c>
      <c r="D879" s="24" t="str">
        <f>IFERROR(__xludf.DUMMYFUNCTION("""COMPUTED_VALUE"""),"Dole")</f>
        <v>Dole</v>
      </c>
      <c r="F879" s="23">
        <f>IFERROR(__xludf.DUMMYFUNCTION("""COMPUTED_VALUE"""),44756.714086817134)</f>
        <v>44756.71409</v>
      </c>
      <c r="G879" s="24" t="str">
        <f>IFERROR(__xludf.DUMMYFUNCTION("""COMPUTED_VALUE"""),"Norma Kriger")</f>
        <v>Norma Kriger</v>
      </c>
      <c r="H879" s="24">
        <f>IFERROR(__xludf.DUMMYFUNCTION("""COMPUTED_VALUE"""),9.0)</f>
        <v>9</v>
      </c>
      <c r="I879" s="24"/>
    </row>
    <row r="880">
      <c r="A880" s="23">
        <f>IFERROR(__xludf.DUMMYFUNCTION("""COMPUTED_VALUE"""),44880.68579791667)</f>
        <v>44880.6858</v>
      </c>
      <c r="B880" s="24" t="str">
        <f>IFERROR(__xludf.DUMMYFUNCTION("""COMPUTED_VALUE"""),"Claire")</f>
        <v>Claire</v>
      </c>
      <c r="C880" s="24">
        <f>IFERROR(__xludf.DUMMYFUNCTION("""COMPUTED_VALUE"""),998.0)</f>
        <v>998</v>
      </c>
      <c r="D880" s="24" t="str">
        <f>IFERROR(__xludf.DUMMYFUNCTION("""COMPUTED_VALUE"""),"Dole")</f>
        <v>Dole</v>
      </c>
      <c r="F880" s="23">
        <f>IFERROR(__xludf.DUMMYFUNCTION("""COMPUTED_VALUE"""),44756.72106111111)</f>
        <v>44756.72106</v>
      </c>
      <c r="G880" s="24" t="str">
        <f>IFERROR(__xludf.DUMMYFUNCTION("""COMPUTED_VALUE"""),"Jean")</f>
        <v>Jean</v>
      </c>
      <c r="H880" s="24">
        <f>IFERROR(__xludf.DUMMYFUNCTION("""COMPUTED_VALUE"""),20.0)</f>
        <v>20</v>
      </c>
      <c r="I880" s="24"/>
    </row>
    <row r="881">
      <c r="A881" s="23">
        <f>IFERROR(__xludf.DUMMYFUNCTION("""COMPUTED_VALUE"""),44880.686367291666)</f>
        <v>44880.68637</v>
      </c>
      <c r="B881" s="24" t="str">
        <f>IFERROR(__xludf.DUMMYFUNCTION("""COMPUTED_VALUE"""),"Claire")</f>
        <v>Claire</v>
      </c>
      <c r="C881" s="24">
        <f>IFERROR(__xludf.DUMMYFUNCTION("""COMPUTED_VALUE"""),1163.0)</f>
        <v>1163</v>
      </c>
      <c r="D881" s="24" t="str">
        <f>IFERROR(__xludf.DUMMYFUNCTION("""COMPUTED_VALUE"""),"Dole")</f>
        <v>Dole</v>
      </c>
      <c r="F881" s="23">
        <f>IFERROR(__xludf.DUMMYFUNCTION("""COMPUTED_VALUE"""),44756.721214467594)</f>
        <v>44756.72121</v>
      </c>
      <c r="G881" s="24" t="str">
        <f>IFERROR(__xludf.DUMMYFUNCTION("""COMPUTED_VALUE"""),"Jean")</f>
        <v>Jean</v>
      </c>
      <c r="H881" s="24">
        <f>IFERROR(__xludf.DUMMYFUNCTION("""COMPUTED_VALUE"""),5.0)</f>
        <v>5</v>
      </c>
      <c r="I881" s="24"/>
    </row>
    <row r="882">
      <c r="A882" s="23">
        <f>IFERROR(__xludf.DUMMYFUNCTION("""COMPUTED_VALUE"""),44880.68836009259)</f>
        <v>44880.68836</v>
      </c>
      <c r="B882" s="24" t="str">
        <f>IFERROR(__xludf.DUMMYFUNCTION("""COMPUTED_VALUE"""),"Claire")</f>
        <v>Claire</v>
      </c>
      <c r="C882" s="24">
        <f>IFERROR(__xludf.DUMMYFUNCTION("""COMPUTED_VALUE"""),1224.0)</f>
        <v>1224</v>
      </c>
      <c r="D882" s="24" t="str">
        <f>IFERROR(__xludf.DUMMYFUNCTION("""COMPUTED_VALUE"""),"Dole")</f>
        <v>Dole</v>
      </c>
      <c r="F882" s="23">
        <f>IFERROR(__xludf.DUMMYFUNCTION("""COMPUTED_VALUE"""),44756.79770251157)</f>
        <v>44756.7977</v>
      </c>
      <c r="G882" s="24" t="str">
        <f>IFERROR(__xludf.DUMMYFUNCTION("""COMPUTED_VALUE"""),"Claire")</f>
        <v>Claire</v>
      </c>
      <c r="H882" s="24">
        <f>IFERROR(__xludf.DUMMYFUNCTION("""COMPUTED_VALUE"""),179.0)</f>
        <v>179</v>
      </c>
      <c r="I882" s="24" t="str">
        <f>IFERROR(__xludf.DUMMYFUNCTION("""COMPUTED_VALUE"""),"Paper goods")</f>
        <v>Paper goods</v>
      </c>
    </row>
    <row r="883">
      <c r="A883" s="23">
        <f>IFERROR(__xludf.DUMMYFUNCTION("""COMPUTED_VALUE"""),44880.69073266204)</f>
        <v>44880.69073</v>
      </c>
      <c r="B883" s="24" t="str">
        <f>IFERROR(__xludf.DUMMYFUNCTION("""COMPUTED_VALUE"""),"Claire")</f>
        <v>Claire</v>
      </c>
      <c r="C883" s="24">
        <f>IFERROR(__xludf.DUMMYFUNCTION("""COMPUTED_VALUE"""),1170.0)</f>
        <v>1170</v>
      </c>
      <c r="D883" s="24" t="str">
        <f>IFERROR(__xludf.DUMMYFUNCTION("""COMPUTED_VALUE"""),"Dole")</f>
        <v>Dole</v>
      </c>
      <c r="F883" s="23">
        <f>IFERROR(__xludf.DUMMYFUNCTION("""COMPUTED_VALUE"""),44756.798221944446)</f>
        <v>44756.79822</v>
      </c>
      <c r="G883" s="24" t="str">
        <f>IFERROR(__xludf.DUMMYFUNCTION("""COMPUTED_VALUE"""),"Claire")</f>
        <v>Claire</v>
      </c>
      <c r="H883" s="24">
        <f>IFERROR(__xludf.DUMMYFUNCTION("""COMPUTED_VALUE"""),284.0)</f>
        <v>284</v>
      </c>
      <c r="I883" s="24" t="str">
        <f>IFERROR(__xludf.DUMMYFUNCTION("""COMPUTED_VALUE"""),"Cleaning")</f>
        <v>Cleaning</v>
      </c>
    </row>
    <row r="884">
      <c r="A884" s="23">
        <f>IFERROR(__xludf.DUMMYFUNCTION("""COMPUTED_VALUE"""),44880.69490530093)</f>
        <v>44880.69491</v>
      </c>
      <c r="B884" s="24" t="str">
        <f>IFERROR(__xludf.DUMMYFUNCTION("""COMPUTED_VALUE"""),"Claire")</f>
        <v>Claire</v>
      </c>
      <c r="C884" s="24">
        <f>IFERROR(__xludf.DUMMYFUNCTION("""COMPUTED_VALUE"""),1124.0)</f>
        <v>1124</v>
      </c>
      <c r="D884" s="24" t="str">
        <f>IFERROR(__xludf.DUMMYFUNCTION("""COMPUTED_VALUE"""),"Dole")</f>
        <v>Dole</v>
      </c>
      <c r="F884" s="23">
        <f>IFERROR(__xludf.DUMMYFUNCTION("""COMPUTED_VALUE"""),44756.799140682866)</f>
        <v>44756.79914</v>
      </c>
      <c r="G884" s="24" t="str">
        <f>IFERROR(__xludf.DUMMYFUNCTION("""COMPUTED_VALUE"""),"Claire")</f>
        <v>Claire</v>
      </c>
      <c r="H884" s="24">
        <f>IFERROR(__xludf.DUMMYFUNCTION("""COMPUTED_VALUE"""),663.0)</f>
        <v>663</v>
      </c>
      <c r="I884" s="24" t="str">
        <f>IFERROR(__xludf.DUMMYFUNCTION("""COMPUTED_VALUE"""),"Snacks")</f>
        <v>Snacks</v>
      </c>
    </row>
    <row r="885">
      <c r="A885" s="23">
        <f>IFERROR(__xludf.DUMMYFUNCTION("""COMPUTED_VALUE"""),44880.6990805787)</f>
        <v>44880.69908</v>
      </c>
      <c r="B885" s="24" t="str">
        <f>IFERROR(__xludf.DUMMYFUNCTION("""COMPUTED_VALUE"""),"Beverly Pinn")</f>
        <v>Beverly Pinn</v>
      </c>
      <c r="C885" s="24">
        <f>IFERROR(__xludf.DUMMYFUNCTION("""COMPUTED_VALUE"""),578.0)</f>
        <v>578</v>
      </c>
      <c r="D885" s="24" t="str">
        <f>IFERROR(__xludf.DUMMYFUNCTION("""COMPUTED_VALUE"""),"First Fruits Farm")</f>
        <v>First Fruits Farm</v>
      </c>
      <c r="F885" s="23">
        <f>IFERROR(__xludf.DUMMYFUNCTION("""COMPUTED_VALUE"""),44756.79958525463)</f>
        <v>44756.79959</v>
      </c>
      <c r="G885" s="24" t="str">
        <f>IFERROR(__xludf.DUMMYFUNCTION("""COMPUTED_VALUE"""),"Claire")</f>
        <v>Claire</v>
      </c>
      <c r="H885" s="24">
        <f>IFERROR(__xludf.DUMMYFUNCTION("""COMPUTED_VALUE"""),339.0)</f>
        <v>339</v>
      </c>
      <c r="I885" s="24" t="str">
        <f>IFERROR(__xludf.DUMMYFUNCTION("""COMPUTED_VALUE"""),"Cleaning")</f>
        <v>Cleaning</v>
      </c>
    </row>
    <row r="886">
      <c r="A886" s="23">
        <f>IFERROR(__xludf.DUMMYFUNCTION("""COMPUTED_VALUE"""),44883.5658666088)</f>
        <v>44883.56587</v>
      </c>
      <c r="B886" s="24" t="str">
        <f>IFERROR(__xludf.DUMMYFUNCTION("""COMPUTED_VALUE"""),"Claire")</f>
        <v>Claire</v>
      </c>
      <c r="C886" s="24">
        <f>IFERROR(__xludf.DUMMYFUNCTION("""COMPUTED_VALUE"""),1509.0)</f>
        <v>1509</v>
      </c>
      <c r="D886" s="24" t="str">
        <f>IFERROR(__xludf.DUMMYFUNCTION("""COMPUTED_VALUE"""),"Whitebox")</f>
        <v>Whitebox</v>
      </c>
      <c r="F886" s="23">
        <f>IFERROR(__xludf.DUMMYFUNCTION("""COMPUTED_VALUE"""),44756.86743548611)</f>
        <v>44756.86744</v>
      </c>
      <c r="G886" s="24" t="str">
        <f>IFERROR(__xludf.DUMMYFUNCTION("""COMPUTED_VALUE"""),"Sheneil")</f>
        <v>Sheneil</v>
      </c>
      <c r="H886" s="24">
        <f>IFERROR(__xludf.DUMMYFUNCTION("""COMPUTED_VALUE"""),20.0)</f>
        <v>20</v>
      </c>
      <c r="I886" s="24"/>
    </row>
    <row r="887">
      <c r="A887" s="23">
        <f>IFERROR(__xludf.DUMMYFUNCTION("""COMPUTED_VALUE"""),44883.56612917824)</f>
        <v>44883.56613</v>
      </c>
      <c r="B887" s="24" t="str">
        <f>IFERROR(__xludf.DUMMYFUNCTION("""COMPUTED_VALUE"""),"Claire")</f>
        <v>Claire</v>
      </c>
      <c r="C887" s="24">
        <f>IFERROR(__xludf.DUMMYFUNCTION("""COMPUTED_VALUE"""),1507.0)</f>
        <v>1507</v>
      </c>
      <c r="D887" s="24" t="str">
        <f>IFERROR(__xludf.DUMMYFUNCTION("""COMPUTED_VALUE"""),"Whitebox")</f>
        <v>Whitebox</v>
      </c>
      <c r="F887" s="23">
        <f>IFERROR(__xludf.DUMMYFUNCTION("""COMPUTED_VALUE"""),44756.87330756945)</f>
        <v>44756.87331</v>
      </c>
      <c r="G887" s="24" t="str">
        <f>IFERROR(__xludf.DUMMYFUNCTION("""COMPUTED_VALUE"""),"Shaneen")</f>
        <v>Shaneen</v>
      </c>
      <c r="H887" s="24">
        <f>IFERROR(__xludf.DUMMYFUNCTION("""COMPUTED_VALUE"""),25.0)</f>
        <v>25</v>
      </c>
      <c r="I887" s="24"/>
    </row>
    <row r="888">
      <c r="A888" s="23">
        <f>IFERROR(__xludf.DUMMYFUNCTION("""COMPUTED_VALUE"""),44883.56633706018)</f>
        <v>44883.56634</v>
      </c>
      <c r="B888" s="24" t="str">
        <f>IFERROR(__xludf.DUMMYFUNCTION("""COMPUTED_VALUE"""),"Claire")</f>
        <v>Claire</v>
      </c>
      <c r="C888" s="24">
        <f>IFERROR(__xludf.DUMMYFUNCTION("""COMPUTED_VALUE"""),1505.0)</f>
        <v>1505</v>
      </c>
      <c r="D888" s="24" t="str">
        <f>IFERROR(__xludf.DUMMYFUNCTION("""COMPUTED_VALUE"""),"Whitebox")</f>
        <v>Whitebox</v>
      </c>
      <c r="F888" s="23">
        <f>IFERROR(__xludf.DUMMYFUNCTION("""COMPUTED_VALUE"""),44756.87360613426)</f>
        <v>44756.87361</v>
      </c>
      <c r="G888" s="24" t="str">
        <f>IFERROR(__xludf.DUMMYFUNCTION("""COMPUTED_VALUE"""),"Shaneen - Expired Food")</f>
        <v>Shaneen - Expired Food</v>
      </c>
      <c r="H888" s="24">
        <f>IFERROR(__xludf.DUMMYFUNCTION("""COMPUTED_VALUE"""),35.0)</f>
        <v>35</v>
      </c>
      <c r="I888" s="24"/>
    </row>
    <row r="889">
      <c r="A889" s="23">
        <f>IFERROR(__xludf.DUMMYFUNCTION("""COMPUTED_VALUE"""),44883.56653780092)</f>
        <v>44883.56654</v>
      </c>
      <c r="B889" s="24" t="str">
        <f>IFERROR(__xludf.DUMMYFUNCTION("""COMPUTED_VALUE"""),"Claire")</f>
        <v>Claire</v>
      </c>
      <c r="C889" s="24">
        <f>IFERROR(__xludf.DUMMYFUNCTION("""COMPUTED_VALUE"""),1509.0)</f>
        <v>1509</v>
      </c>
      <c r="D889" s="24" t="str">
        <f>IFERROR(__xludf.DUMMYFUNCTION("""COMPUTED_VALUE"""),"Whitebox")</f>
        <v>Whitebox</v>
      </c>
      <c r="F889" s="23">
        <f>IFERROR(__xludf.DUMMYFUNCTION("""COMPUTED_VALUE"""),44757.0)</f>
        <v>44757</v>
      </c>
      <c r="G889" s="24" t="str">
        <f>IFERROR(__xludf.DUMMYFUNCTION("""COMPUTED_VALUE"""),"Yulia")</f>
        <v>Yulia</v>
      </c>
      <c r="H889" s="24">
        <f>IFERROR(__xludf.DUMMYFUNCTION("""COMPUTED_VALUE"""),13.0)</f>
        <v>13</v>
      </c>
      <c r="I889" s="24"/>
    </row>
    <row r="890">
      <c r="A890" s="23">
        <f>IFERROR(__xludf.DUMMYFUNCTION("""COMPUTED_VALUE"""),44883.566734328706)</f>
        <v>44883.56673</v>
      </c>
      <c r="B890" s="24" t="str">
        <f>IFERROR(__xludf.DUMMYFUNCTION("""COMPUTED_VALUE"""),"Claire")</f>
        <v>Claire</v>
      </c>
      <c r="C890" s="24">
        <f>IFERROR(__xludf.DUMMYFUNCTION("""COMPUTED_VALUE"""),1512.0)</f>
        <v>1512</v>
      </c>
      <c r="D890" s="24" t="str">
        <f>IFERROR(__xludf.DUMMYFUNCTION("""COMPUTED_VALUE"""),"Whitebox")</f>
        <v>Whitebox</v>
      </c>
      <c r="F890" s="23">
        <f>IFERROR(__xludf.DUMMYFUNCTION("""COMPUTED_VALUE"""),44757.70635310185)</f>
        <v>44757.70635</v>
      </c>
      <c r="G890" s="24" t="str">
        <f>IFERROR(__xludf.DUMMYFUNCTION("""COMPUTED_VALUE"""),"Sunita Pathik")</f>
        <v>Sunita Pathik</v>
      </c>
      <c r="H890" s="24">
        <f>IFERROR(__xludf.DUMMYFUNCTION("""COMPUTED_VALUE"""),13.0)</f>
        <v>13</v>
      </c>
      <c r="I890" s="24"/>
    </row>
    <row r="891">
      <c r="A891" s="23">
        <f>IFERROR(__xludf.DUMMYFUNCTION("""COMPUTED_VALUE"""),44883.56694547454)</f>
        <v>44883.56695</v>
      </c>
      <c r="B891" s="24" t="str">
        <f>IFERROR(__xludf.DUMMYFUNCTION("""COMPUTED_VALUE"""),"Claire")</f>
        <v>Claire</v>
      </c>
      <c r="C891" s="24">
        <f>IFERROR(__xludf.DUMMYFUNCTION("""COMPUTED_VALUE"""),1511.0)</f>
        <v>1511</v>
      </c>
      <c r="D891" s="24" t="str">
        <f>IFERROR(__xludf.DUMMYFUNCTION("""COMPUTED_VALUE"""),"Whitebox")</f>
        <v>Whitebox</v>
      </c>
      <c r="F891" s="23">
        <f>IFERROR(__xludf.DUMMYFUNCTION("""COMPUTED_VALUE"""),44757.70773194444)</f>
        <v>44757.70773</v>
      </c>
      <c r="G891" s="24" t="str">
        <f>IFERROR(__xludf.DUMMYFUNCTION("""COMPUTED_VALUE"""),"Sunita Pathik")</f>
        <v>Sunita Pathik</v>
      </c>
      <c r="H891" s="24">
        <f>IFERROR(__xludf.DUMMYFUNCTION("""COMPUTED_VALUE"""),100.0)</f>
        <v>100</v>
      </c>
      <c r="I891" s="24" t="str">
        <f>IFERROR(__xludf.DUMMYFUNCTION("""COMPUTED_VALUE"""),"Assorted option")</f>
        <v>Assorted option</v>
      </c>
    </row>
    <row r="892">
      <c r="A892" s="23">
        <f>IFERROR(__xludf.DUMMYFUNCTION("""COMPUTED_VALUE"""),44883.567182280094)</f>
        <v>44883.56718</v>
      </c>
      <c r="B892" s="24" t="str">
        <f>IFERROR(__xludf.DUMMYFUNCTION("""COMPUTED_VALUE"""),"Claire")</f>
        <v>Claire</v>
      </c>
      <c r="C892" s="24">
        <f>IFERROR(__xludf.DUMMYFUNCTION("""COMPUTED_VALUE"""),1514.0)</f>
        <v>1514</v>
      </c>
      <c r="D892" s="24" t="str">
        <f>IFERROR(__xludf.DUMMYFUNCTION("""COMPUTED_VALUE"""),"Whitebox")</f>
        <v>Whitebox</v>
      </c>
      <c r="F892" s="23">
        <f>IFERROR(__xludf.DUMMYFUNCTION("""COMPUTED_VALUE"""),44757.711343414354)</f>
        <v>44757.71134</v>
      </c>
      <c r="G892" s="24" t="str">
        <f>IFERROR(__xludf.DUMMYFUNCTION("""COMPUTED_VALUE"""),"Claire")</f>
        <v>Claire</v>
      </c>
      <c r="H892" s="24">
        <f>IFERROR(__xludf.DUMMYFUNCTION("""COMPUTED_VALUE"""),1457.0)</f>
        <v>1457</v>
      </c>
      <c r="I892" s="24" t="str">
        <f>IFERROR(__xludf.DUMMYFUNCTION("""COMPUTED_VALUE"""),"Walmart")</f>
        <v>Walmart</v>
      </c>
    </row>
    <row r="893">
      <c r="A893" s="23">
        <f>IFERROR(__xludf.DUMMYFUNCTION("""COMPUTED_VALUE"""),44883.56737119213)</f>
        <v>44883.56737</v>
      </c>
      <c r="B893" s="24" t="str">
        <f>IFERROR(__xludf.DUMMYFUNCTION("""COMPUTED_VALUE"""),"Claire")</f>
        <v>Claire</v>
      </c>
      <c r="C893" s="24">
        <f>IFERROR(__xludf.DUMMYFUNCTION("""COMPUTED_VALUE"""),1509.0)</f>
        <v>1509</v>
      </c>
      <c r="D893" s="24" t="str">
        <f>IFERROR(__xludf.DUMMYFUNCTION("""COMPUTED_VALUE"""),"Whitebox")</f>
        <v>Whitebox</v>
      </c>
      <c r="F893" s="23">
        <f>IFERROR(__xludf.DUMMYFUNCTION("""COMPUTED_VALUE"""),44757.71485751157)</f>
        <v>44757.71486</v>
      </c>
      <c r="G893" s="24" t="str">
        <f>IFERROR(__xludf.DUMMYFUNCTION("""COMPUTED_VALUE"""),"Claire")</f>
        <v>Claire</v>
      </c>
      <c r="H893" s="24">
        <f>IFERROR(__xludf.DUMMYFUNCTION("""COMPUTED_VALUE"""),209.0)</f>
        <v>209</v>
      </c>
      <c r="I893" s="24" t="str">
        <f>IFERROR(__xludf.DUMMYFUNCTION("""COMPUTED_VALUE"""),"Paper products")</f>
        <v>Paper products</v>
      </c>
    </row>
    <row r="894">
      <c r="A894" s="23">
        <f>IFERROR(__xludf.DUMMYFUNCTION("""COMPUTED_VALUE"""),44883.567543680554)</f>
        <v>44883.56754</v>
      </c>
      <c r="B894" s="24" t="str">
        <f>IFERROR(__xludf.DUMMYFUNCTION("""COMPUTED_VALUE"""),"Claire")</f>
        <v>Claire</v>
      </c>
      <c r="C894" s="24">
        <f>IFERROR(__xludf.DUMMYFUNCTION("""COMPUTED_VALUE"""),1506.0)</f>
        <v>1506</v>
      </c>
      <c r="D894" s="24" t="str">
        <f>IFERROR(__xludf.DUMMYFUNCTION("""COMPUTED_VALUE"""),"Whitebox")</f>
        <v>Whitebox</v>
      </c>
      <c r="F894" s="23">
        <f>IFERROR(__xludf.DUMMYFUNCTION("""COMPUTED_VALUE"""),44757.71517969907)</f>
        <v>44757.71518</v>
      </c>
      <c r="G894" s="24" t="str">
        <f>IFERROR(__xludf.DUMMYFUNCTION("""COMPUTED_VALUE"""),"Claire")</f>
        <v>Claire</v>
      </c>
      <c r="H894" s="24">
        <f>IFERROR(__xludf.DUMMYFUNCTION("""COMPUTED_VALUE"""),184.0)</f>
        <v>184</v>
      </c>
      <c r="I894" s="24" t="str">
        <f>IFERROR(__xludf.DUMMYFUNCTION("""COMPUTED_VALUE"""),"Paper products ")</f>
        <v>Paper products </v>
      </c>
    </row>
    <row r="895">
      <c r="A895" s="23">
        <f>IFERROR(__xludf.DUMMYFUNCTION("""COMPUTED_VALUE"""),44883.63866965278)</f>
        <v>44883.63867</v>
      </c>
      <c r="B895" s="24" t="str">
        <f>IFERROR(__xludf.DUMMYFUNCTION("""COMPUTED_VALUE"""),"Juanita Chandler ")</f>
        <v>Juanita Chandler </v>
      </c>
      <c r="C895" s="24">
        <f>IFERROR(__xludf.DUMMYFUNCTION("""COMPUTED_VALUE"""),225.0)</f>
        <v>225</v>
      </c>
      <c r="D895" s="24" t="str">
        <f>IFERROR(__xludf.DUMMYFUNCTION("""COMPUTED_VALUE"""),"YWAM Greg")</f>
        <v>YWAM Greg</v>
      </c>
      <c r="F895" s="23">
        <f>IFERROR(__xludf.DUMMYFUNCTION("""COMPUTED_VALUE"""),44757.71567898148)</f>
        <v>44757.71568</v>
      </c>
      <c r="G895" s="24" t="str">
        <f>IFERROR(__xludf.DUMMYFUNCTION("""COMPUTED_VALUE"""),"Claire")</f>
        <v>Claire</v>
      </c>
      <c r="H895" s="24">
        <f>IFERROR(__xludf.DUMMYFUNCTION("""COMPUTED_VALUE"""),97.0)</f>
        <v>97</v>
      </c>
      <c r="I895" s="24" t="str">
        <f>IFERROR(__xludf.DUMMYFUNCTION("""COMPUTED_VALUE"""),"Snacks")</f>
        <v>Snacks</v>
      </c>
    </row>
    <row r="896">
      <c r="A896" s="23">
        <f>IFERROR(__xludf.DUMMYFUNCTION("""COMPUTED_VALUE"""),44883.64001060185)</f>
        <v>44883.64001</v>
      </c>
      <c r="B896" s="24" t="str">
        <f>IFERROR(__xludf.DUMMYFUNCTION("""COMPUTED_VALUE"""),"Juanita Chandler ")</f>
        <v>Juanita Chandler </v>
      </c>
      <c r="C896" s="24">
        <f>IFERROR(__xludf.DUMMYFUNCTION("""COMPUTED_VALUE"""),190.0)</f>
        <v>190</v>
      </c>
      <c r="D896" s="24" t="str">
        <f>IFERROR(__xludf.DUMMYFUNCTION("""COMPUTED_VALUE"""),"YWAM Greg")</f>
        <v>YWAM Greg</v>
      </c>
      <c r="F896" s="23">
        <f>IFERROR(__xludf.DUMMYFUNCTION("""COMPUTED_VALUE"""),44757.716307002316)</f>
        <v>44757.71631</v>
      </c>
      <c r="G896" s="24" t="str">
        <f>IFERROR(__xludf.DUMMYFUNCTION("""COMPUTED_VALUE"""),"Juanita Chandler ")</f>
        <v>Juanita Chandler </v>
      </c>
      <c r="H896" s="24">
        <f>IFERROR(__xludf.DUMMYFUNCTION("""COMPUTED_VALUE"""),7.0)</f>
        <v>7</v>
      </c>
      <c r="I896" s="24"/>
    </row>
    <row r="897">
      <c r="A897" s="23">
        <f>IFERROR(__xludf.DUMMYFUNCTION("""COMPUTED_VALUE"""),44883.64126550926)</f>
        <v>44883.64127</v>
      </c>
      <c r="B897" s="24" t="str">
        <f>IFERROR(__xludf.DUMMYFUNCTION("""COMPUTED_VALUE"""),"Juanita Chandler ")</f>
        <v>Juanita Chandler </v>
      </c>
      <c r="C897" s="24">
        <f>IFERROR(__xludf.DUMMYFUNCTION("""COMPUTED_VALUE"""),100.0)</f>
        <v>100</v>
      </c>
      <c r="D897" s="24" t="str">
        <f>IFERROR(__xludf.DUMMYFUNCTION("""COMPUTED_VALUE"""),"Donation")</f>
        <v>Donation</v>
      </c>
      <c r="F897" s="23">
        <f>IFERROR(__xludf.DUMMYFUNCTION("""COMPUTED_VALUE"""),44757.7171358912)</f>
        <v>44757.71714</v>
      </c>
      <c r="G897" s="24" t="str">
        <f>IFERROR(__xludf.DUMMYFUNCTION("""COMPUTED_VALUE"""),"Claire")</f>
        <v>Claire</v>
      </c>
      <c r="H897" s="24">
        <f>IFERROR(__xludf.DUMMYFUNCTION("""COMPUTED_VALUE"""),521.0)</f>
        <v>521</v>
      </c>
      <c r="I897" s="24" t="str">
        <f>IFERROR(__xludf.DUMMYFUNCTION("""COMPUTED_VALUE"""),"Cleaning")</f>
        <v>Cleaning</v>
      </c>
    </row>
    <row r="898">
      <c r="A898" s="23">
        <f>IFERROR(__xludf.DUMMYFUNCTION("""COMPUTED_VALUE"""),44884.51884295139)</f>
        <v>44884.51884</v>
      </c>
      <c r="B898" s="24" t="str">
        <f>IFERROR(__xludf.DUMMYFUNCTION("""COMPUTED_VALUE"""),"Beverly Pinn")</f>
        <v>Beverly Pinn</v>
      </c>
      <c r="C898" s="24">
        <f>IFERROR(__xludf.DUMMYFUNCTION("""COMPUTED_VALUE"""),491.0)</f>
        <v>491</v>
      </c>
      <c r="D898" s="24" t="str">
        <f>IFERROR(__xludf.DUMMYFUNCTION("""COMPUTED_VALUE"""),"First Fruits Farm")</f>
        <v>First Fruits Farm</v>
      </c>
      <c r="F898" s="23">
        <f>IFERROR(__xludf.DUMMYFUNCTION("""COMPUTED_VALUE"""),44757.7171743287)</f>
        <v>44757.71717</v>
      </c>
      <c r="G898" s="24" t="str">
        <f>IFERROR(__xludf.DUMMYFUNCTION("""COMPUTED_VALUE"""),"Juanita Chandler ")</f>
        <v>Juanita Chandler </v>
      </c>
      <c r="H898" s="24">
        <f>IFERROR(__xludf.DUMMYFUNCTION("""COMPUTED_VALUE"""),6.0)</f>
        <v>6</v>
      </c>
      <c r="I898" s="24"/>
    </row>
    <row r="899">
      <c r="A899" s="23">
        <f>IFERROR(__xludf.DUMMYFUNCTION("""COMPUTED_VALUE"""),44884.51917957176)</f>
        <v>44884.51918</v>
      </c>
      <c r="B899" s="24" t="str">
        <f>IFERROR(__xludf.DUMMYFUNCTION("""COMPUTED_VALUE"""),"Beverly Pinn")</f>
        <v>Beverly Pinn</v>
      </c>
      <c r="C899" s="24">
        <f>IFERROR(__xludf.DUMMYFUNCTION("""COMPUTED_VALUE"""),1460.0)</f>
        <v>1460</v>
      </c>
      <c r="D899" s="24" t="str">
        <f>IFERROR(__xludf.DUMMYFUNCTION("""COMPUTED_VALUE"""),"First Fruits Farm")</f>
        <v>First Fruits Farm</v>
      </c>
      <c r="F899" s="23">
        <f>IFERROR(__xludf.DUMMYFUNCTION("""COMPUTED_VALUE"""),44757.71885694445)</f>
        <v>44757.71886</v>
      </c>
      <c r="G899" s="24" t="str">
        <f>IFERROR(__xludf.DUMMYFUNCTION("""COMPUTED_VALUE"""),"Claire")</f>
        <v>Claire</v>
      </c>
      <c r="H899" s="24">
        <f>IFERROR(__xludf.DUMMYFUNCTION("""COMPUTED_VALUE"""),186.0)</f>
        <v>186</v>
      </c>
      <c r="I899" s="24" t="str">
        <f>IFERROR(__xludf.DUMMYFUNCTION("""COMPUTED_VALUE"""),"Assorted option")</f>
        <v>Assorted option</v>
      </c>
    </row>
    <row r="900">
      <c r="A900" s="23">
        <f>IFERROR(__xludf.DUMMYFUNCTION("""COMPUTED_VALUE"""),44884.52000827547)</f>
        <v>44884.52001</v>
      </c>
      <c r="B900" s="24" t="str">
        <f>IFERROR(__xludf.DUMMYFUNCTION("""COMPUTED_VALUE"""),"Beverly Pinn")</f>
        <v>Beverly Pinn</v>
      </c>
      <c r="C900" s="24">
        <f>IFERROR(__xludf.DUMMYFUNCTION("""COMPUTED_VALUE"""),695.0)</f>
        <v>695</v>
      </c>
      <c r="D900" s="24" t="str">
        <f>IFERROR(__xludf.DUMMYFUNCTION("""COMPUTED_VALUE"""),"First Fruits Farm")</f>
        <v>First Fruits Farm</v>
      </c>
      <c r="F900" s="23">
        <f>IFERROR(__xludf.DUMMYFUNCTION("""COMPUTED_VALUE"""),44757.71916350695)</f>
        <v>44757.71916</v>
      </c>
      <c r="G900" s="24" t="str">
        <f>IFERROR(__xludf.DUMMYFUNCTION("""COMPUTED_VALUE"""),"Beth Torres")</f>
        <v>Beth Torres</v>
      </c>
      <c r="H900" s="24">
        <f>IFERROR(__xludf.DUMMYFUNCTION("""COMPUTED_VALUE"""),13.0)</f>
        <v>13</v>
      </c>
      <c r="I900" s="24"/>
    </row>
    <row r="901">
      <c r="A901" s="23">
        <f>IFERROR(__xludf.DUMMYFUNCTION("""COMPUTED_VALUE"""),44885.551344490734)</f>
        <v>44885.55134</v>
      </c>
      <c r="B901" s="24" t="str">
        <f>IFERROR(__xludf.DUMMYFUNCTION("""COMPUTED_VALUE"""),"Claire")</f>
        <v>Claire</v>
      </c>
      <c r="C901" s="24">
        <f>IFERROR(__xludf.DUMMYFUNCTION("""COMPUTED_VALUE"""),203.0)</f>
        <v>203</v>
      </c>
      <c r="D901" s="24" t="str">
        <f>IFERROR(__xludf.DUMMYFUNCTION("""COMPUTED_VALUE"""),"Homewood (donation)")</f>
        <v>Homewood (donation)</v>
      </c>
      <c r="F901" s="23">
        <f>IFERROR(__xludf.DUMMYFUNCTION("""COMPUTED_VALUE"""),44757.719411921295)</f>
        <v>44757.71941</v>
      </c>
      <c r="G901" s="24" t="str">
        <f>IFERROR(__xludf.DUMMYFUNCTION("""COMPUTED_VALUE"""),"Beth Torres")</f>
        <v>Beth Torres</v>
      </c>
      <c r="H901" s="24">
        <f>IFERROR(__xludf.DUMMYFUNCTION("""COMPUTED_VALUE"""),18.0)</f>
        <v>18</v>
      </c>
      <c r="I901" s="24"/>
    </row>
    <row r="902">
      <c r="A902" s="23">
        <f>IFERROR(__xludf.DUMMYFUNCTION("""COMPUTED_VALUE"""),44885.5517912963)</f>
        <v>44885.55179</v>
      </c>
      <c r="B902" s="24" t="str">
        <f>IFERROR(__xludf.DUMMYFUNCTION("""COMPUTED_VALUE"""),"Claire")</f>
        <v>Claire</v>
      </c>
      <c r="C902" s="24">
        <f>IFERROR(__xludf.DUMMYFUNCTION("""COMPUTED_VALUE"""),702.0)</f>
        <v>702</v>
      </c>
      <c r="D902" s="24" t="str">
        <f>IFERROR(__xludf.DUMMYFUNCTION("""COMPUTED_VALUE"""),"Amazon")</f>
        <v>Amazon</v>
      </c>
      <c r="F902" s="23">
        <f>IFERROR(__xludf.DUMMYFUNCTION("""COMPUTED_VALUE"""),44757.72251233796)</f>
        <v>44757.72251</v>
      </c>
      <c r="G902" s="24" t="str">
        <f>IFERROR(__xludf.DUMMYFUNCTION("""COMPUTED_VALUE"""),"Yulia")</f>
        <v>Yulia</v>
      </c>
      <c r="H902" s="24">
        <f>IFERROR(__xludf.DUMMYFUNCTION("""COMPUTED_VALUE"""),20.0)</f>
        <v>20</v>
      </c>
      <c r="I902" s="24"/>
    </row>
    <row r="903">
      <c r="A903" s="23">
        <f>IFERROR(__xludf.DUMMYFUNCTION("""COMPUTED_VALUE"""),44885.55200038195)</f>
        <v>44885.552</v>
      </c>
      <c r="B903" s="24" t="str">
        <f>IFERROR(__xludf.DUMMYFUNCTION("""COMPUTED_VALUE"""),"Claire")</f>
        <v>Claire</v>
      </c>
      <c r="C903" s="24">
        <f>IFERROR(__xludf.DUMMYFUNCTION("""COMPUTED_VALUE"""),822.0)</f>
        <v>822</v>
      </c>
      <c r="D903" s="24" t="str">
        <f>IFERROR(__xludf.DUMMYFUNCTION("""COMPUTED_VALUE"""),"Amazon")</f>
        <v>Amazon</v>
      </c>
      <c r="F903" s="23">
        <f>IFERROR(__xludf.DUMMYFUNCTION("""COMPUTED_VALUE"""),44757.72979766204)</f>
        <v>44757.7298</v>
      </c>
      <c r="G903" s="24" t="str">
        <f>IFERROR(__xludf.DUMMYFUNCTION("""COMPUTED_VALUE"""),"Claire")</f>
        <v>Claire</v>
      </c>
      <c r="H903" s="24">
        <f>IFERROR(__xludf.DUMMYFUNCTION("""COMPUTED_VALUE"""),779.0)</f>
        <v>779</v>
      </c>
      <c r="I903" s="24" t="str">
        <f>IFERROR(__xludf.DUMMYFUNCTION("""COMPUTED_VALUE"""),"Assort box")</f>
        <v>Assort box</v>
      </c>
    </row>
    <row r="904">
      <c r="A904" s="23">
        <f>IFERROR(__xludf.DUMMYFUNCTION("""COMPUTED_VALUE"""),44885.552189131944)</f>
        <v>44885.55219</v>
      </c>
      <c r="B904" s="24" t="str">
        <f>IFERROR(__xludf.DUMMYFUNCTION("""COMPUTED_VALUE"""),"Claire")</f>
        <v>Claire</v>
      </c>
      <c r="C904" s="24">
        <f>IFERROR(__xludf.DUMMYFUNCTION("""COMPUTED_VALUE"""),942.0)</f>
        <v>942</v>
      </c>
      <c r="D904" s="24" t="str">
        <f>IFERROR(__xludf.DUMMYFUNCTION("""COMPUTED_VALUE"""),"Amazon")</f>
        <v>Amazon</v>
      </c>
      <c r="F904" s="23">
        <f>IFERROR(__xludf.DUMMYFUNCTION("""COMPUTED_VALUE"""),44757.73004575231)</f>
        <v>44757.73005</v>
      </c>
      <c r="G904" s="24" t="str">
        <f>IFERROR(__xludf.DUMMYFUNCTION("""COMPUTED_VALUE"""),"Claire")</f>
        <v>Claire</v>
      </c>
      <c r="H904" s="24">
        <f>IFERROR(__xludf.DUMMYFUNCTION("""COMPUTED_VALUE"""),746.0)</f>
        <v>746</v>
      </c>
      <c r="I904" s="24" t="str">
        <f>IFERROR(__xludf.DUMMYFUNCTION("""COMPUTED_VALUE"""),"Assort box")</f>
        <v>Assort box</v>
      </c>
    </row>
    <row r="905">
      <c r="A905" s="23">
        <f>IFERROR(__xludf.DUMMYFUNCTION("""COMPUTED_VALUE"""),44885.55717975694)</f>
        <v>44885.55718</v>
      </c>
      <c r="B905" s="24" t="str">
        <f>IFERROR(__xludf.DUMMYFUNCTION("""COMPUTED_VALUE"""),"Claire")</f>
        <v>Claire</v>
      </c>
      <c r="C905" s="24">
        <f>IFERROR(__xludf.DUMMYFUNCTION("""COMPUTED_VALUE"""),727.0)</f>
        <v>727</v>
      </c>
      <c r="D905" s="24" t="str">
        <f>IFERROR(__xludf.DUMMYFUNCTION("""COMPUTED_VALUE"""),"Amazon")</f>
        <v>Amazon</v>
      </c>
      <c r="F905" s="23">
        <f>IFERROR(__xludf.DUMMYFUNCTION("""COMPUTED_VALUE"""),44757.730322870375)</f>
        <v>44757.73032</v>
      </c>
      <c r="G905" s="24" t="str">
        <f>IFERROR(__xludf.DUMMYFUNCTION("""COMPUTED_VALUE"""),"Claire")</f>
        <v>Claire</v>
      </c>
      <c r="H905" s="24">
        <f>IFERROR(__xludf.DUMMYFUNCTION("""COMPUTED_VALUE"""),693.0)</f>
        <v>693</v>
      </c>
      <c r="I905" s="24" t="str">
        <f>IFERROR(__xludf.DUMMYFUNCTION("""COMPUTED_VALUE"""),"Assort box")</f>
        <v>Assort box</v>
      </c>
    </row>
    <row r="906">
      <c r="A906" s="23">
        <f>IFERROR(__xludf.DUMMYFUNCTION("""COMPUTED_VALUE"""),44885.57742483797)</f>
        <v>44885.57742</v>
      </c>
      <c r="B906" s="24" t="str">
        <f>IFERROR(__xludf.DUMMYFUNCTION("""COMPUTED_VALUE"""),"Claire")</f>
        <v>Claire</v>
      </c>
      <c r="C906" s="24">
        <f>IFERROR(__xludf.DUMMYFUNCTION("""COMPUTED_VALUE"""),675.0)</f>
        <v>675</v>
      </c>
      <c r="D906" s="24" t="str">
        <f>IFERROR(__xludf.DUMMYFUNCTION("""COMPUTED_VALUE"""),"Amazon")</f>
        <v>Amazon</v>
      </c>
      <c r="F906" s="23">
        <f>IFERROR(__xludf.DUMMYFUNCTION("""COMPUTED_VALUE"""),44757.730525810184)</f>
        <v>44757.73053</v>
      </c>
      <c r="G906" s="24" t="str">
        <f>IFERROR(__xludf.DUMMYFUNCTION("""COMPUTED_VALUE"""),"Claire")</f>
        <v>Claire</v>
      </c>
      <c r="H906" s="24">
        <f>IFERROR(__xludf.DUMMYFUNCTION("""COMPUTED_VALUE"""),744.0)</f>
        <v>744</v>
      </c>
      <c r="I906" s="24" t="str">
        <f>IFERROR(__xludf.DUMMYFUNCTION("""COMPUTED_VALUE"""),"Assort box")</f>
        <v>Assort box</v>
      </c>
    </row>
    <row r="907">
      <c r="A907" s="23">
        <f>IFERROR(__xludf.DUMMYFUNCTION("""COMPUTED_VALUE"""),44887.61706758102)</f>
        <v>44887.61707</v>
      </c>
      <c r="B907" s="24" t="str">
        <f>IFERROR(__xludf.DUMMYFUNCTION("""COMPUTED_VALUE"""),"Claire")</f>
        <v>Claire</v>
      </c>
      <c r="C907" s="24">
        <f>IFERROR(__xludf.DUMMYFUNCTION("""COMPUTED_VALUE"""),734.0)</f>
        <v>734</v>
      </c>
      <c r="D907" s="24" t="str">
        <f>IFERROR(__xludf.DUMMYFUNCTION("""COMPUTED_VALUE"""),"Amazon")</f>
        <v>Amazon</v>
      </c>
      <c r="F907" s="23">
        <f>IFERROR(__xludf.DUMMYFUNCTION("""COMPUTED_VALUE"""),44757.73075134259)</f>
        <v>44757.73075</v>
      </c>
      <c r="G907" s="24" t="str">
        <f>IFERROR(__xludf.DUMMYFUNCTION("""COMPUTED_VALUE"""),"Claire")</f>
        <v>Claire</v>
      </c>
      <c r="H907" s="24">
        <f>IFERROR(__xludf.DUMMYFUNCTION("""COMPUTED_VALUE"""),751.0)</f>
        <v>751</v>
      </c>
      <c r="I907" s="24" t="str">
        <f>IFERROR(__xludf.DUMMYFUNCTION("""COMPUTED_VALUE"""),"Assort box")</f>
        <v>Assort box</v>
      </c>
    </row>
    <row r="908">
      <c r="A908" s="23">
        <f>IFERROR(__xludf.DUMMYFUNCTION("""COMPUTED_VALUE"""),44887.61728763889)</f>
        <v>44887.61729</v>
      </c>
      <c r="B908" s="24" t="str">
        <f>IFERROR(__xludf.DUMMYFUNCTION("""COMPUTED_VALUE"""),"Claire")</f>
        <v>Claire</v>
      </c>
      <c r="C908" s="24">
        <f>IFERROR(__xludf.DUMMYFUNCTION("""COMPUTED_VALUE"""),327.0)</f>
        <v>327</v>
      </c>
      <c r="D908" s="24" t="str">
        <f>IFERROR(__xludf.DUMMYFUNCTION("""COMPUTED_VALUE"""),"Amazon")</f>
        <v>Amazon</v>
      </c>
      <c r="F908" s="23">
        <f>IFERROR(__xludf.DUMMYFUNCTION("""COMPUTED_VALUE"""),44757.73112228009)</f>
        <v>44757.73112</v>
      </c>
      <c r="G908" s="24" t="str">
        <f>IFERROR(__xludf.DUMMYFUNCTION("""COMPUTED_VALUE"""),"Claire")</f>
        <v>Claire</v>
      </c>
      <c r="H908" s="24">
        <f>IFERROR(__xludf.DUMMYFUNCTION("""COMPUTED_VALUE"""),925.0)</f>
        <v>925</v>
      </c>
      <c r="I908" s="24" t="str">
        <f>IFERROR(__xludf.DUMMYFUNCTION("""COMPUTED_VALUE"""),"Assorted option")</f>
        <v>Assorted option</v>
      </c>
    </row>
    <row r="909">
      <c r="A909" s="23">
        <f>IFERROR(__xludf.DUMMYFUNCTION("""COMPUTED_VALUE"""),44887.61751856482)</f>
        <v>44887.61752</v>
      </c>
      <c r="B909" s="24" t="str">
        <f>IFERROR(__xludf.DUMMYFUNCTION("""COMPUTED_VALUE"""),"Claire")</f>
        <v>Claire</v>
      </c>
      <c r="C909" s="24">
        <f>IFERROR(__xludf.DUMMYFUNCTION("""COMPUTED_VALUE"""),341.0)</f>
        <v>341</v>
      </c>
      <c r="D909" s="24" t="str">
        <f>IFERROR(__xludf.DUMMYFUNCTION("""COMPUTED_VALUE"""),"Amazon")</f>
        <v>Amazon</v>
      </c>
      <c r="F909" s="23">
        <f>IFERROR(__xludf.DUMMYFUNCTION("""COMPUTED_VALUE"""),44757.731433726854)</f>
        <v>44757.73143</v>
      </c>
      <c r="G909" s="24" t="str">
        <f>IFERROR(__xludf.DUMMYFUNCTION("""COMPUTED_VALUE"""),"Claire")</f>
        <v>Claire</v>
      </c>
      <c r="H909" s="24">
        <f>IFERROR(__xludf.DUMMYFUNCTION("""COMPUTED_VALUE"""),308.0)</f>
        <v>308</v>
      </c>
      <c r="I909" s="24" t="str">
        <f>IFERROR(__xludf.DUMMYFUNCTION("""COMPUTED_VALUE"""),"Cups/paper products")</f>
        <v>Cups/paper products</v>
      </c>
    </row>
    <row r="910">
      <c r="A910" s="23">
        <f>IFERROR(__xludf.DUMMYFUNCTION("""COMPUTED_VALUE"""),44887.61773791667)</f>
        <v>44887.61774</v>
      </c>
      <c r="B910" s="24" t="str">
        <f>IFERROR(__xludf.DUMMYFUNCTION("""COMPUTED_VALUE"""),"Claire")</f>
        <v>Claire</v>
      </c>
      <c r="C910" s="24">
        <f>IFERROR(__xludf.DUMMYFUNCTION("""COMPUTED_VALUE"""),299.0)</f>
        <v>299</v>
      </c>
      <c r="D910" s="24" t="str">
        <f>IFERROR(__xludf.DUMMYFUNCTION("""COMPUTED_VALUE"""),"Amazon")</f>
        <v>Amazon</v>
      </c>
      <c r="F910" s="23">
        <f>IFERROR(__xludf.DUMMYFUNCTION("""COMPUTED_VALUE"""),44757.73174576389)</f>
        <v>44757.73175</v>
      </c>
      <c r="G910" s="24" t="str">
        <f>IFERROR(__xludf.DUMMYFUNCTION("""COMPUTED_VALUE"""),"Claire")</f>
        <v>Claire</v>
      </c>
      <c r="H910" s="24">
        <f>IFERROR(__xludf.DUMMYFUNCTION("""COMPUTED_VALUE"""),187.0)</f>
        <v>187</v>
      </c>
      <c r="I910" s="24" t="str">
        <f>IFERROR(__xludf.DUMMYFUNCTION("""COMPUTED_VALUE"""),"Dry goods")</f>
        <v>Dry goods</v>
      </c>
    </row>
    <row r="911">
      <c r="A911" s="23">
        <f>IFERROR(__xludf.DUMMYFUNCTION("""COMPUTED_VALUE"""),44892.0)</f>
        <v>44892</v>
      </c>
      <c r="B911" s="24" t="str">
        <f>IFERROR(__xludf.DUMMYFUNCTION("""COMPUTED_VALUE"""),"Claire")</f>
        <v>Claire</v>
      </c>
      <c r="C911" s="24">
        <f>IFERROR(__xludf.DUMMYFUNCTION("""COMPUTED_VALUE"""),40.0)</f>
        <v>40</v>
      </c>
      <c r="D911" s="24" t="str">
        <f>IFERROR(__xludf.DUMMYFUNCTION("""COMPUTED_VALUE"""),"Homewood")</f>
        <v>Homewood</v>
      </c>
      <c r="F911" s="23">
        <f>IFERROR(__xludf.DUMMYFUNCTION("""COMPUTED_VALUE"""),44757.73203184027)</f>
        <v>44757.73203</v>
      </c>
      <c r="G911" s="24" t="str">
        <f>IFERROR(__xludf.DUMMYFUNCTION("""COMPUTED_VALUE"""),"Claire")</f>
        <v>Claire</v>
      </c>
      <c r="H911" s="24">
        <f>IFERROR(__xludf.DUMMYFUNCTION("""COMPUTED_VALUE"""),930.0)</f>
        <v>930</v>
      </c>
      <c r="I911" s="24" t="str">
        <f>IFERROR(__xludf.DUMMYFUNCTION("""COMPUTED_VALUE"""),"Assorted option")</f>
        <v>Assorted option</v>
      </c>
    </row>
    <row r="912">
      <c r="A912" s="23">
        <f>IFERROR(__xludf.DUMMYFUNCTION("""COMPUTED_VALUE"""),44892.55708756945)</f>
        <v>44892.55709</v>
      </c>
      <c r="B912" s="24" t="str">
        <f>IFERROR(__xludf.DUMMYFUNCTION("""COMPUTED_VALUE"""),"Juanita Chandler ")</f>
        <v>Juanita Chandler </v>
      </c>
      <c r="C912" s="24">
        <f>IFERROR(__xludf.DUMMYFUNCTION("""COMPUTED_VALUE"""),675.0)</f>
        <v>675</v>
      </c>
      <c r="D912" s="24" t="str">
        <f>IFERROR(__xludf.DUMMYFUNCTION("""COMPUTED_VALUE"""),"Amazon")</f>
        <v>Amazon</v>
      </c>
      <c r="F912" s="23">
        <f>IFERROR(__xludf.DUMMYFUNCTION("""COMPUTED_VALUE"""),44758.0)</f>
        <v>44758</v>
      </c>
      <c r="G912" s="24" t="str">
        <f>IFERROR(__xludf.DUMMYFUNCTION("""COMPUTED_VALUE"""),"Claire")</f>
        <v>Claire</v>
      </c>
      <c r="H912" s="24">
        <f>IFERROR(__xludf.DUMMYFUNCTION("""COMPUTED_VALUE"""),247.0)</f>
        <v>247</v>
      </c>
      <c r="I912" s="24" t="str">
        <f>IFERROR(__xludf.DUMMYFUNCTION("""COMPUTED_VALUE"""),"Paper Goods")</f>
        <v>Paper Goods</v>
      </c>
    </row>
    <row r="913">
      <c r="A913" s="23">
        <f>IFERROR(__xludf.DUMMYFUNCTION("""COMPUTED_VALUE"""),44892.557849930556)</f>
        <v>44892.55785</v>
      </c>
      <c r="B913" s="24" t="str">
        <f>IFERROR(__xludf.DUMMYFUNCTION("""COMPUTED_VALUE"""),"JUANITA Chandler ")</f>
        <v>JUANITA Chandler </v>
      </c>
      <c r="C913" s="24">
        <f>IFERROR(__xludf.DUMMYFUNCTION("""COMPUTED_VALUE"""),435.0)</f>
        <v>435</v>
      </c>
      <c r="D913" s="24" t="str">
        <f>IFERROR(__xludf.DUMMYFUNCTION("""COMPUTED_VALUE"""),"Amazon")</f>
        <v>Amazon</v>
      </c>
      <c r="F913" s="23">
        <f>IFERROR(__xludf.DUMMYFUNCTION("""COMPUTED_VALUE"""),44758.0)</f>
        <v>44758</v>
      </c>
      <c r="G913" s="24" t="str">
        <f>IFERROR(__xludf.DUMMYFUNCTION("""COMPUTED_VALUE"""),"Claire")</f>
        <v>Claire</v>
      </c>
      <c r="H913" s="24">
        <f>IFERROR(__xludf.DUMMYFUNCTION("""COMPUTED_VALUE"""),609.0)</f>
        <v>609</v>
      </c>
      <c r="I913" s="24" t="str">
        <f>IFERROR(__xludf.DUMMYFUNCTION("""COMPUTED_VALUE"""),"Meat")</f>
        <v>Meat</v>
      </c>
    </row>
    <row r="914">
      <c r="A914" s="23">
        <f>IFERROR(__xludf.DUMMYFUNCTION("""COMPUTED_VALUE"""),44892.5582824074)</f>
        <v>44892.55828</v>
      </c>
      <c r="B914" s="24" t="str">
        <f>IFERROR(__xludf.DUMMYFUNCTION("""COMPUTED_VALUE"""),"JUANITA Chandler ")</f>
        <v>JUANITA Chandler </v>
      </c>
      <c r="C914" s="24">
        <f>IFERROR(__xludf.DUMMYFUNCTION("""COMPUTED_VALUE"""),639.0)</f>
        <v>639</v>
      </c>
      <c r="D914" s="24" t="str">
        <f>IFERROR(__xludf.DUMMYFUNCTION("""COMPUTED_VALUE"""),"Amazon")</f>
        <v>Amazon</v>
      </c>
      <c r="F914" s="23">
        <f>IFERROR(__xludf.DUMMYFUNCTION("""COMPUTED_VALUE"""),44758.0)</f>
        <v>44758</v>
      </c>
      <c r="G914" s="24" t="str">
        <f>IFERROR(__xludf.DUMMYFUNCTION("""COMPUTED_VALUE"""),"Claire")</f>
        <v>Claire</v>
      </c>
      <c r="H914" s="24">
        <f>IFERROR(__xludf.DUMMYFUNCTION("""COMPUTED_VALUE"""),256.0)</f>
        <v>256</v>
      </c>
      <c r="I914" s="24" t="str">
        <f>IFERROR(__xludf.DUMMYFUNCTION("""COMPUTED_VALUE"""),"Paper Goods")</f>
        <v>Paper Goods</v>
      </c>
    </row>
    <row r="915">
      <c r="A915" s="23">
        <f>IFERROR(__xludf.DUMMYFUNCTION("""COMPUTED_VALUE"""),44892.55877465278)</f>
        <v>44892.55877</v>
      </c>
      <c r="B915" s="24" t="str">
        <f>IFERROR(__xludf.DUMMYFUNCTION("""COMPUTED_VALUE"""),"JUANITA Chandler ")</f>
        <v>JUANITA Chandler </v>
      </c>
      <c r="C915" s="24">
        <f>IFERROR(__xludf.DUMMYFUNCTION("""COMPUTED_VALUE"""),641.0)</f>
        <v>641</v>
      </c>
      <c r="D915" s="24" t="str">
        <f>IFERROR(__xludf.DUMMYFUNCTION("""COMPUTED_VALUE"""),"Amazon")</f>
        <v>Amazon</v>
      </c>
      <c r="F915" s="23">
        <f>IFERROR(__xludf.DUMMYFUNCTION("""COMPUTED_VALUE"""),44758.0)</f>
        <v>44758</v>
      </c>
      <c r="G915" s="24" t="str">
        <f>IFERROR(__xludf.DUMMYFUNCTION("""COMPUTED_VALUE"""),"Claire")</f>
        <v>Claire</v>
      </c>
      <c r="H915" s="24">
        <f>IFERROR(__xludf.DUMMYFUNCTION("""COMPUTED_VALUE"""),300.0)</f>
        <v>300</v>
      </c>
      <c r="I915" s="24" t="str">
        <f>IFERROR(__xludf.DUMMYFUNCTION("""COMPUTED_VALUE"""),"Meat")</f>
        <v>Meat</v>
      </c>
    </row>
    <row r="916">
      <c r="A916" s="23">
        <f>IFERROR(__xludf.DUMMYFUNCTION("""COMPUTED_VALUE"""),44892.55922650463)</f>
        <v>44892.55923</v>
      </c>
      <c r="B916" s="24" t="str">
        <f>IFERROR(__xludf.DUMMYFUNCTION("""COMPUTED_VALUE"""),"JUANITA Chandler ")</f>
        <v>JUANITA Chandler </v>
      </c>
      <c r="C916" s="24">
        <f>IFERROR(__xludf.DUMMYFUNCTION("""COMPUTED_VALUE"""),394.0)</f>
        <v>394</v>
      </c>
      <c r="D916" s="24" t="str">
        <f>IFERROR(__xludf.DUMMYFUNCTION("""COMPUTED_VALUE"""),"Amazon")</f>
        <v>Amazon</v>
      </c>
      <c r="F916" s="23">
        <f>IFERROR(__xludf.DUMMYFUNCTION("""COMPUTED_VALUE"""),44758.0)</f>
        <v>44758</v>
      </c>
      <c r="G916" s="24" t="str">
        <f>IFERROR(__xludf.DUMMYFUNCTION("""COMPUTED_VALUE"""),"Claire")</f>
        <v>Claire</v>
      </c>
      <c r="H916" s="24">
        <f>IFERROR(__xludf.DUMMYFUNCTION("""COMPUTED_VALUE"""),312.0)</f>
        <v>312</v>
      </c>
      <c r="I916" s="24" t="str">
        <f>IFERROR(__xludf.DUMMYFUNCTION("""COMPUTED_VALUE"""),"Ziploc")</f>
        <v>Ziploc</v>
      </c>
    </row>
    <row r="917">
      <c r="A917" s="23">
        <f>IFERROR(__xludf.DUMMYFUNCTION("""COMPUTED_VALUE"""),44895.807215740744)</f>
        <v>44895.80722</v>
      </c>
      <c r="B917" s="24" t="str">
        <f>IFERROR(__xludf.DUMMYFUNCTION("""COMPUTED_VALUE"""),"Claire")</f>
        <v>Claire</v>
      </c>
      <c r="C917" s="24">
        <f>IFERROR(__xludf.DUMMYFUNCTION("""COMPUTED_VALUE"""),242.0)</f>
        <v>242</v>
      </c>
      <c r="D917" s="24" t="str">
        <f>IFERROR(__xludf.DUMMYFUNCTION("""COMPUTED_VALUE"""),"Amazon")</f>
        <v>Amazon</v>
      </c>
      <c r="F917" s="23">
        <f>IFERROR(__xludf.DUMMYFUNCTION("""COMPUTED_VALUE"""),44758.0)</f>
        <v>44758</v>
      </c>
      <c r="G917" s="24" t="str">
        <f>IFERROR(__xludf.DUMMYFUNCTION("""COMPUTED_VALUE"""),"Claire")</f>
        <v>Claire</v>
      </c>
      <c r="H917" s="24">
        <f>IFERROR(__xludf.DUMMYFUNCTION("""COMPUTED_VALUE"""),131.0)</f>
        <v>131</v>
      </c>
      <c r="I917" s="24" t="str">
        <f>IFERROR(__xludf.DUMMYFUNCTION("""COMPUTED_VALUE"""),"Paper Goods")</f>
        <v>Paper Goods</v>
      </c>
    </row>
    <row r="918">
      <c r="A918" s="23">
        <f>IFERROR(__xludf.DUMMYFUNCTION("""COMPUTED_VALUE"""),44895.80756071759)</f>
        <v>44895.80756</v>
      </c>
      <c r="B918" s="24" t="str">
        <f>IFERROR(__xludf.DUMMYFUNCTION("""COMPUTED_VALUE"""),"Claire")</f>
        <v>Claire</v>
      </c>
      <c r="C918" s="24">
        <f>IFERROR(__xludf.DUMMYFUNCTION("""COMPUTED_VALUE"""),566.0)</f>
        <v>566</v>
      </c>
      <c r="D918" s="24" t="str">
        <f>IFERROR(__xludf.DUMMYFUNCTION("""COMPUTED_VALUE"""),"Amazon")</f>
        <v>Amazon</v>
      </c>
      <c r="F918" s="23">
        <f>IFERROR(__xludf.DUMMYFUNCTION("""COMPUTED_VALUE"""),44758.0)</f>
        <v>44758</v>
      </c>
      <c r="G918" s="24" t="str">
        <f>IFERROR(__xludf.DUMMYFUNCTION("""COMPUTED_VALUE"""),"Claire")</f>
        <v>Claire</v>
      </c>
      <c r="H918" s="24">
        <f>IFERROR(__xludf.DUMMYFUNCTION("""COMPUTED_VALUE"""),764.0)</f>
        <v>764</v>
      </c>
      <c r="I918" s="24" t="str">
        <f>IFERROR(__xludf.DUMMYFUNCTION("""COMPUTED_VALUE"""),"Cleaning")</f>
        <v>Cleaning</v>
      </c>
    </row>
    <row r="919">
      <c r="A919" s="23">
        <f>IFERROR(__xludf.DUMMYFUNCTION("""COMPUTED_VALUE"""),44895.80784508102)</f>
        <v>44895.80785</v>
      </c>
      <c r="B919" s="24" t="str">
        <f>IFERROR(__xludf.DUMMYFUNCTION("""COMPUTED_VALUE"""),"Claire")</f>
        <v>Claire</v>
      </c>
      <c r="C919" s="24">
        <f>IFERROR(__xludf.DUMMYFUNCTION("""COMPUTED_VALUE"""),306.0)</f>
        <v>306</v>
      </c>
      <c r="D919" s="24" t="str">
        <f>IFERROR(__xludf.DUMMYFUNCTION("""COMPUTED_VALUE"""),"Amazon")</f>
        <v>Amazon</v>
      </c>
      <c r="F919" s="23">
        <f>IFERROR(__xludf.DUMMYFUNCTION("""COMPUTED_VALUE"""),44758.0)</f>
        <v>44758</v>
      </c>
      <c r="G919" s="24" t="str">
        <f>IFERROR(__xludf.DUMMYFUNCTION("""COMPUTED_VALUE"""),"Claire")</f>
        <v>Claire</v>
      </c>
      <c r="H919" s="24">
        <f>IFERROR(__xludf.DUMMYFUNCTION("""COMPUTED_VALUE"""),287.0)</f>
        <v>287</v>
      </c>
      <c r="I919" s="24" t="str">
        <f>IFERROR(__xludf.DUMMYFUNCTION("""COMPUTED_VALUE"""),"Paper Goods")</f>
        <v>Paper Goods</v>
      </c>
    </row>
    <row r="920">
      <c r="A920" s="23">
        <f>IFERROR(__xludf.DUMMYFUNCTION("""COMPUTED_VALUE"""),44895.80820049768)</f>
        <v>44895.8082</v>
      </c>
      <c r="B920" s="24" t="str">
        <f>IFERROR(__xludf.DUMMYFUNCTION("""COMPUTED_VALUE"""),"Claire ")</f>
        <v>Claire </v>
      </c>
      <c r="C920" s="24">
        <f>IFERROR(__xludf.DUMMYFUNCTION("""COMPUTED_VALUE"""),163.0)</f>
        <v>163</v>
      </c>
      <c r="D920" s="24" t="str">
        <f>IFERROR(__xludf.DUMMYFUNCTION("""COMPUTED_VALUE"""),"Amazon")</f>
        <v>Amazon</v>
      </c>
      <c r="F920" s="23">
        <f>IFERROR(__xludf.DUMMYFUNCTION("""COMPUTED_VALUE"""),44758.0)</f>
        <v>44758</v>
      </c>
      <c r="G920" s="24" t="str">
        <f>IFERROR(__xludf.DUMMYFUNCTION("""COMPUTED_VALUE"""),"Cheryl Utsey")</f>
        <v>Cheryl Utsey</v>
      </c>
      <c r="H920" s="24">
        <f>IFERROR(__xludf.DUMMYFUNCTION("""COMPUTED_VALUE"""),20.0)</f>
        <v>20</v>
      </c>
      <c r="I920" s="24"/>
    </row>
    <row r="921">
      <c r="A921" s="23">
        <f>IFERROR(__xludf.DUMMYFUNCTION("""COMPUTED_VALUE"""),44895.80858650463)</f>
        <v>44895.80859</v>
      </c>
      <c r="B921" s="24" t="str">
        <f>IFERROR(__xludf.DUMMYFUNCTION("""COMPUTED_VALUE"""),"Claire")</f>
        <v>Claire</v>
      </c>
      <c r="C921" s="24">
        <f>IFERROR(__xludf.DUMMYFUNCTION("""COMPUTED_VALUE"""),176.0)</f>
        <v>176</v>
      </c>
      <c r="D921" s="24" t="str">
        <f>IFERROR(__xludf.DUMMYFUNCTION("""COMPUTED_VALUE"""),"Amazon")</f>
        <v>Amazon</v>
      </c>
      <c r="F921" s="23">
        <f>IFERROR(__xludf.DUMMYFUNCTION("""COMPUTED_VALUE"""),44758.0)</f>
        <v>44758</v>
      </c>
      <c r="G921" s="24" t="str">
        <f>IFERROR(__xludf.DUMMYFUNCTION("""COMPUTED_VALUE"""),"Denise Brown")</f>
        <v>Denise Brown</v>
      </c>
      <c r="H921" s="24">
        <f>IFERROR(__xludf.DUMMYFUNCTION("""COMPUTED_VALUE"""),9.0)</f>
        <v>9</v>
      </c>
      <c r="I921" s="24"/>
    </row>
    <row r="922">
      <c r="A922" s="23">
        <f>IFERROR(__xludf.DUMMYFUNCTION("""COMPUTED_VALUE"""),44895.80881403935)</f>
        <v>44895.80881</v>
      </c>
      <c r="B922" s="24" t="str">
        <f>IFERROR(__xludf.DUMMYFUNCTION("""COMPUTED_VALUE"""),"Claire")</f>
        <v>Claire</v>
      </c>
      <c r="C922" s="24">
        <f>IFERROR(__xludf.DUMMYFUNCTION("""COMPUTED_VALUE"""),351.0)</f>
        <v>351</v>
      </c>
      <c r="D922" s="24" t="str">
        <f>IFERROR(__xludf.DUMMYFUNCTION("""COMPUTED_VALUE"""),"Amazon")</f>
        <v>Amazon</v>
      </c>
      <c r="F922" s="23">
        <f>IFERROR(__xludf.DUMMYFUNCTION("""COMPUTED_VALUE"""),44758.5093907176)</f>
        <v>44758.50939</v>
      </c>
      <c r="G922" s="24" t="str">
        <f>IFERROR(__xludf.DUMMYFUNCTION("""COMPUTED_VALUE"""),"JC")</f>
        <v>JC</v>
      </c>
      <c r="H922" s="24">
        <f>IFERROR(__xludf.DUMMYFUNCTION("""COMPUTED_VALUE"""),140.0)</f>
        <v>140</v>
      </c>
      <c r="I922" s="24" t="str">
        <f>IFERROR(__xludf.DUMMYFUNCTION("""COMPUTED_VALUE"""),"Snacks")</f>
        <v>Snacks</v>
      </c>
    </row>
    <row r="923">
      <c r="A923" s="23">
        <f>IFERROR(__xludf.DUMMYFUNCTION("""COMPUTED_VALUE"""),44895.80902144676)</f>
        <v>44895.80902</v>
      </c>
      <c r="B923" s="24" t="str">
        <f>IFERROR(__xludf.DUMMYFUNCTION("""COMPUTED_VALUE"""),"Claire")</f>
        <v>Claire</v>
      </c>
      <c r="C923" s="24">
        <f>IFERROR(__xludf.DUMMYFUNCTION("""COMPUTED_VALUE"""),767.0)</f>
        <v>767</v>
      </c>
      <c r="D923" s="24" t="str">
        <f>IFERROR(__xludf.DUMMYFUNCTION("""COMPUTED_VALUE"""),"Amazon")</f>
        <v>Amazon</v>
      </c>
      <c r="F923" s="23">
        <f>IFERROR(__xludf.DUMMYFUNCTION("""COMPUTED_VALUE"""),44758.509820451385)</f>
        <v>44758.50982</v>
      </c>
      <c r="G923" s="24" t="str">
        <f>IFERROR(__xludf.DUMMYFUNCTION("""COMPUTED_VALUE"""),"JC")</f>
        <v>JC</v>
      </c>
      <c r="H923" s="24">
        <f>IFERROR(__xludf.DUMMYFUNCTION("""COMPUTED_VALUE"""),1496.0)</f>
        <v>1496</v>
      </c>
      <c r="I923" s="24" t="str">
        <f>IFERROR(__xludf.DUMMYFUNCTION("""COMPUTED_VALUE"""),"Drinks")</f>
        <v>Drinks</v>
      </c>
    </row>
    <row r="924">
      <c r="A924" s="23">
        <f>IFERROR(__xludf.DUMMYFUNCTION("""COMPUTED_VALUE"""),44895.809583078706)</f>
        <v>44895.80958</v>
      </c>
      <c r="B924" s="24" t="str">
        <f>IFERROR(__xludf.DUMMYFUNCTION("""COMPUTED_VALUE"""),"Claire")</f>
        <v>Claire</v>
      </c>
      <c r="C924" s="24">
        <f>IFERROR(__xludf.DUMMYFUNCTION("""COMPUTED_VALUE"""),403.0)</f>
        <v>403</v>
      </c>
      <c r="D924" s="24" t="str">
        <f>IFERROR(__xludf.DUMMYFUNCTION("""COMPUTED_VALUE"""),"Amazon")</f>
        <v>Amazon</v>
      </c>
      <c r="F924" s="23">
        <f>IFERROR(__xludf.DUMMYFUNCTION("""COMPUTED_VALUE"""),44758.510193912036)</f>
        <v>44758.51019</v>
      </c>
      <c r="G924" s="24" t="str">
        <f>IFERROR(__xludf.DUMMYFUNCTION("""COMPUTED_VALUE"""),"JC")</f>
        <v>JC</v>
      </c>
      <c r="H924" s="24">
        <f>IFERROR(__xludf.DUMMYFUNCTION("""COMPUTED_VALUE"""),1433.0)</f>
        <v>1433</v>
      </c>
      <c r="I924" s="24" t="str">
        <f>IFERROR(__xludf.DUMMYFUNCTION("""COMPUTED_VALUE"""),"Drinks")</f>
        <v>Drinks</v>
      </c>
    </row>
    <row r="925">
      <c r="A925" s="23">
        <f>IFERROR(__xludf.DUMMYFUNCTION("""COMPUTED_VALUE"""),44895.81440012732)</f>
        <v>44895.8144</v>
      </c>
      <c r="B925" s="24" t="str">
        <f>IFERROR(__xludf.DUMMYFUNCTION("""COMPUTED_VALUE"""),"Claire")</f>
        <v>Claire</v>
      </c>
      <c r="C925" s="24">
        <f>IFERROR(__xludf.DUMMYFUNCTION("""COMPUTED_VALUE"""),250.0)</f>
        <v>250</v>
      </c>
      <c r="D925" s="24" t="str">
        <f>IFERROR(__xludf.DUMMYFUNCTION("""COMPUTED_VALUE"""),"Amazon")</f>
        <v>Amazon</v>
      </c>
      <c r="F925" s="23">
        <f>IFERROR(__xludf.DUMMYFUNCTION("""COMPUTED_VALUE"""),44758.5106454051)</f>
        <v>44758.51065</v>
      </c>
      <c r="G925" s="24" t="str">
        <f>IFERROR(__xludf.DUMMYFUNCTION("""COMPUTED_VALUE"""),"JC")</f>
        <v>JC</v>
      </c>
      <c r="H925" s="24">
        <f>IFERROR(__xludf.DUMMYFUNCTION("""COMPUTED_VALUE"""),798.0)</f>
        <v>798</v>
      </c>
      <c r="I925" s="24" t="str">
        <f>IFERROR(__xludf.DUMMYFUNCTION("""COMPUTED_VALUE"""),"Cleaning Supplies")</f>
        <v>Cleaning Supplies</v>
      </c>
    </row>
    <row r="926">
      <c r="A926" s="23">
        <f>IFERROR(__xludf.DUMMYFUNCTION("""COMPUTED_VALUE"""),44898.0)</f>
        <v>44898</v>
      </c>
      <c r="B926" s="24" t="str">
        <f>IFERROR(__xludf.DUMMYFUNCTION("""COMPUTED_VALUE"""),"Claire")</f>
        <v>Claire</v>
      </c>
      <c r="C926" s="24">
        <f>IFERROR(__xludf.DUMMYFUNCTION("""COMPUTED_VALUE"""),702.0)</f>
        <v>702</v>
      </c>
      <c r="D926" s="24" t="str">
        <f>IFERROR(__xludf.DUMMYFUNCTION("""COMPUTED_VALUE"""),"Amazon")</f>
        <v>Amazon</v>
      </c>
      <c r="F926" s="23">
        <f>IFERROR(__xludf.DUMMYFUNCTION("""COMPUTED_VALUE"""),44758.51108049769)</f>
        <v>44758.51108</v>
      </c>
      <c r="G926" s="24" t="str">
        <f>IFERROR(__xludf.DUMMYFUNCTION("""COMPUTED_VALUE"""),"JC")</f>
        <v>JC</v>
      </c>
      <c r="H926" s="24">
        <f>IFERROR(__xludf.DUMMYFUNCTION("""COMPUTED_VALUE"""),417.0)</f>
        <v>417</v>
      </c>
      <c r="I926" s="24" t="str">
        <f>IFERROR(__xludf.DUMMYFUNCTION("""COMPUTED_VALUE"""),"Baby Supplies")</f>
        <v>Baby Supplies</v>
      </c>
    </row>
    <row r="927">
      <c r="A927" s="23">
        <f>IFERROR(__xludf.DUMMYFUNCTION("""COMPUTED_VALUE"""),44898.0)</f>
        <v>44898</v>
      </c>
      <c r="B927" s="24" t="str">
        <f>IFERROR(__xludf.DUMMYFUNCTION("""COMPUTED_VALUE"""),"Claire")</f>
        <v>Claire</v>
      </c>
      <c r="C927" s="24">
        <f>IFERROR(__xludf.DUMMYFUNCTION("""COMPUTED_VALUE"""),548.0)</f>
        <v>548</v>
      </c>
      <c r="D927" s="24" t="str">
        <f>IFERROR(__xludf.DUMMYFUNCTION("""COMPUTED_VALUE"""),"Amazon")</f>
        <v>Amazon</v>
      </c>
      <c r="F927" s="23">
        <f>IFERROR(__xludf.DUMMYFUNCTION("""COMPUTED_VALUE"""),44758.511650486114)</f>
        <v>44758.51165</v>
      </c>
      <c r="G927" s="24" t="str">
        <f>IFERROR(__xludf.DUMMYFUNCTION("""COMPUTED_VALUE"""),"JC")</f>
        <v>JC</v>
      </c>
      <c r="H927" s="24">
        <f>IFERROR(__xludf.DUMMYFUNCTION("""COMPUTED_VALUE"""),1134.0)</f>
        <v>1134</v>
      </c>
      <c r="I927" s="24" t="str">
        <f>IFERROR(__xludf.DUMMYFUNCTION("""COMPUTED_VALUE"""),"Pet Food")</f>
        <v>Pet Food</v>
      </c>
    </row>
    <row r="928">
      <c r="A928" s="23">
        <f>IFERROR(__xludf.DUMMYFUNCTION("""COMPUTED_VALUE"""),44898.0)</f>
        <v>44898</v>
      </c>
      <c r="B928" s="24" t="str">
        <f>IFERROR(__xludf.DUMMYFUNCTION("""COMPUTED_VALUE"""),"Claire")</f>
        <v>Claire</v>
      </c>
      <c r="C928" s="24">
        <f>IFERROR(__xludf.DUMMYFUNCTION("""COMPUTED_VALUE"""),258.0)</f>
        <v>258</v>
      </c>
      <c r="D928" s="24" t="str">
        <f>IFERROR(__xludf.DUMMYFUNCTION("""COMPUTED_VALUE"""),"Amazon")</f>
        <v>Amazon</v>
      </c>
      <c r="F928" s="23">
        <f>IFERROR(__xludf.DUMMYFUNCTION("""COMPUTED_VALUE"""),44758.51224942129)</f>
        <v>44758.51225</v>
      </c>
      <c r="G928" s="24" t="str">
        <f>IFERROR(__xludf.DUMMYFUNCTION("""COMPUTED_VALUE"""),"JC")</f>
        <v>JC</v>
      </c>
      <c r="H928" s="24">
        <f>IFERROR(__xludf.DUMMYFUNCTION("""COMPUTED_VALUE"""),630.0)</f>
        <v>630</v>
      </c>
      <c r="I928" s="24" t="str">
        <f>IFERROR(__xludf.DUMMYFUNCTION("""COMPUTED_VALUE"""),"Trash Bags")</f>
        <v>Trash Bags</v>
      </c>
    </row>
    <row r="929">
      <c r="A929" s="23">
        <f>IFERROR(__xludf.DUMMYFUNCTION("""COMPUTED_VALUE"""),44898.0)</f>
        <v>44898</v>
      </c>
      <c r="B929" s="24" t="str">
        <f>IFERROR(__xludf.DUMMYFUNCTION("""COMPUTED_VALUE"""),"Claire")</f>
        <v>Claire</v>
      </c>
      <c r="C929" s="24">
        <f>IFERROR(__xludf.DUMMYFUNCTION("""COMPUTED_VALUE"""),177.0)</f>
        <v>177</v>
      </c>
      <c r="D929" s="24" t="str">
        <f>IFERROR(__xludf.DUMMYFUNCTION("""COMPUTED_VALUE"""),"Amazon")</f>
        <v>Amazon</v>
      </c>
      <c r="F929" s="23">
        <f>IFERROR(__xludf.DUMMYFUNCTION("""COMPUTED_VALUE"""),44758.51254200231)</f>
        <v>44758.51254</v>
      </c>
      <c r="G929" s="24" t="str">
        <f>IFERROR(__xludf.DUMMYFUNCTION("""COMPUTED_VALUE"""),"JC")</f>
        <v>JC</v>
      </c>
      <c r="H929" s="24">
        <f>IFERROR(__xludf.DUMMYFUNCTION("""COMPUTED_VALUE"""),675.0)</f>
        <v>675</v>
      </c>
      <c r="I929" s="24" t="str">
        <f>IFERROR(__xludf.DUMMYFUNCTION("""COMPUTED_VALUE"""),"Pasta")</f>
        <v>Pasta</v>
      </c>
    </row>
    <row r="930">
      <c r="A930" s="23">
        <f>IFERROR(__xludf.DUMMYFUNCTION("""COMPUTED_VALUE"""),44898.0)</f>
        <v>44898</v>
      </c>
      <c r="B930" s="24" t="str">
        <f>IFERROR(__xludf.DUMMYFUNCTION("""COMPUTED_VALUE"""),"Claire")</f>
        <v>Claire</v>
      </c>
      <c r="C930" s="24">
        <f>IFERROR(__xludf.DUMMYFUNCTION("""COMPUTED_VALUE"""),184.0)</f>
        <v>184</v>
      </c>
      <c r="D930" s="24" t="str">
        <f>IFERROR(__xludf.DUMMYFUNCTION("""COMPUTED_VALUE"""),"Amazon")</f>
        <v>Amazon</v>
      </c>
      <c r="F930" s="23">
        <f>IFERROR(__xludf.DUMMYFUNCTION("""COMPUTED_VALUE"""),44758.512881365736)</f>
        <v>44758.51288</v>
      </c>
      <c r="G930" s="24" t="str">
        <f>IFERROR(__xludf.DUMMYFUNCTION("""COMPUTED_VALUE"""),"JC")</f>
        <v>JC</v>
      </c>
      <c r="H930" s="24">
        <f>IFERROR(__xludf.DUMMYFUNCTION("""COMPUTED_VALUE"""),133.0)</f>
        <v>133</v>
      </c>
      <c r="I930" s="24" t="str">
        <f>IFERROR(__xludf.DUMMYFUNCTION("""COMPUTED_VALUE"""),"Paper")</f>
        <v>Paper</v>
      </c>
    </row>
    <row r="931">
      <c r="A931" s="23">
        <f>IFERROR(__xludf.DUMMYFUNCTION("""COMPUTED_VALUE"""),44899.0)</f>
        <v>44899</v>
      </c>
      <c r="B931" s="24" t="str">
        <f>IFERROR(__xludf.DUMMYFUNCTION("""COMPUTED_VALUE"""),"Claire")</f>
        <v>Claire</v>
      </c>
      <c r="C931" s="24">
        <f>IFERROR(__xludf.DUMMYFUNCTION("""COMPUTED_VALUE"""),949.0)</f>
        <v>949</v>
      </c>
      <c r="D931" s="24" t="str">
        <f>IFERROR(__xludf.DUMMYFUNCTION("""COMPUTED_VALUE"""),"Amazon")</f>
        <v>Amazon</v>
      </c>
      <c r="F931" s="23">
        <f>IFERROR(__xludf.DUMMYFUNCTION("""COMPUTED_VALUE"""),44758.513208865734)</f>
        <v>44758.51321</v>
      </c>
      <c r="G931" s="24" t="str">
        <f>IFERROR(__xludf.DUMMYFUNCTION("""COMPUTED_VALUE"""),"JC")</f>
        <v>JC</v>
      </c>
      <c r="H931" s="24">
        <f>IFERROR(__xludf.DUMMYFUNCTION("""COMPUTED_VALUE"""),131.0)</f>
        <v>131</v>
      </c>
      <c r="I931" s="24" t="str">
        <f>IFERROR(__xludf.DUMMYFUNCTION("""COMPUTED_VALUE"""),"Oxo")</f>
        <v>Oxo</v>
      </c>
    </row>
    <row r="932">
      <c r="A932" s="23">
        <f>IFERROR(__xludf.DUMMYFUNCTION("""COMPUTED_VALUE"""),44899.0)</f>
        <v>44899</v>
      </c>
      <c r="B932" s="24" t="str">
        <f>IFERROR(__xludf.DUMMYFUNCTION("""COMPUTED_VALUE"""),"Claire")</f>
        <v>Claire</v>
      </c>
      <c r="C932" s="24">
        <f>IFERROR(__xludf.DUMMYFUNCTION("""COMPUTED_VALUE"""),45.0)</f>
        <v>45</v>
      </c>
      <c r="D932" s="24" t="str">
        <f>IFERROR(__xludf.DUMMYFUNCTION("""COMPUTED_VALUE"""),"Tubman House")</f>
        <v>Tubman House</v>
      </c>
      <c r="F932" s="23">
        <f>IFERROR(__xludf.DUMMYFUNCTION("""COMPUTED_VALUE"""),44758.766377500004)</f>
        <v>44758.76638</v>
      </c>
      <c r="G932" s="24" t="str">
        <f>IFERROR(__xludf.DUMMYFUNCTION("""COMPUTED_VALUE"""),"Emily Stucke")</f>
        <v>Emily Stucke</v>
      </c>
      <c r="H932" s="24">
        <f>IFERROR(__xludf.DUMMYFUNCTION("""COMPUTED_VALUE"""),12.0)</f>
        <v>12</v>
      </c>
      <c r="I932" s="24"/>
    </row>
    <row r="933">
      <c r="A933" s="23">
        <f>IFERROR(__xludf.DUMMYFUNCTION("""COMPUTED_VALUE"""),44899.0)</f>
        <v>44899</v>
      </c>
      <c r="B933" s="24" t="str">
        <f>IFERROR(__xludf.DUMMYFUNCTION("""COMPUTED_VALUE"""),"Claire")</f>
        <v>Claire</v>
      </c>
      <c r="C933" s="24">
        <f>IFERROR(__xludf.DUMMYFUNCTION("""COMPUTED_VALUE"""),1118.0)</f>
        <v>1118</v>
      </c>
      <c r="D933" s="24" t="str">
        <f>IFERROR(__xludf.DUMMYFUNCTION("""COMPUTED_VALUE"""),"Amazon")</f>
        <v>Amazon</v>
      </c>
      <c r="F933" s="23">
        <f>IFERROR(__xludf.DUMMYFUNCTION("""COMPUTED_VALUE"""),44758.76650849537)</f>
        <v>44758.76651</v>
      </c>
      <c r="G933" s="24" t="str">
        <f>IFERROR(__xludf.DUMMYFUNCTION("""COMPUTED_VALUE"""),"nathan ")</f>
        <v>nathan </v>
      </c>
      <c r="H933" s="24">
        <f>IFERROR(__xludf.DUMMYFUNCTION("""COMPUTED_VALUE"""),20.0)</f>
        <v>20</v>
      </c>
      <c r="I933" s="24"/>
    </row>
    <row r="934">
      <c r="A934" s="23">
        <f>IFERROR(__xludf.DUMMYFUNCTION("""COMPUTED_VALUE"""),44899.0)</f>
        <v>44899</v>
      </c>
      <c r="B934" s="24" t="str">
        <f>IFERROR(__xludf.DUMMYFUNCTION("""COMPUTED_VALUE"""),"Claire")</f>
        <v>Claire</v>
      </c>
      <c r="C934" s="24">
        <f>IFERROR(__xludf.DUMMYFUNCTION("""COMPUTED_VALUE"""),716.0)</f>
        <v>716</v>
      </c>
      <c r="D934" s="24" t="str">
        <f>IFERROR(__xludf.DUMMYFUNCTION("""COMPUTED_VALUE"""),"Amazon")</f>
        <v>Amazon</v>
      </c>
      <c r="F934" s="23">
        <f>IFERROR(__xludf.DUMMYFUNCTION("""COMPUTED_VALUE"""),44758.76718703703)</f>
        <v>44758.76719</v>
      </c>
      <c r="G934" s="24" t="str">
        <f>IFERROR(__xludf.DUMMYFUNCTION("""COMPUTED_VALUE"""),"Beverly Pinn")</f>
        <v>Beverly Pinn</v>
      </c>
      <c r="H934" s="24">
        <f>IFERROR(__xludf.DUMMYFUNCTION("""COMPUTED_VALUE"""),5.0)</f>
        <v>5</v>
      </c>
      <c r="I934" s="24"/>
    </row>
    <row r="935">
      <c r="A935" s="23">
        <f>IFERROR(__xludf.DUMMYFUNCTION("""COMPUTED_VALUE"""),44900.70107366898)</f>
        <v>44900.70107</v>
      </c>
      <c r="B935" s="24" t="str">
        <f>IFERROR(__xludf.DUMMYFUNCTION("""COMPUTED_VALUE"""),"JC")</f>
        <v>JC</v>
      </c>
      <c r="C935" s="24">
        <f>IFERROR(__xludf.DUMMYFUNCTION("""COMPUTED_VALUE"""),357.0)</f>
        <v>357</v>
      </c>
      <c r="D935" s="24" t="str">
        <f>IFERROR(__xludf.DUMMYFUNCTION("""COMPUTED_VALUE"""),"Amazon")</f>
        <v>Amazon</v>
      </c>
      <c r="F935" s="23">
        <f>IFERROR(__xludf.DUMMYFUNCTION("""COMPUTED_VALUE"""),44758.769026064816)</f>
        <v>44758.76903</v>
      </c>
      <c r="G935" s="24" t="str">
        <f>IFERROR(__xludf.DUMMYFUNCTION("""COMPUTED_VALUE"""),"Evelyn joang")</f>
        <v>Evelyn joang</v>
      </c>
      <c r="H935" s="24">
        <f>IFERROR(__xludf.DUMMYFUNCTION("""COMPUTED_VALUE"""),13.0)</f>
        <v>13</v>
      </c>
      <c r="I935" s="24"/>
    </row>
    <row r="936">
      <c r="A936" s="23">
        <f>IFERROR(__xludf.DUMMYFUNCTION("""COMPUTED_VALUE"""),44900.701357060185)</f>
        <v>44900.70136</v>
      </c>
      <c r="B936" s="24" t="str">
        <f>IFERROR(__xludf.DUMMYFUNCTION("""COMPUTED_VALUE"""),"JC")</f>
        <v>JC</v>
      </c>
      <c r="C936" s="24">
        <f>IFERROR(__xludf.DUMMYFUNCTION("""COMPUTED_VALUE"""),450.0)</f>
        <v>450</v>
      </c>
      <c r="D936" s="24" t="str">
        <f>IFERROR(__xludf.DUMMYFUNCTION("""COMPUTED_VALUE"""),"Amazon")</f>
        <v>Amazon</v>
      </c>
      <c r="F936" s="23">
        <f>IFERROR(__xludf.DUMMYFUNCTION("""COMPUTED_VALUE"""),44758.769605057874)</f>
        <v>44758.76961</v>
      </c>
      <c r="G936" s="24" t="str">
        <f>IFERROR(__xludf.DUMMYFUNCTION("""COMPUTED_VALUE"""),"Deborah O")</f>
        <v>Deborah O</v>
      </c>
      <c r="H936" s="24">
        <f>IFERROR(__xludf.DUMMYFUNCTION("""COMPUTED_VALUE"""),20.0)</f>
        <v>20</v>
      </c>
      <c r="I936" s="24"/>
    </row>
    <row r="937">
      <c r="A937" s="23">
        <f>IFERROR(__xludf.DUMMYFUNCTION("""COMPUTED_VALUE"""),44900.70166938657)</f>
        <v>44900.70167</v>
      </c>
      <c r="B937" s="24" t="str">
        <f>IFERROR(__xludf.DUMMYFUNCTION("""COMPUTED_VALUE"""),"JC")</f>
        <v>JC</v>
      </c>
      <c r="C937" s="24">
        <f>IFERROR(__xludf.DUMMYFUNCTION("""COMPUTED_VALUE"""),374.0)</f>
        <v>374</v>
      </c>
      <c r="D937" s="24" t="str">
        <f>IFERROR(__xludf.DUMMYFUNCTION("""COMPUTED_VALUE"""),"Amazon")</f>
        <v>Amazon</v>
      </c>
      <c r="F937" s="23">
        <f>IFERROR(__xludf.DUMMYFUNCTION("""COMPUTED_VALUE"""),44758.769854826394)</f>
        <v>44758.76985</v>
      </c>
      <c r="G937" s="24" t="str">
        <f>IFERROR(__xludf.DUMMYFUNCTION("""COMPUTED_VALUE"""),"Regina S.")</f>
        <v>Regina S.</v>
      </c>
      <c r="H937" s="24">
        <f>IFERROR(__xludf.DUMMYFUNCTION("""COMPUTED_VALUE"""),20.0)</f>
        <v>20</v>
      </c>
      <c r="I937" s="24"/>
    </row>
    <row r="938">
      <c r="A938" s="23">
        <f>IFERROR(__xludf.DUMMYFUNCTION("""COMPUTED_VALUE"""),44900.701933668985)</f>
        <v>44900.70193</v>
      </c>
      <c r="B938" s="24" t="str">
        <f>IFERROR(__xludf.DUMMYFUNCTION("""COMPUTED_VALUE"""),"JC")</f>
        <v>JC</v>
      </c>
      <c r="C938" s="24">
        <f>IFERROR(__xludf.DUMMYFUNCTION("""COMPUTED_VALUE"""),980.0)</f>
        <v>980</v>
      </c>
      <c r="D938" s="24" t="str">
        <f>IFERROR(__xludf.DUMMYFUNCTION("""COMPUTED_VALUE"""),"Amazon")</f>
        <v>Amazon</v>
      </c>
      <c r="F938" s="23">
        <f>IFERROR(__xludf.DUMMYFUNCTION("""COMPUTED_VALUE"""),44758.77040474537)</f>
        <v>44758.7704</v>
      </c>
      <c r="G938" s="24" t="str">
        <f>IFERROR(__xludf.DUMMYFUNCTION("""COMPUTED_VALUE"""),"Tiffany Jiang")</f>
        <v>Tiffany Jiang</v>
      </c>
      <c r="H938" s="24">
        <f>IFERROR(__xludf.DUMMYFUNCTION("""COMPUTED_VALUE"""),14.0)</f>
        <v>14</v>
      </c>
      <c r="I938" s="24"/>
    </row>
    <row r="939">
      <c r="A939" s="23">
        <f>IFERROR(__xludf.DUMMYFUNCTION("""COMPUTED_VALUE"""),44900.70218354166)</f>
        <v>44900.70218</v>
      </c>
      <c r="B939" s="24" t="str">
        <f>IFERROR(__xludf.DUMMYFUNCTION("""COMPUTED_VALUE"""),"JC")</f>
        <v>JC</v>
      </c>
      <c r="C939" s="24">
        <f>IFERROR(__xludf.DUMMYFUNCTION("""COMPUTED_VALUE"""),749.0)</f>
        <v>749</v>
      </c>
      <c r="D939" s="24" t="str">
        <f>IFERROR(__xludf.DUMMYFUNCTION("""COMPUTED_VALUE"""),"Amazon")</f>
        <v>Amazon</v>
      </c>
      <c r="F939" s="23">
        <f>IFERROR(__xludf.DUMMYFUNCTION("""COMPUTED_VALUE"""),44758.77451934027)</f>
        <v>44758.77452</v>
      </c>
      <c r="G939" s="24" t="str">
        <f>IFERROR(__xludf.DUMMYFUNCTION("""COMPUTED_VALUE"""),"Gabriela  cortes ")</f>
        <v>Gabriela  cortes </v>
      </c>
      <c r="H939" s="24">
        <f>IFERROR(__xludf.DUMMYFUNCTION("""COMPUTED_VALUE"""),19.0)</f>
        <v>19</v>
      </c>
      <c r="I939" s="24"/>
    </row>
    <row r="940">
      <c r="A940" s="23">
        <f>IFERROR(__xludf.DUMMYFUNCTION("""COMPUTED_VALUE"""),44900.702507662034)</f>
        <v>44900.70251</v>
      </c>
      <c r="B940" s="24" t="str">
        <f>IFERROR(__xludf.DUMMYFUNCTION("""COMPUTED_VALUE"""),"JC")</f>
        <v>JC</v>
      </c>
      <c r="C940" s="24">
        <f>IFERROR(__xludf.DUMMYFUNCTION("""COMPUTED_VALUE"""),698.0)</f>
        <v>698</v>
      </c>
      <c r="D940" s="24" t="str">
        <f>IFERROR(__xludf.DUMMYFUNCTION("""COMPUTED_VALUE"""),"Amazon")</f>
        <v>Amazon</v>
      </c>
      <c r="F940" s="23">
        <f>IFERROR(__xludf.DUMMYFUNCTION("""COMPUTED_VALUE"""),44758.77467615741)</f>
        <v>44758.77468</v>
      </c>
      <c r="G940" s="24" t="str">
        <f>IFERROR(__xludf.DUMMYFUNCTION("""COMPUTED_VALUE"""),"Deborah claridy ")</f>
        <v>Deborah claridy </v>
      </c>
      <c r="H940" s="24">
        <f>IFERROR(__xludf.DUMMYFUNCTION("""COMPUTED_VALUE"""),5.0)</f>
        <v>5</v>
      </c>
      <c r="I940" s="24"/>
    </row>
    <row r="941">
      <c r="A941" s="23">
        <f>IFERROR(__xludf.DUMMYFUNCTION("""COMPUTED_VALUE"""),44902.57671037036)</f>
        <v>44902.57671</v>
      </c>
      <c r="B941" s="24" t="str">
        <f>IFERROR(__xludf.DUMMYFUNCTION("""COMPUTED_VALUE"""),"JUANITA Chandler ")</f>
        <v>JUANITA Chandler </v>
      </c>
      <c r="C941" s="24">
        <f>IFERROR(__xludf.DUMMYFUNCTION("""COMPUTED_VALUE"""),767.0)</f>
        <v>767</v>
      </c>
      <c r="D941" s="24" t="str">
        <f>IFERROR(__xludf.DUMMYFUNCTION("""COMPUTED_VALUE"""),"Amazon")</f>
        <v>Amazon</v>
      </c>
      <c r="F941" s="23">
        <f>IFERROR(__xludf.DUMMYFUNCTION("""COMPUTED_VALUE"""),44758.77608844908)</f>
        <v>44758.77609</v>
      </c>
      <c r="G941" s="24" t="str">
        <f>IFERROR(__xludf.DUMMYFUNCTION("""COMPUTED_VALUE"""),"Deborah Claridy ")</f>
        <v>Deborah Claridy </v>
      </c>
      <c r="H941" s="24">
        <f>IFERROR(__xludf.DUMMYFUNCTION("""COMPUTED_VALUE"""),1.0)</f>
        <v>1</v>
      </c>
      <c r="I941" s="24"/>
    </row>
    <row r="942">
      <c r="A942" s="23">
        <f>IFERROR(__xludf.DUMMYFUNCTION("""COMPUTED_VALUE"""),44902.577609872686)</f>
        <v>44902.57761</v>
      </c>
      <c r="B942" s="24" t="str">
        <f>IFERROR(__xludf.DUMMYFUNCTION("""COMPUTED_VALUE"""),"JUANITA Chandler ")</f>
        <v>JUANITA Chandler </v>
      </c>
      <c r="C942" s="24">
        <f>IFERROR(__xludf.DUMMYFUNCTION("""COMPUTED_VALUE"""),324.0)</f>
        <v>324</v>
      </c>
      <c r="D942" s="24" t="str">
        <f>IFERROR(__xludf.DUMMYFUNCTION("""COMPUTED_VALUE"""),"Amazon")</f>
        <v>Amazon</v>
      </c>
      <c r="F942" s="23">
        <f>IFERROR(__xludf.DUMMYFUNCTION("""COMPUTED_VALUE"""),44758.789331967586)</f>
        <v>44758.78933</v>
      </c>
      <c r="G942" s="24" t="str">
        <f>IFERROR(__xludf.DUMMYFUNCTION("""COMPUTED_VALUE"""),"Lynnette c")</f>
        <v>Lynnette c</v>
      </c>
      <c r="H942" s="24">
        <f>IFERROR(__xludf.DUMMYFUNCTION("""COMPUTED_VALUE"""),14.0)</f>
        <v>14</v>
      </c>
      <c r="I942" s="24"/>
    </row>
    <row r="943">
      <c r="A943" s="23">
        <f>IFERROR(__xludf.DUMMYFUNCTION("""COMPUTED_VALUE"""),44902.57809616898)</f>
        <v>44902.5781</v>
      </c>
      <c r="B943" s="24" t="str">
        <f>IFERROR(__xludf.DUMMYFUNCTION("""COMPUTED_VALUE"""),"JUANITA Chandler ")</f>
        <v>JUANITA Chandler </v>
      </c>
      <c r="C943" s="24">
        <f>IFERROR(__xludf.DUMMYFUNCTION("""COMPUTED_VALUE"""),743.0)</f>
        <v>743</v>
      </c>
      <c r="D943" s="24" t="str">
        <f>IFERROR(__xludf.DUMMYFUNCTION("""COMPUTED_VALUE"""),"Amazon")</f>
        <v>Amazon</v>
      </c>
      <c r="F943" s="23">
        <f>IFERROR(__xludf.DUMMYFUNCTION("""COMPUTED_VALUE"""),44758.78959684028)</f>
        <v>44758.7896</v>
      </c>
      <c r="G943" s="24" t="str">
        <f>IFERROR(__xludf.DUMMYFUNCTION("""COMPUTED_VALUE"""),"Lynnette (damage)")</f>
        <v>Lynnette (damage)</v>
      </c>
      <c r="H943" s="24">
        <f>IFERROR(__xludf.DUMMYFUNCTION("""COMPUTED_VALUE"""),2.0)</f>
        <v>2</v>
      </c>
      <c r="I943" s="24"/>
    </row>
    <row r="944">
      <c r="A944" s="23">
        <f>IFERROR(__xludf.DUMMYFUNCTION("""COMPUTED_VALUE"""),44902.58947767362)</f>
        <v>44902.58948</v>
      </c>
      <c r="B944" s="24" t="str">
        <f>IFERROR(__xludf.DUMMYFUNCTION("""COMPUTED_VALUE"""),"JUANITA Chandler ")</f>
        <v>JUANITA Chandler </v>
      </c>
      <c r="C944" s="24">
        <f>IFERROR(__xludf.DUMMYFUNCTION("""COMPUTED_VALUE"""),564.0)</f>
        <v>564</v>
      </c>
      <c r="D944" s="24" t="str">
        <f>IFERROR(__xludf.DUMMYFUNCTION("""COMPUTED_VALUE"""),"Amazon")</f>
        <v>Amazon</v>
      </c>
      <c r="F944" s="23">
        <f>IFERROR(__xludf.DUMMYFUNCTION("""COMPUTED_VALUE"""),44759.0)</f>
        <v>44759</v>
      </c>
      <c r="G944" s="24" t="str">
        <f>IFERROR(__xludf.DUMMYFUNCTION("""COMPUTED_VALUE"""),"Travis James")</f>
        <v>Travis James</v>
      </c>
      <c r="H944" s="24">
        <f>IFERROR(__xludf.DUMMYFUNCTION("""COMPUTED_VALUE"""),20.0)</f>
        <v>20</v>
      </c>
      <c r="I944" s="24"/>
    </row>
    <row r="945">
      <c r="A945" s="23">
        <f>IFERROR(__xludf.DUMMYFUNCTION("""COMPUTED_VALUE"""),44902.59056604166)</f>
        <v>44902.59057</v>
      </c>
      <c r="B945" s="24" t="str">
        <f>IFERROR(__xludf.DUMMYFUNCTION("""COMPUTED_VALUE"""),"JUANITA Chandler ")</f>
        <v>JUANITA Chandler </v>
      </c>
      <c r="C945" s="24">
        <f>IFERROR(__xludf.DUMMYFUNCTION("""COMPUTED_VALUE"""),790.0)</f>
        <v>790</v>
      </c>
      <c r="D945" s="24" t="str">
        <f>IFERROR(__xludf.DUMMYFUNCTION("""COMPUTED_VALUE"""),"Amazon")</f>
        <v>Amazon</v>
      </c>
      <c r="F945" s="23">
        <f>IFERROR(__xludf.DUMMYFUNCTION("""COMPUTED_VALUE"""),44759.0)</f>
        <v>44759</v>
      </c>
      <c r="G945" s="24" t="str">
        <f>IFERROR(__xludf.DUMMYFUNCTION("""COMPUTED_VALUE"""),"Travis James")</f>
        <v>Travis James</v>
      </c>
      <c r="H945" s="24">
        <f>IFERROR(__xludf.DUMMYFUNCTION("""COMPUTED_VALUE"""),7.0)</f>
        <v>7</v>
      </c>
      <c r="I945" s="24"/>
    </row>
    <row r="946">
      <c r="A946" s="23">
        <f>IFERROR(__xludf.DUMMYFUNCTION("""COMPUTED_VALUE"""),44902.591048587965)</f>
        <v>44902.59105</v>
      </c>
      <c r="B946" s="24" t="str">
        <f>IFERROR(__xludf.DUMMYFUNCTION("""COMPUTED_VALUE"""),"JUANITA Chandler ")</f>
        <v>JUANITA Chandler </v>
      </c>
      <c r="C946" s="24">
        <f>IFERROR(__xludf.DUMMYFUNCTION("""COMPUTED_VALUE"""),580.0)</f>
        <v>580</v>
      </c>
      <c r="D946" s="24" t="str">
        <f>IFERROR(__xludf.DUMMYFUNCTION("""COMPUTED_VALUE"""),"Amazon")</f>
        <v>Amazon</v>
      </c>
      <c r="F946" s="23">
        <f>IFERROR(__xludf.DUMMYFUNCTION("""COMPUTED_VALUE"""),44759.0)</f>
        <v>44759</v>
      </c>
      <c r="G946" s="24" t="str">
        <f>IFERROR(__xludf.DUMMYFUNCTION("""COMPUTED_VALUE"""),"Marci")</f>
        <v>Marci</v>
      </c>
      <c r="H946" s="24">
        <f>IFERROR(__xludf.DUMMYFUNCTION("""COMPUTED_VALUE"""),20.0)</f>
        <v>20</v>
      </c>
      <c r="I946" s="24"/>
    </row>
    <row r="947">
      <c r="A947" s="23">
        <f>IFERROR(__xludf.DUMMYFUNCTION("""COMPUTED_VALUE"""),44902.59231784722)</f>
        <v>44902.59232</v>
      </c>
      <c r="B947" s="24" t="str">
        <f>IFERROR(__xludf.DUMMYFUNCTION("""COMPUTED_VALUE"""),"JUANITA Chandler ")</f>
        <v>JUANITA Chandler </v>
      </c>
      <c r="C947" s="24">
        <f>IFERROR(__xludf.DUMMYFUNCTION("""COMPUTED_VALUE"""),830.0)</f>
        <v>830</v>
      </c>
      <c r="D947" s="24" t="str">
        <f>IFERROR(__xludf.DUMMYFUNCTION("""COMPUTED_VALUE"""),"Amazon")</f>
        <v>Amazon</v>
      </c>
      <c r="F947" s="23">
        <f>IFERROR(__xludf.DUMMYFUNCTION("""COMPUTED_VALUE"""),44759.0)</f>
        <v>44759</v>
      </c>
      <c r="G947" s="24" t="str">
        <f>IFERROR(__xludf.DUMMYFUNCTION("""COMPUTED_VALUE"""),"Marci")</f>
        <v>Marci</v>
      </c>
      <c r="H947" s="24">
        <f>IFERROR(__xludf.DUMMYFUNCTION("""COMPUTED_VALUE"""),22.0)</f>
        <v>22</v>
      </c>
      <c r="I947" s="24"/>
    </row>
    <row r="948">
      <c r="A948" s="23">
        <f>IFERROR(__xludf.DUMMYFUNCTION("""COMPUTED_VALUE"""),44902.59272920139)</f>
        <v>44902.59273</v>
      </c>
      <c r="B948" s="24" t="str">
        <f>IFERROR(__xludf.DUMMYFUNCTION("""COMPUTED_VALUE"""),"JUANITA Chandler ")</f>
        <v>JUANITA Chandler </v>
      </c>
      <c r="C948" s="24">
        <f>IFERROR(__xludf.DUMMYFUNCTION("""COMPUTED_VALUE"""),1149.0)</f>
        <v>1149</v>
      </c>
      <c r="D948" s="24" t="str">
        <f>IFERROR(__xludf.DUMMYFUNCTION("""COMPUTED_VALUE"""),"Amazon")</f>
        <v>Amazon</v>
      </c>
      <c r="F948" s="23">
        <f>IFERROR(__xludf.DUMMYFUNCTION("""COMPUTED_VALUE"""),44759.0)</f>
        <v>44759</v>
      </c>
      <c r="G948" s="24" t="str">
        <f>IFERROR(__xludf.DUMMYFUNCTION("""COMPUTED_VALUE"""),"Alex Wang")</f>
        <v>Alex Wang</v>
      </c>
      <c r="H948" s="24">
        <f>IFERROR(__xludf.DUMMYFUNCTION("""COMPUTED_VALUE"""),20.0)</f>
        <v>20</v>
      </c>
      <c r="I948" s="24"/>
    </row>
    <row r="949">
      <c r="A949" s="23">
        <f>IFERROR(__xludf.DUMMYFUNCTION("""COMPUTED_VALUE"""),44902.59312393519)</f>
        <v>44902.59312</v>
      </c>
      <c r="B949" s="24" t="str">
        <f>IFERROR(__xludf.DUMMYFUNCTION("""COMPUTED_VALUE"""),"JUANITA Chandler ")</f>
        <v>JUANITA Chandler </v>
      </c>
      <c r="C949" s="24">
        <f>IFERROR(__xludf.DUMMYFUNCTION("""COMPUTED_VALUE"""),557.0)</f>
        <v>557</v>
      </c>
      <c r="D949" s="24" t="str">
        <f>IFERROR(__xludf.DUMMYFUNCTION("""COMPUTED_VALUE"""),"Amazon")</f>
        <v>Amazon</v>
      </c>
      <c r="F949" s="23">
        <f>IFERROR(__xludf.DUMMYFUNCTION("""COMPUTED_VALUE"""),44759.0)</f>
        <v>44759</v>
      </c>
      <c r="G949" s="24" t="str">
        <f>IFERROR(__xludf.DUMMYFUNCTION("""COMPUTED_VALUE"""),"Ladaisha Thompson")</f>
        <v>Ladaisha Thompson</v>
      </c>
      <c r="H949" s="24">
        <f>IFERROR(__xludf.DUMMYFUNCTION("""COMPUTED_VALUE"""),17.0)</f>
        <v>17</v>
      </c>
      <c r="I949" s="24"/>
    </row>
    <row r="950">
      <c r="A950" s="23">
        <f>IFERROR(__xludf.DUMMYFUNCTION("""COMPUTED_VALUE"""),44902.639961967594)</f>
        <v>44902.63996</v>
      </c>
      <c r="B950" s="24" t="str">
        <f>IFERROR(__xludf.DUMMYFUNCTION("""COMPUTED_VALUE"""),"JUANITA Chandler ")</f>
        <v>JUANITA Chandler </v>
      </c>
      <c r="C950" s="24">
        <f>IFERROR(__xludf.DUMMYFUNCTION("""COMPUTED_VALUE"""),494.0)</f>
        <v>494</v>
      </c>
      <c r="D950" s="24" t="str">
        <f>IFERROR(__xludf.DUMMYFUNCTION("""COMPUTED_VALUE"""),"Amazon")</f>
        <v>Amazon</v>
      </c>
      <c r="F950" s="23">
        <f>IFERROR(__xludf.DUMMYFUNCTION("""COMPUTED_VALUE"""),44759.53039439815)</f>
        <v>44759.53039</v>
      </c>
      <c r="G950" s="24" t="str">
        <f>IFERROR(__xludf.DUMMYFUNCTION("""COMPUTED_VALUE"""),"Kaneesha ")</f>
        <v>Kaneesha </v>
      </c>
      <c r="H950" s="24">
        <f>IFERROR(__xludf.DUMMYFUNCTION("""COMPUTED_VALUE"""),429.0)</f>
        <v>429</v>
      </c>
      <c r="I950" s="24" t="str">
        <f>IFERROR(__xludf.DUMMYFUNCTION("""COMPUTED_VALUE"""),"Personal care")</f>
        <v>Personal care</v>
      </c>
    </row>
    <row r="951">
      <c r="A951" s="23">
        <f>IFERROR(__xludf.DUMMYFUNCTION("""COMPUTED_VALUE"""),44902.64053709491)</f>
        <v>44902.64054</v>
      </c>
      <c r="B951" s="24" t="str">
        <f>IFERROR(__xludf.DUMMYFUNCTION("""COMPUTED_VALUE"""),"JUANITA Chandler ")</f>
        <v>JUANITA Chandler </v>
      </c>
      <c r="C951" s="24">
        <f>IFERROR(__xludf.DUMMYFUNCTION("""COMPUTED_VALUE"""),641.0)</f>
        <v>641</v>
      </c>
      <c r="D951" s="24" t="str">
        <f>IFERROR(__xludf.DUMMYFUNCTION("""COMPUTED_VALUE"""),"Amazon")</f>
        <v>Amazon</v>
      </c>
      <c r="F951" s="23">
        <f>IFERROR(__xludf.DUMMYFUNCTION("""COMPUTED_VALUE"""),44759.531558310184)</f>
        <v>44759.53156</v>
      </c>
      <c r="G951" s="24" t="str">
        <f>IFERROR(__xludf.DUMMYFUNCTION("""COMPUTED_VALUE"""),"Kaneesha ")</f>
        <v>Kaneesha </v>
      </c>
      <c r="H951" s="24">
        <f>IFERROR(__xludf.DUMMYFUNCTION("""COMPUTED_VALUE"""),652.0)</f>
        <v>652</v>
      </c>
      <c r="I951" s="24" t="str">
        <f>IFERROR(__xludf.DUMMYFUNCTION("""COMPUTED_VALUE"""),"Produce")</f>
        <v>Produce</v>
      </c>
    </row>
    <row r="952">
      <c r="A952" s="23">
        <f>IFERROR(__xludf.DUMMYFUNCTION("""COMPUTED_VALUE"""),44902.64094150463)</f>
        <v>44902.64094</v>
      </c>
      <c r="B952" s="24" t="str">
        <f>IFERROR(__xludf.DUMMYFUNCTION("""COMPUTED_VALUE"""),"JUANITA Chandler ")</f>
        <v>JUANITA Chandler </v>
      </c>
      <c r="C952" s="24">
        <f>IFERROR(__xludf.DUMMYFUNCTION("""COMPUTED_VALUE"""),565.0)</f>
        <v>565</v>
      </c>
      <c r="D952" s="24" t="str">
        <f>IFERROR(__xludf.DUMMYFUNCTION("""COMPUTED_VALUE"""),"Amazon")</f>
        <v>Amazon</v>
      </c>
      <c r="F952" s="23">
        <f>IFERROR(__xludf.DUMMYFUNCTION("""COMPUTED_VALUE"""),44759.53222474537)</f>
        <v>44759.53222</v>
      </c>
      <c r="G952" s="24" t="str">
        <f>IFERROR(__xludf.DUMMYFUNCTION("""COMPUTED_VALUE"""),"Kaneesha ")</f>
        <v>Kaneesha </v>
      </c>
      <c r="H952" s="24">
        <f>IFERROR(__xludf.DUMMYFUNCTION("""COMPUTED_VALUE"""),1080.0)</f>
        <v>1080</v>
      </c>
      <c r="I952" s="24" t="str">
        <f>IFERROR(__xludf.DUMMYFUNCTION("""COMPUTED_VALUE"""),"Meat")</f>
        <v>Meat</v>
      </c>
    </row>
    <row r="953">
      <c r="A953" s="23">
        <f>IFERROR(__xludf.DUMMYFUNCTION("""COMPUTED_VALUE"""),44906.62973746528)</f>
        <v>44906.62974</v>
      </c>
      <c r="B953" s="24" t="str">
        <f>IFERROR(__xludf.DUMMYFUNCTION("""COMPUTED_VALUE"""),"JUANITA Chandler ")</f>
        <v>JUANITA Chandler </v>
      </c>
      <c r="C953" s="24">
        <f>IFERROR(__xludf.DUMMYFUNCTION("""COMPUTED_VALUE"""),53.0)</f>
        <v>53</v>
      </c>
      <c r="D953" s="24" t="str">
        <f>IFERROR(__xludf.DUMMYFUNCTION("""COMPUTED_VALUE"""),"Homewood and Friends ")</f>
        <v>Homewood and Friends </v>
      </c>
      <c r="F953" s="23">
        <f>IFERROR(__xludf.DUMMYFUNCTION("""COMPUTED_VALUE"""),44759.53271666667)</f>
        <v>44759.53272</v>
      </c>
      <c r="G953" s="24" t="str">
        <f>IFERROR(__xludf.DUMMYFUNCTION("""COMPUTED_VALUE"""),"Kaneesha ")</f>
        <v>Kaneesha </v>
      </c>
      <c r="H953" s="24">
        <f>IFERROR(__xludf.DUMMYFUNCTION("""COMPUTED_VALUE"""),495.0)</f>
        <v>495</v>
      </c>
      <c r="I953" s="24" t="str">
        <f>IFERROR(__xludf.DUMMYFUNCTION("""COMPUTED_VALUE"""),"Produce")</f>
        <v>Produce</v>
      </c>
    </row>
    <row r="954">
      <c r="A954" s="23">
        <f>IFERROR(__xludf.DUMMYFUNCTION("""COMPUTED_VALUE"""),44906.630219652776)</f>
        <v>44906.63022</v>
      </c>
      <c r="B954" s="24" t="str">
        <f>IFERROR(__xludf.DUMMYFUNCTION("""COMPUTED_VALUE"""),"JUANITA Chandler ")</f>
        <v>JUANITA Chandler </v>
      </c>
      <c r="C954" s="24">
        <f>IFERROR(__xludf.DUMMYFUNCTION("""COMPUTED_VALUE"""),296.0)</f>
        <v>296</v>
      </c>
      <c r="D954" s="24" t="str">
        <f>IFERROR(__xludf.DUMMYFUNCTION("""COMPUTED_VALUE"""),"Amazon")</f>
        <v>Amazon</v>
      </c>
      <c r="F954" s="23">
        <f>IFERROR(__xludf.DUMMYFUNCTION("""COMPUTED_VALUE"""),44759.533147662034)</f>
        <v>44759.53315</v>
      </c>
      <c r="G954" s="24" t="str">
        <f>IFERROR(__xludf.DUMMYFUNCTION("""COMPUTED_VALUE"""),"Kaneesha ")</f>
        <v>Kaneesha </v>
      </c>
      <c r="H954" s="24">
        <f>IFERROR(__xludf.DUMMYFUNCTION("""COMPUTED_VALUE"""),614.0)</f>
        <v>614</v>
      </c>
      <c r="I954" s="24" t="str">
        <f>IFERROR(__xludf.DUMMYFUNCTION("""COMPUTED_VALUE"""),"Produce")</f>
        <v>Produce</v>
      </c>
    </row>
    <row r="955">
      <c r="A955" s="23">
        <f>IFERROR(__xludf.DUMMYFUNCTION("""COMPUTED_VALUE"""),44906.64655121528)</f>
        <v>44906.64655</v>
      </c>
      <c r="B955" s="24" t="str">
        <f>IFERROR(__xludf.DUMMYFUNCTION("""COMPUTED_VALUE"""),"JUANITA Chandler ")</f>
        <v>JUANITA Chandler </v>
      </c>
      <c r="C955" s="24">
        <f>IFERROR(__xludf.DUMMYFUNCTION("""COMPUTED_VALUE"""),587.0)</f>
        <v>587</v>
      </c>
      <c r="D955" s="24" t="str">
        <f>IFERROR(__xludf.DUMMYFUNCTION("""COMPUTED_VALUE"""),"Amazon")</f>
        <v>Amazon</v>
      </c>
      <c r="F955" s="23">
        <f>IFERROR(__xludf.DUMMYFUNCTION("""COMPUTED_VALUE"""),44759.53429619213)</f>
        <v>44759.5343</v>
      </c>
      <c r="G955" s="24" t="str">
        <f>IFERROR(__xludf.DUMMYFUNCTION("""COMPUTED_VALUE"""),"Kaneesha ")</f>
        <v>Kaneesha </v>
      </c>
      <c r="H955" s="24">
        <f>IFERROR(__xludf.DUMMYFUNCTION("""COMPUTED_VALUE"""),-390.0)</f>
        <v>-390</v>
      </c>
      <c r="I955" s="24" t="str">
        <f>IFERROR(__xludf.DUMMYFUNCTION("""COMPUTED_VALUE"""),"Cleaning Products")</f>
        <v>Cleaning Products</v>
      </c>
    </row>
    <row r="956">
      <c r="A956" s="23">
        <f>IFERROR(__xludf.DUMMYFUNCTION("""COMPUTED_VALUE"""),44906.64707142361)</f>
        <v>44906.64707</v>
      </c>
      <c r="B956" s="24" t="str">
        <f>IFERROR(__xludf.DUMMYFUNCTION("""COMPUTED_VALUE"""),"JUANITA Chandler ")</f>
        <v>JUANITA Chandler </v>
      </c>
      <c r="C956" s="24">
        <f>IFERROR(__xludf.DUMMYFUNCTION("""COMPUTED_VALUE"""),210.0)</f>
        <v>210</v>
      </c>
      <c r="D956" s="24" t="str">
        <f>IFERROR(__xludf.DUMMYFUNCTION("""COMPUTED_VALUE"""),"Amazon")</f>
        <v>Amazon</v>
      </c>
      <c r="F956" s="23">
        <f>IFERROR(__xludf.DUMMYFUNCTION("""COMPUTED_VALUE"""),44759.53509359953)</f>
        <v>44759.53509</v>
      </c>
      <c r="G956" s="24" t="str">
        <f>IFERROR(__xludf.DUMMYFUNCTION("""COMPUTED_VALUE"""),"Kaneesha ")</f>
        <v>Kaneesha </v>
      </c>
      <c r="H956" s="24">
        <f>IFERROR(__xludf.DUMMYFUNCTION("""COMPUTED_VALUE"""),-205.0)</f>
        <v>-205</v>
      </c>
      <c r="I956" s="24" t="str">
        <f>IFERROR(__xludf.DUMMYFUNCTION("""COMPUTED_VALUE"""),"Paper Products ")</f>
        <v>Paper Products </v>
      </c>
    </row>
    <row r="957">
      <c r="A957" s="23">
        <f>IFERROR(__xludf.DUMMYFUNCTION("""COMPUTED_VALUE"""),44906.64747621528)</f>
        <v>44906.64748</v>
      </c>
      <c r="B957" s="24" t="str">
        <f>IFERROR(__xludf.DUMMYFUNCTION("""COMPUTED_VALUE"""),"JUANITA Chandler ")</f>
        <v>JUANITA Chandler </v>
      </c>
      <c r="C957" s="24">
        <f>IFERROR(__xludf.DUMMYFUNCTION("""COMPUTED_VALUE"""),914.0)</f>
        <v>914</v>
      </c>
      <c r="D957" s="24" t="str">
        <f>IFERROR(__xludf.DUMMYFUNCTION("""COMPUTED_VALUE"""),"Amazon")</f>
        <v>Amazon</v>
      </c>
      <c r="F957" s="23">
        <f>IFERROR(__xludf.DUMMYFUNCTION("""COMPUTED_VALUE"""),44759.53603206019)</f>
        <v>44759.53603</v>
      </c>
      <c r="G957" s="24" t="str">
        <f>IFERROR(__xludf.DUMMYFUNCTION("""COMPUTED_VALUE"""),"Kaneesha ")</f>
        <v>Kaneesha </v>
      </c>
      <c r="H957" s="24">
        <f>IFERROR(__xludf.DUMMYFUNCTION("""COMPUTED_VALUE"""),-139.0)</f>
        <v>-139</v>
      </c>
      <c r="I957" s="24" t="str">
        <f>IFERROR(__xludf.DUMMYFUNCTION("""COMPUTED_VALUE"""),"Baby")</f>
        <v>Baby</v>
      </c>
    </row>
    <row r="958">
      <c r="A958" s="23">
        <f>IFERROR(__xludf.DUMMYFUNCTION("""COMPUTED_VALUE"""),44906.64804465277)</f>
        <v>44906.64804</v>
      </c>
      <c r="B958" s="24" t="str">
        <f>IFERROR(__xludf.DUMMYFUNCTION("""COMPUTED_VALUE"""),"JUANITA Chandler ")</f>
        <v>JUANITA Chandler </v>
      </c>
      <c r="C958" s="24">
        <f>IFERROR(__xludf.DUMMYFUNCTION("""COMPUTED_VALUE"""),748.0)</f>
        <v>748</v>
      </c>
      <c r="D958" s="24" t="str">
        <f>IFERROR(__xludf.DUMMYFUNCTION("""COMPUTED_VALUE"""),"Amazon")</f>
        <v>Amazon</v>
      </c>
      <c r="F958" s="23">
        <f>IFERROR(__xludf.DUMMYFUNCTION("""COMPUTED_VALUE"""),44759.53666945602)</f>
        <v>44759.53667</v>
      </c>
      <c r="G958" s="24" t="str">
        <f>IFERROR(__xludf.DUMMYFUNCTION("""COMPUTED_VALUE"""),"Kaneesha ")</f>
        <v>Kaneesha </v>
      </c>
      <c r="H958" s="24">
        <f>IFERROR(__xludf.DUMMYFUNCTION("""COMPUTED_VALUE"""),-70.0)</f>
        <v>-70</v>
      </c>
      <c r="I958" s="24" t="str">
        <f>IFERROR(__xludf.DUMMYFUNCTION("""COMPUTED_VALUE"""),"Grains (rice, pasta, etc.)")</f>
        <v>Grains (rice, pasta, etc.)</v>
      </c>
    </row>
    <row r="959">
      <c r="A959" s="23">
        <f>IFERROR(__xludf.DUMMYFUNCTION("""COMPUTED_VALUE"""),44909.63845369213)</f>
        <v>44909.63845</v>
      </c>
      <c r="B959" s="24" t="str">
        <f>IFERROR(__xludf.DUMMYFUNCTION("""COMPUTED_VALUE"""),"Claire")</f>
        <v>Claire</v>
      </c>
      <c r="C959" s="24">
        <f>IFERROR(__xludf.DUMMYFUNCTION("""COMPUTED_VALUE"""),575.0)</f>
        <v>575</v>
      </c>
      <c r="D959" s="24" t="str">
        <f>IFERROR(__xludf.DUMMYFUNCTION("""COMPUTED_VALUE"""),"Sysco Purchase")</f>
        <v>Sysco Purchase</v>
      </c>
      <c r="F959" s="23">
        <f>IFERROR(__xludf.DUMMYFUNCTION("""COMPUTED_VALUE"""),44759.53737466435)</f>
        <v>44759.53737</v>
      </c>
      <c r="G959" s="24" t="str">
        <f>IFERROR(__xludf.DUMMYFUNCTION("""COMPUTED_VALUE"""),"Kaneesha ")</f>
        <v>Kaneesha </v>
      </c>
      <c r="H959" s="24">
        <f>IFERROR(__xludf.DUMMYFUNCTION("""COMPUTED_VALUE"""),-148.0)</f>
        <v>-148</v>
      </c>
      <c r="I959" s="24" t="str">
        <f>IFERROR(__xludf.DUMMYFUNCTION("""COMPUTED_VALUE"""),"Personal Care")</f>
        <v>Personal Care</v>
      </c>
    </row>
    <row r="960">
      <c r="A960" s="23">
        <f>IFERROR(__xludf.DUMMYFUNCTION("""COMPUTED_VALUE"""),44910.682384039355)</f>
        <v>44910.68238</v>
      </c>
      <c r="B960" s="24" t="str">
        <f>IFERROR(__xludf.DUMMYFUNCTION("""COMPUTED_VALUE"""),"Jean")</f>
        <v>Jean</v>
      </c>
      <c r="C960" s="24">
        <f>IFERROR(__xludf.DUMMYFUNCTION("""COMPUTED_VALUE"""),721.0)</f>
        <v>721</v>
      </c>
      <c r="D960" s="24" t="str">
        <f>IFERROR(__xludf.DUMMYFUNCTION("""COMPUTED_VALUE"""),"Sysco Purchase")</f>
        <v>Sysco Purchase</v>
      </c>
      <c r="F960" s="23">
        <f>IFERROR(__xludf.DUMMYFUNCTION("""COMPUTED_VALUE"""),44759.63962368056)</f>
        <v>44759.63962</v>
      </c>
      <c r="G960" s="24" t="str">
        <f>IFERROR(__xludf.DUMMYFUNCTION("""COMPUTED_VALUE"""),"Zoe")</f>
        <v>Zoe</v>
      </c>
      <c r="H960" s="24">
        <f>IFERROR(__xludf.DUMMYFUNCTION("""COMPUTED_VALUE"""),286.0)</f>
        <v>286</v>
      </c>
      <c r="I960" s="24" t="str">
        <f>IFERROR(__xludf.DUMMYFUNCTION("""COMPUTED_VALUE"""),"Amazon")</f>
        <v>Amazon</v>
      </c>
    </row>
    <row r="961">
      <c r="A961" s="23">
        <f>IFERROR(__xludf.DUMMYFUNCTION("""COMPUTED_VALUE"""),44913.623786122684)</f>
        <v>44913.62379</v>
      </c>
      <c r="B961" s="24" t="str">
        <f>IFERROR(__xludf.DUMMYFUNCTION("""COMPUTED_VALUE"""),"Juanita Chandler ")</f>
        <v>Juanita Chandler </v>
      </c>
      <c r="C961" s="24">
        <f>IFERROR(__xludf.DUMMYFUNCTION("""COMPUTED_VALUE"""),771.0)</f>
        <v>771</v>
      </c>
      <c r="D961" s="24" t="str">
        <f>IFERROR(__xludf.DUMMYFUNCTION("""COMPUTED_VALUE"""),"Amazon")</f>
        <v>Amazon</v>
      </c>
      <c r="F961" s="23">
        <f>IFERROR(__xludf.DUMMYFUNCTION("""COMPUTED_VALUE"""),44759.64463078704)</f>
        <v>44759.64463</v>
      </c>
      <c r="G961" s="24" t="str">
        <f>IFERROR(__xludf.DUMMYFUNCTION("""COMPUTED_VALUE"""),"Zoe")</f>
        <v>Zoe</v>
      </c>
      <c r="H961" s="24">
        <f>IFERROR(__xludf.DUMMYFUNCTION("""COMPUTED_VALUE"""),469.0)</f>
        <v>469</v>
      </c>
      <c r="I961" s="24" t="str">
        <f>IFERROR(__xludf.DUMMYFUNCTION("""COMPUTED_VALUE"""),"Amazon")</f>
        <v>Amazon</v>
      </c>
    </row>
    <row r="962">
      <c r="A962" s="23">
        <f>IFERROR(__xludf.DUMMYFUNCTION("""COMPUTED_VALUE"""),44913.62425783565)</f>
        <v>44913.62426</v>
      </c>
      <c r="B962" s="24" t="str">
        <f>IFERROR(__xludf.DUMMYFUNCTION("""COMPUTED_VALUE"""),"JUANITA Chandler ")</f>
        <v>JUANITA Chandler </v>
      </c>
      <c r="C962" s="24">
        <f>IFERROR(__xludf.DUMMYFUNCTION("""COMPUTED_VALUE"""),886.0)</f>
        <v>886</v>
      </c>
      <c r="D962" s="24" t="str">
        <f>IFERROR(__xludf.DUMMYFUNCTION("""COMPUTED_VALUE"""),"Amazon")</f>
        <v>Amazon</v>
      </c>
      <c r="F962" s="23">
        <f>IFERROR(__xludf.DUMMYFUNCTION("""COMPUTED_VALUE"""),44759.64612474537)</f>
        <v>44759.64612</v>
      </c>
      <c r="G962" s="24" t="str">
        <f>IFERROR(__xludf.DUMMYFUNCTION("""COMPUTED_VALUE"""),"Zoe")</f>
        <v>Zoe</v>
      </c>
      <c r="H962" s="24">
        <f>IFERROR(__xludf.DUMMYFUNCTION("""COMPUTED_VALUE"""),276.0)</f>
        <v>276</v>
      </c>
      <c r="I962" s="24" t="str">
        <f>IFERROR(__xludf.DUMMYFUNCTION("""COMPUTED_VALUE"""),"Amazon")</f>
        <v>Amazon</v>
      </c>
    </row>
    <row r="963">
      <c r="A963" s="23">
        <f>IFERROR(__xludf.DUMMYFUNCTION("""COMPUTED_VALUE"""),44913.625832638885)</f>
        <v>44913.62583</v>
      </c>
      <c r="B963" s="24" t="str">
        <f>IFERROR(__xludf.DUMMYFUNCTION("""COMPUTED_VALUE"""),"JUANITA Chandler ")</f>
        <v>JUANITA Chandler </v>
      </c>
      <c r="C963" s="24">
        <f>IFERROR(__xludf.DUMMYFUNCTION("""COMPUTED_VALUE"""),1016.0)</f>
        <v>1016</v>
      </c>
      <c r="D963" s="24" t="str">
        <f>IFERROR(__xludf.DUMMYFUNCTION("""COMPUTED_VALUE"""),"Amazon")</f>
        <v>Amazon</v>
      </c>
      <c r="F963" s="23">
        <f>IFERROR(__xludf.DUMMYFUNCTION("""COMPUTED_VALUE"""),44759.66998607639)</f>
        <v>44759.66999</v>
      </c>
      <c r="G963" s="24" t="str">
        <f>IFERROR(__xludf.DUMMYFUNCTION("""COMPUTED_VALUE"""),"Kaneesha ")</f>
        <v>Kaneesha </v>
      </c>
      <c r="H963" s="24">
        <f>IFERROR(__xludf.DUMMYFUNCTION("""COMPUTED_VALUE"""),20.0)</f>
        <v>20</v>
      </c>
      <c r="I963" s="24"/>
    </row>
    <row r="964">
      <c r="A964" s="23">
        <f>IFERROR(__xludf.DUMMYFUNCTION("""COMPUTED_VALUE"""),44913.626197673606)</f>
        <v>44913.6262</v>
      </c>
      <c r="B964" s="24" t="str">
        <f>IFERROR(__xludf.DUMMYFUNCTION("""COMPUTED_VALUE"""),"JUANITA Chandler ")</f>
        <v>JUANITA Chandler </v>
      </c>
      <c r="C964" s="24">
        <f>IFERROR(__xludf.DUMMYFUNCTION("""COMPUTED_VALUE"""),668.0)</f>
        <v>668</v>
      </c>
      <c r="D964" s="24" t="str">
        <f>IFERROR(__xludf.DUMMYFUNCTION("""COMPUTED_VALUE"""),"Amazon")</f>
        <v>Amazon</v>
      </c>
      <c r="F964" s="23">
        <f>IFERROR(__xludf.DUMMYFUNCTION("""COMPUTED_VALUE"""),44759.67034063657)</f>
        <v>44759.67034</v>
      </c>
      <c r="G964" s="24" t="str">
        <f>IFERROR(__xludf.DUMMYFUNCTION("""COMPUTED_VALUE"""),"Kaneesha (extra)")</f>
        <v>Kaneesha (extra)</v>
      </c>
      <c r="H964" s="24">
        <f>IFERROR(__xludf.DUMMYFUNCTION("""COMPUTED_VALUE"""),4.0)</f>
        <v>4</v>
      </c>
      <c r="I964" s="24"/>
    </row>
    <row r="965">
      <c r="A965" s="23">
        <f>IFERROR(__xludf.DUMMYFUNCTION("""COMPUTED_VALUE"""),44913.62678805555)</f>
        <v>44913.62679</v>
      </c>
      <c r="B965" s="24" t="str">
        <f>IFERROR(__xludf.DUMMYFUNCTION("""COMPUTED_VALUE"""),"JUANITA Chandler ")</f>
        <v>JUANITA Chandler </v>
      </c>
      <c r="C965" s="24">
        <f>IFERROR(__xludf.DUMMYFUNCTION("""COMPUTED_VALUE"""),1001.0)</f>
        <v>1001</v>
      </c>
      <c r="D965" s="24" t="str">
        <f>IFERROR(__xludf.DUMMYFUNCTION("""COMPUTED_VALUE"""),"Amazon")</f>
        <v>Amazon</v>
      </c>
      <c r="F965" s="23">
        <f>IFERROR(__xludf.DUMMYFUNCTION("""COMPUTED_VALUE"""),44759.67503989584)</f>
        <v>44759.67504</v>
      </c>
      <c r="G965" s="24" t="str">
        <f>IFERROR(__xludf.DUMMYFUNCTION("""COMPUTED_VALUE"""),"Anna Nicosia ")</f>
        <v>Anna Nicosia </v>
      </c>
      <c r="H965" s="24">
        <f>IFERROR(__xludf.DUMMYFUNCTION("""COMPUTED_VALUE"""),20.0)</f>
        <v>20</v>
      </c>
      <c r="I965" s="24"/>
    </row>
    <row r="966">
      <c r="A966" s="23">
        <f>IFERROR(__xludf.DUMMYFUNCTION("""COMPUTED_VALUE"""),44913.62726018518)</f>
        <v>44913.62726</v>
      </c>
      <c r="B966" s="24" t="str">
        <f>IFERROR(__xludf.DUMMYFUNCTION("""COMPUTED_VALUE"""),"JUANITA Chandler ")</f>
        <v>JUANITA Chandler </v>
      </c>
      <c r="C966" s="24">
        <f>IFERROR(__xludf.DUMMYFUNCTION("""COMPUTED_VALUE"""),38.0)</f>
        <v>38</v>
      </c>
      <c r="D966" s="24" t="str">
        <f>IFERROR(__xludf.DUMMYFUNCTION("""COMPUTED_VALUE"""),"Amazon")</f>
        <v>Amazon</v>
      </c>
      <c r="F966" s="23">
        <f>IFERROR(__xludf.DUMMYFUNCTION("""COMPUTED_VALUE"""),44759.6810091088)</f>
        <v>44759.68101</v>
      </c>
      <c r="G966" s="24" t="str">
        <f>IFERROR(__xludf.DUMMYFUNCTION("""COMPUTED_VALUE"""),"Shaneen")</f>
        <v>Shaneen</v>
      </c>
      <c r="H966" s="24">
        <f>IFERROR(__xludf.DUMMYFUNCTION("""COMPUTED_VALUE"""),20.0)</f>
        <v>20</v>
      </c>
      <c r="I966" s="24"/>
    </row>
    <row r="967">
      <c r="A967" s="23">
        <f>IFERROR(__xludf.DUMMYFUNCTION("""COMPUTED_VALUE"""),44913.62833321759)</f>
        <v>44913.62833</v>
      </c>
      <c r="B967" s="24" t="str">
        <f>IFERROR(__xludf.DUMMYFUNCTION("""COMPUTED_VALUE"""),"JUANITA Chandler ")</f>
        <v>JUANITA Chandler </v>
      </c>
      <c r="C967" s="24">
        <f>IFERROR(__xludf.DUMMYFUNCTION("""COMPUTED_VALUE"""),96.0)</f>
        <v>96</v>
      </c>
      <c r="D967" s="24" t="str">
        <f>IFERROR(__xludf.DUMMYFUNCTION("""COMPUTED_VALUE"""),"Homewood Friends and Meeting ")</f>
        <v>Homewood Friends and Meeting </v>
      </c>
      <c r="F967" s="23">
        <f>IFERROR(__xludf.DUMMYFUNCTION("""COMPUTED_VALUE"""),44759.68115653935)</f>
        <v>44759.68116</v>
      </c>
      <c r="G967" s="24" t="str">
        <f>IFERROR(__xludf.DUMMYFUNCTION("""COMPUTED_VALUE"""),"Shaneen Unlimited ")</f>
        <v>Shaneen Unlimited </v>
      </c>
      <c r="H967" s="24">
        <f>IFERROR(__xludf.DUMMYFUNCTION("""COMPUTED_VALUE"""),38.0)</f>
        <v>38</v>
      </c>
      <c r="I967" s="24"/>
    </row>
    <row r="968">
      <c r="A968" s="23">
        <f>IFERROR(__xludf.DUMMYFUNCTION("""COMPUTED_VALUE"""),44914.710115208334)</f>
        <v>44914.71012</v>
      </c>
      <c r="B968" s="24" t="str">
        <f>IFERROR(__xludf.DUMMYFUNCTION("""COMPUTED_VALUE"""),"JC")</f>
        <v>JC</v>
      </c>
      <c r="C968" s="24">
        <f>IFERROR(__xludf.DUMMYFUNCTION("""COMPUTED_VALUE"""),745.0)</f>
        <v>745</v>
      </c>
      <c r="D968" s="24" t="str">
        <f>IFERROR(__xludf.DUMMYFUNCTION("""COMPUTED_VALUE"""),"Amazon")</f>
        <v>Amazon</v>
      </c>
      <c r="F968" s="23">
        <f>IFERROR(__xludf.DUMMYFUNCTION("""COMPUTED_VALUE"""),44759.712250462966)</f>
        <v>44759.71225</v>
      </c>
      <c r="G968" s="24" t="str">
        <f>IFERROR(__xludf.DUMMYFUNCTION("""COMPUTED_VALUE"""),"Ausar")</f>
        <v>Ausar</v>
      </c>
      <c r="H968" s="24">
        <f>IFERROR(__xludf.DUMMYFUNCTION("""COMPUTED_VALUE"""),9.0)</f>
        <v>9</v>
      </c>
      <c r="I968" s="24" t="str">
        <f>IFERROR(__xludf.DUMMYFUNCTION("""COMPUTED_VALUE"""),"Assorted option")</f>
        <v>Assorted option</v>
      </c>
    </row>
    <row r="969">
      <c r="A969" s="23">
        <f>IFERROR(__xludf.DUMMYFUNCTION("""COMPUTED_VALUE"""),44914.71038532408)</f>
        <v>44914.71039</v>
      </c>
      <c r="B969" s="24" t="str">
        <f>IFERROR(__xludf.DUMMYFUNCTION("""COMPUTED_VALUE"""),"JC")</f>
        <v>JC</v>
      </c>
      <c r="C969" s="24">
        <f>IFERROR(__xludf.DUMMYFUNCTION("""COMPUTED_VALUE"""),404.0)</f>
        <v>404</v>
      </c>
      <c r="D969" s="24" t="str">
        <f>IFERROR(__xludf.DUMMYFUNCTION("""COMPUTED_VALUE"""),"Amazon")</f>
        <v>Amazon</v>
      </c>
      <c r="F969" s="23">
        <f>IFERROR(__xludf.DUMMYFUNCTION("""COMPUTED_VALUE"""),44759.716314606485)</f>
        <v>44759.71631</v>
      </c>
      <c r="G969" s="24" t="str">
        <f>IFERROR(__xludf.DUMMYFUNCTION("""COMPUTED_VALUE"""),"Ausar ")</f>
        <v>Ausar </v>
      </c>
      <c r="H969" s="24">
        <f>IFERROR(__xludf.DUMMYFUNCTION("""COMPUTED_VALUE"""),70.0)</f>
        <v>70</v>
      </c>
      <c r="I969" s="24" t="str">
        <f>IFERROR(__xludf.DUMMYFUNCTION("""COMPUTED_VALUE"""),"Grains (rice, pasta, etc.)")</f>
        <v>Grains (rice, pasta, etc.)</v>
      </c>
    </row>
    <row r="970">
      <c r="A970" s="23">
        <f>IFERROR(__xludf.DUMMYFUNCTION("""COMPUTED_VALUE"""),44914.71072282407)</f>
        <v>44914.71072</v>
      </c>
      <c r="B970" s="24" t="str">
        <f>IFERROR(__xludf.DUMMYFUNCTION("""COMPUTED_VALUE"""),"JC")</f>
        <v>JC</v>
      </c>
      <c r="C970" s="24">
        <f>IFERROR(__xludf.DUMMYFUNCTION("""COMPUTED_VALUE"""),1004.0)</f>
        <v>1004</v>
      </c>
      <c r="D970" s="24" t="str">
        <f>IFERROR(__xludf.DUMMYFUNCTION("""COMPUTED_VALUE"""),"Amazon")</f>
        <v>Amazon</v>
      </c>
      <c r="F970" s="23">
        <f>IFERROR(__xludf.DUMMYFUNCTION("""COMPUTED_VALUE"""),44759.7168933912)</f>
        <v>44759.71689</v>
      </c>
      <c r="G970" s="24" t="str">
        <f>IFERROR(__xludf.DUMMYFUNCTION("""COMPUTED_VALUE"""),"Ausar ")</f>
        <v>Ausar </v>
      </c>
      <c r="H970" s="24">
        <f>IFERROR(__xludf.DUMMYFUNCTION("""COMPUTED_VALUE"""),390.0)</f>
        <v>390</v>
      </c>
      <c r="I970" s="24" t="str">
        <f>IFERROR(__xludf.DUMMYFUNCTION("""COMPUTED_VALUE"""),"Cleaning ")</f>
        <v>Cleaning </v>
      </c>
    </row>
    <row r="971">
      <c r="A971" s="23">
        <f>IFERROR(__xludf.DUMMYFUNCTION("""COMPUTED_VALUE"""),44914.71171751157)</f>
        <v>44914.71172</v>
      </c>
      <c r="B971" s="24" t="str">
        <f>IFERROR(__xludf.DUMMYFUNCTION("""COMPUTED_VALUE"""),"JC")</f>
        <v>JC</v>
      </c>
      <c r="C971" s="24">
        <f>IFERROR(__xludf.DUMMYFUNCTION("""COMPUTED_VALUE"""),893.0)</f>
        <v>893</v>
      </c>
      <c r="D971" s="24" t="str">
        <f>IFERROR(__xludf.DUMMYFUNCTION("""COMPUTED_VALUE"""),"Amazon")</f>
        <v>Amazon</v>
      </c>
      <c r="F971" s="23">
        <f>IFERROR(__xludf.DUMMYFUNCTION("""COMPUTED_VALUE"""),44759.71855243055)</f>
        <v>44759.71855</v>
      </c>
      <c r="G971" s="24" t="str">
        <f>IFERROR(__xludf.DUMMYFUNCTION("""COMPUTED_VALUE"""),"Ausar ")</f>
        <v>Ausar </v>
      </c>
      <c r="H971" s="24">
        <f>IFERROR(__xludf.DUMMYFUNCTION("""COMPUTED_VALUE"""),205.0)</f>
        <v>205</v>
      </c>
      <c r="I971" s="24" t="str">
        <f>IFERROR(__xludf.DUMMYFUNCTION("""COMPUTED_VALUE"""),"Paper products ")</f>
        <v>Paper products </v>
      </c>
    </row>
    <row r="972">
      <c r="A972" s="23">
        <f>IFERROR(__xludf.DUMMYFUNCTION("""COMPUTED_VALUE"""),44914.71240336805)</f>
        <v>44914.7124</v>
      </c>
      <c r="B972" s="24" t="str">
        <f>IFERROR(__xludf.DUMMYFUNCTION("""COMPUTED_VALUE"""),"JC")</f>
        <v>JC</v>
      </c>
      <c r="C972" s="24">
        <f>IFERROR(__xludf.DUMMYFUNCTION("""COMPUTED_VALUE"""),906.0)</f>
        <v>906</v>
      </c>
      <c r="D972" s="24" t="str">
        <f>IFERROR(__xludf.DUMMYFUNCTION("""COMPUTED_VALUE"""),"Amazon")</f>
        <v>Amazon</v>
      </c>
      <c r="F972" s="23">
        <f>IFERROR(__xludf.DUMMYFUNCTION("""COMPUTED_VALUE"""),44759.718689814814)</f>
        <v>44759.71869</v>
      </c>
      <c r="G972" s="24" t="str">
        <f>IFERROR(__xludf.DUMMYFUNCTION("""COMPUTED_VALUE"""),"Zoe")</f>
        <v>Zoe</v>
      </c>
      <c r="H972" s="24">
        <f>IFERROR(__xludf.DUMMYFUNCTION("""COMPUTED_VALUE"""),11.0)</f>
        <v>11</v>
      </c>
      <c r="I972" s="24"/>
    </row>
    <row r="973">
      <c r="A973" s="23">
        <f>IFERROR(__xludf.DUMMYFUNCTION("""COMPUTED_VALUE"""),44914.712907500005)</f>
        <v>44914.71291</v>
      </c>
      <c r="B973" s="24" t="str">
        <f>IFERROR(__xludf.DUMMYFUNCTION("""COMPUTED_VALUE"""),"JC")</f>
        <v>JC</v>
      </c>
      <c r="C973" s="24">
        <f>IFERROR(__xludf.DUMMYFUNCTION("""COMPUTED_VALUE"""),952.0)</f>
        <v>952</v>
      </c>
      <c r="D973" s="24" t="str">
        <f>IFERROR(__xludf.DUMMYFUNCTION("""COMPUTED_VALUE"""),"Amazon")</f>
        <v>Amazon</v>
      </c>
      <c r="F973" s="23">
        <f>IFERROR(__xludf.DUMMYFUNCTION("""COMPUTED_VALUE"""),44759.71964105324)</f>
        <v>44759.71964</v>
      </c>
      <c r="G973" s="24" t="str">
        <f>IFERROR(__xludf.DUMMYFUNCTION("""COMPUTED_VALUE"""),"Ausar")</f>
        <v>Ausar</v>
      </c>
      <c r="H973" s="24">
        <f>IFERROR(__xludf.DUMMYFUNCTION("""COMPUTED_VALUE"""),139.0)</f>
        <v>139</v>
      </c>
      <c r="I973" s="24" t="str">
        <f>IFERROR(__xludf.DUMMYFUNCTION("""COMPUTED_VALUE"""),"Baked")</f>
        <v>Baked</v>
      </c>
    </row>
    <row r="974">
      <c r="A974" s="23">
        <f>IFERROR(__xludf.DUMMYFUNCTION("""COMPUTED_VALUE"""),44914.713532118054)</f>
        <v>44914.71353</v>
      </c>
      <c r="B974" s="24" t="str">
        <f>IFERROR(__xludf.DUMMYFUNCTION("""COMPUTED_VALUE"""),"JC")</f>
        <v>JC</v>
      </c>
      <c r="C974" s="24">
        <f>IFERROR(__xludf.DUMMYFUNCTION("""COMPUTED_VALUE"""),635.0)</f>
        <v>635</v>
      </c>
      <c r="D974" s="24" t="str">
        <f>IFERROR(__xludf.DUMMYFUNCTION("""COMPUTED_VALUE"""),"Amazon")</f>
        <v>Amazon</v>
      </c>
      <c r="F974" s="23">
        <f>IFERROR(__xludf.DUMMYFUNCTION("""COMPUTED_VALUE"""),44759.71996476853)</f>
        <v>44759.71996</v>
      </c>
      <c r="G974" s="24" t="str">
        <f>IFERROR(__xludf.DUMMYFUNCTION("""COMPUTED_VALUE"""),"Ausar")</f>
        <v>Ausar</v>
      </c>
      <c r="H974" s="24">
        <f>IFERROR(__xludf.DUMMYFUNCTION("""COMPUTED_VALUE"""),323.0)</f>
        <v>323</v>
      </c>
      <c r="I974" s="24" t="str">
        <f>IFERROR(__xludf.DUMMYFUNCTION("""COMPUTED_VALUE"""),"Assorted option")</f>
        <v>Assorted option</v>
      </c>
    </row>
    <row r="975">
      <c r="A975" s="23">
        <f>IFERROR(__xludf.DUMMYFUNCTION("""COMPUTED_VALUE"""),44914.71399619213)</f>
        <v>44914.714</v>
      </c>
      <c r="B975" s="24" t="str">
        <f>IFERROR(__xludf.DUMMYFUNCTION("""COMPUTED_VALUE"""),"JC")</f>
        <v>JC</v>
      </c>
      <c r="C975" s="24">
        <f>IFERROR(__xludf.DUMMYFUNCTION("""COMPUTED_VALUE"""),1030.0)</f>
        <v>1030</v>
      </c>
      <c r="D975" s="24" t="str">
        <f>IFERROR(__xludf.DUMMYFUNCTION("""COMPUTED_VALUE"""),"Amazon")</f>
        <v>Amazon</v>
      </c>
      <c r="F975" s="23">
        <f>IFERROR(__xludf.DUMMYFUNCTION("""COMPUTED_VALUE"""),44759.71996699074)</f>
        <v>44759.71997</v>
      </c>
      <c r="G975" s="24" t="str">
        <f>IFERROR(__xludf.DUMMYFUNCTION("""COMPUTED_VALUE"""),"Zoe")</f>
        <v>Zoe</v>
      </c>
      <c r="H975" s="24">
        <f>IFERROR(__xludf.DUMMYFUNCTION("""COMPUTED_VALUE"""),219.0)</f>
        <v>219</v>
      </c>
      <c r="I975" s="24" t="str">
        <f>IFERROR(__xludf.DUMMYFUNCTION("""COMPUTED_VALUE"""),"Drink")</f>
        <v>Drink</v>
      </c>
    </row>
    <row r="976">
      <c r="A976" s="23">
        <f>IFERROR(__xludf.DUMMYFUNCTION("""COMPUTED_VALUE"""),44914.0)</f>
        <v>44914</v>
      </c>
      <c r="B976" s="24" t="str">
        <f>IFERROR(__xludf.DUMMYFUNCTION("""COMPUTED_VALUE"""),"Claire")</f>
        <v>Claire</v>
      </c>
      <c r="C976" s="24">
        <f>IFERROR(__xludf.DUMMYFUNCTION("""COMPUTED_VALUE"""),1195.0)</f>
        <v>1195</v>
      </c>
      <c r="D976" s="24" t="str">
        <f>IFERROR(__xludf.DUMMYFUNCTION("""COMPUTED_VALUE"""),"Amazon")</f>
        <v>Amazon</v>
      </c>
      <c r="F976" s="23">
        <f>IFERROR(__xludf.DUMMYFUNCTION("""COMPUTED_VALUE"""),44759.72046458333)</f>
        <v>44759.72046</v>
      </c>
      <c r="G976" s="24" t="str">
        <f>IFERROR(__xludf.DUMMYFUNCTION("""COMPUTED_VALUE"""),"Zoe ")</f>
        <v>Zoe </v>
      </c>
      <c r="H976" s="24">
        <f>IFERROR(__xludf.DUMMYFUNCTION("""COMPUTED_VALUE"""),139.0)</f>
        <v>139</v>
      </c>
      <c r="I976" s="24" t="str">
        <f>IFERROR(__xludf.DUMMYFUNCTION("""COMPUTED_VALUE"""),"Baby stuff")</f>
        <v>Baby stuff</v>
      </c>
    </row>
    <row r="977">
      <c r="A977" s="23">
        <f>IFERROR(__xludf.DUMMYFUNCTION("""COMPUTED_VALUE"""),44914.714300555555)</f>
        <v>44914.7143</v>
      </c>
      <c r="B977" s="24" t="str">
        <f>IFERROR(__xludf.DUMMYFUNCTION("""COMPUTED_VALUE"""),"JC")</f>
        <v>JC</v>
      </c>
      <c r="C977" s="24">
        <f>IFERROR(__xludf.DUMMYFUNCTION("""COMPUTED_VALUE"""),434.0)</f>
        <v>434</v>
      </c>
      <c r="D977" s="24" t="str">
        <f>IFERROR(__xludf.DUMMYFUNCTION("""COMPUTED_VALUE"""),"Amazon")</f>
        <v>Amazon</v>
      </c>
      <c r="F977" s="23">
        <f>IFERROR(__xludf.DUMMYFUNCTION("""COMPUTED_VALUE"""),44759.72060743055)</f>
        <v>44759.72061</v>
      </c>
      <c r="G977" s="24" t="str">
        <f>IFERROR(__xludf.DUMMYFUNCTION("""COMPUTED_VALUE"""),"Ausar")</f>
        <v>Ausar</v>
      </c>
      <c r="H977" s="24">
        <f>IFERROR(__xludf.DUMMYFUNCTION("""COMPUTED_VALUE"""),110.0)</f>
        <v>110</v>
      </c>
      <c r="I977" s="24" t="str">
        <f>IFERROR(__xludf.DUMMYFUNCTION("""COMPUTED_VALUE"""),"Dish soap")</f>
        <v>Dish soap</v>
      </c>
    </row>
    <row r="978">
      <c r="A978" s="23">
        <f>IFERROR(__xludf.DUMMYFUNCTION("""COMPUTED_VALUE"""),44916.60925162037)</f>
        <v>44916.60925</v>
      </c>
      <c r="B978" s="24" t="str">
        <f>IFERROR(__xludf.DUMMYFUNCTION("""COMPUTED_VALUE"""),"Claire")</f>
        <v>Claire</v>
      </c>
      <c r="C978" s="24">
        <f>IFERROR(__xludf.DUMMYFUNCTION("""COMPUTED_VALUE"""),13.0)</f>
        <v>13</v>
      </c>
      <c r="D978" s="24" t="str">
        <f>IFERROR(__xludf.DUMMYFUNCTION("""COMPUTED_VALUE"""),"Donation")</f>
        <v>Donation</v>
      </c>
      <c r="F978" s="23">
        <f>IFERROR(__xludf.DUMMYFUNCTION("""COMPUTED_VALUE"""),44759.72103260417)</f>
        <v>44759.72103</v>
      </c>
      <c r="G978" s="24" t="str">
        <f>IFERROR(__xludf.DUMMYFUNCTION("""COMPUTED_VALUE"""),"Zoe")</f>
        <v>Zoe</v>
      </c>
      <c r="H978" s="24">
        <f>IFERROR(__xludf.DUMMYFUNCTION("""COMPUTED_VALUE"""),118.0)</f>
        <v>118</v>
      </c>
      <c r="I978" s="24" t="str">
        <f>IFERROR(__xludf.DUMMYFUNCTION("""COMPUTED_VALUE"""),"Meat")</f>
        <v>Meat</v>
      </c>
    </row>
    <row r="979">
      <c r="A979" s="23">
        <f>IFERROR(__xludf.DUMMYFUNCTION("""COMPUTED_VALUE"""),44922.60131414352)</f>
        <v>44922.60131</v>
      </c>
      <c r="B979" s="24" t="str">
        <f>IFERROR(__xludf.DUMMYFUNCTION("""COMPUTED_VALUE"""),"Jean")</f>
        <v>Jean</v>
      </c>
      <c r="C979" s="24">
        <f>IFERROR(__xludf.DUMMYFUNCTION("""COMPUTED_VALUE"""),462.0)</f>
        <v>462</v>
      </c>
      <c r="D979" s="24" t="str">
        <f>IFERROR(__xludf.DUMMYFUNCTION("""COMPUTED_VALUE"""),"Dannon")</f>
        <v>Dannon</v>
      </c>
      <c r="F979" s="23">
        <f>IFERROR(__xludf.DUMMYFUNCTION("""COMPUTED_VALUE"""),44759.72104858796)</f>
        <v>44759.72105</v>
      </c>
      <c r="G979" s="24" t="str">
        <f>IFERROR(__xludf.DUMMYFUNCTION("""COMPUTED_VALUE"""),"Ausar")</f>
        <v>Ausar</v>
      </c>
      <c r="H979" s="24">
        <f>IFERROR(__xludf.DUMMYFUNCTION("""COMPUTED_VALUE"""),31.0)</f>
        <v>31</v>
      </c>
      <c r="I979" s="24" t="str">
        <f>IFERROR(__xludf.DUMMYFUNCTION("""COMPUTED_VALUE"""),"Spices")</f>
        <v>Spices</v>
      </c>
    </row>
    <row r="980">
      <c r="A980" s="23">
        <f>IFERROR(__xludf.DUMMYFUNCTION("""COMPUTED_VALUE"""),44922.6026946412)</f>
        <v>44922.60269</v>
      </c>
      <c r="B980" s="24" t="str">
        <f>IFERROR(__xludf.DUMMYFUNCTION("""COMPUTED_VALUE"""),"Jean")</f>
        <v>Jean</v>
      </c>
      <c r="C980" s="24">
        <f>IFERROR(__xludf.DUMMYFUNCTION("""COMPUTED_VALUE"""),2085.0)</f>
        <v>2085</v>
      </c>
      <c r="D980" s="24" t="str">
        <f>IFERROR(__xludf.DUMMYFUNCTION("""COMPUTED_VALUE"""),"Dannon")</f>
        <v>Dannon</v>
      </c>
      <c r="F980" s="23">
        <f>IFERROR(__xludf.DUMMYFUNCTION("""COMPUTED_VALUE"""),44759.72139048611)</f>
        <v>44759.72139</v>
      </c>
      <c r="G980" s="24" t="str">
        <f>IFERROR(__xludf.DUMMYFUNCTION("""COMPUTED_VALUE"""),"Zoe")</f>
        <v>Zoe</v>
      </c>
      <c r="H980" s="24">
        <f>IFERROR(__xludf.DUMMYFUNCTION("""COMPUTED_VALUE"""),652.0)</f>
        <v>652</v>
      </c>
      <c r="I980" s="24" t="str">
        <f>IFERROR(__xludf.DUMMYFUNCTION("""COMPUTED_VALUE"""),"Produce")</f>
        <v>Produce</v>
      </c>
    </row>
    <row r="981">
      <c r="A981" s="23">
        <f>IFERROR(__xludf.DUMMYFUNCTION("""COMPUTED_VALUE"""),44922.60351523149)</f>
        <v>44922.60352</v>
      </c>
      <c r="B981" s="24" t="str">
        <f>IFERROR(__xludf.DUMMYFUNCTION("""COMPUTED_VALUE"""),"Jean")</f>
        <v>Jean</v>
      </c>
      <c r="C981" s="24">
        <f>IFERROR(__xludf.DUMMYFUNCTION("""COMPUTED_VALUE"""),443.0)</f>
        <v>443</v>
      </c>
      <c r="D981" s="24" t="str">
        <f>IFERROR(__xludf.DUMMYFUNCTION("""COMPUTED_VALUE"""),"Dannon")</f>
        <v>Dannon</v>
      </c>
      <c r="F981" s="23">
        <f>IFERROR(__xludf.DUMMYFUNCTION("""COMPUTED_VALUE"""),44759.721540474544)</f>
        <v>44759.72154</v>
      </c>
      <c r="G981" s="24" t="str">
        <f>IFERROR(__xludf.DUMMYFUNCTION("""COMPUTED_VALUE"""),"Ausar")</f>
        <v>Ausar</v>
      </c>
      <c r="H981" s="24">
        <f>IFERROR(__xludf.DUMMYFUNCTION("""COMPUTED_VALUE"""),100.0)</f>
        <v>100</v>
      </c>
      <c r="I981" s="24" t="str">
        <f>IFERROR(__xludf.DUMMYFUNCTION("""COMPUTED_VALUE"""),"Feminine care")</f>
        <v>Feminine care</v>
      </c>
    </row>
    <row r="982">
      <c r="A982" s="23">
        <f>IFERROR(__xludf.DUMMYFUNCTION("""COMPUTED_VALUE"""),44922.60446846065)</f>
        <v>44922.60447</v>
      </c>
      <c r="B982" s="24" t="str">
        <f>IFERROR(__xludf.DUMMYFUNCTION("""COMPUTED_VALUE"""),"Jean")</f>
        <v>Jean</v>
      </c>
      <c r="C982" s="24">
        <f>IFERROR(__xludf.DUMMYFUNCTION("""COMPUTED_VALUE"""),188.0)</f>
        <v>188</v>
      </c>
      <c r="D982" s="24" t="str">
        <f>IFERROR(__xludf.DUMMYFUNCTION("""COMPUTED_VALUE"""),"Dannon")</f>
        <v>Dannon</v>
      </c>
      <c r="F982" s="23">
        <f>IFERROR(__xludf.DUMMYFUNCTION("""COMPUTED_VALUE"""),44759.7219003125)</f>
        <v>44759.7219</v>
      </c>
      <c r="G982" s="24" t="str">
        <f>IFERROR(__xludf.DUMMYFUNCTION("""COMPUTED_VALUE"""),"Zoe")</f>
        <v>Zoe</v>
      </c>
      <c r="H982" s="24">
        <f>IFERROR(__xludf.DUMMYFUNCTION("""COMPUTED_VALUE"""),100.0)</f>
        <v>100</v>
      </c>
      <c r="I982" s="24" t="str">
        <f>IFERROR(__xludf.DUMMYFUNCTION("""COMPUTED_VALUE"""),"Assorted option")</f>
        <v>Assorted option</v>
      </c>
    </row>
    <row r="983">
      <c r="A983" s="23">
        <f>IFERROR(__xludf.DUMMYFUNCTION("""COMPUTED_VALUE"""),44922.0)</f>
        <v>44922</v>
      </c>
      <c r="B983" s="24" t="str">
        <f>IFERROR(__xludf.DUMMYFUNCTION("""COMPUTED_VALUE"""),"Claire")</f>
        <v>Claire</v>
      </c>
      <c r="C983" s="24">
        <f>IFERROR(__xludf.DUMMYFUNCTION("""COMPUTED_VALUE"""),2305.0)</f>
        <v>2305</v>
      </c>
      <c r="D983" s="24" t="str">
        <f>IFERROR(__xludf.DUMMYFUNCTION("""COMPUTED_VALUE"""),"Dannon")</f>
        <v>Dannon</v>
      </c>
      <c r="F983" s="23">
        <f>IFERROR(__xludf.DUMMYFUNCTION("""COMPUTED_VALUE"""),44759.7221905787)</f>
        <v>44759.72219</v>
      </c>
      <c r="G983" s="24" t="str">
        <f>IFERROR(__xludf.DUMMYFUNCTION("""COMPUTED_VALUE"""),"Ausar ")</f>
        <v>Ausar </v>
      </c>
      <c r="H983" s="24">
        <f>IFERROR(__xludf.DUMMYFUNCTION("""COMPUTED_VALUE"""),285.0)</f>
        <v>285</v>
      </c>
      <c r="I983" s="24" t="str">
        <f>IFERROR(__xludf.DUMMYFUNCTION("""COMPUTED_VALUE"""),"Plates")</f>
        <v>Plates</v>
      </c>
    </row>
    <row r="984">
      <c r="A984" s="23">
        <f>IFERROR(__xludf.DUMMYFUNCTION("""COMPUTED_VALUE"""),44922.60556974538)</f>
        <v>44922.60557</v>
      </c>
      <c r="B984" s="24" t="str">
        <f>IFERROR(__xludf.DUMMYFUNCTION("""COMPUTED_VALUE"""),"Jean")</f>
        <v>Jean</v>
      </c>
      <c r="C984" s="24">
        <f>IFERROR(__xludf.DUMMYFUNCTION("""COMPUTED_VALUE"""),2144.0)</f>
        <v>2144</v>
      </c>
      <c r="D984" s="24" t="str">
        <f>IFERROR(__xludf.DUMMYFUNCTION("""COMPUTED_VALUE"""),"Dannon")</f>
        <v>Dannon</v>
      </c>
      <c r="F984" s="23">
        <f>IFERROR(__xludf.DUMMYFUNCTION("""COMPUTED_VALUE"""),44760.60750863426)</f>
        <v>44760.60751</v>
      </c>
      <c r="G984" s="24" t="str">
        <f>IFERROR(__xludf.DUMMYFUNCTION("""COMPUTED_VALUE"""),"JC")</f>
        <v>JC</v>
      </c>
      <c r="H984" s="24">
        <f>IFERROR(__xludf.DUMMYFUNCTION("""COMPUTED_VALUE"""),607.0)</f>
        <v>607</v>
      </c>
      <c r="I984" s="24" t="str">
        <f>IFERROR(__xludf.DUMMYFUNCTION("""COMPUTED_VALUE"""),"Snacks")</f>
        <v>Snacks</v>
      </c>
    </row>
    <row r="985">
      <c r="A985" s="23">
        <f>IFERROR(__xludf.DUMMYFUNCTION("""COMPUTED_VALUE"""),44922.60648984954)</f>
        <v>44922.60649</v>
      </c>
      <c r="B985" s="24" t="str">
        <f>IFERROR(__xludf.DUMMYFUNCTION("""COMPUTED_VALUE"""),"Jean")</f>
        <v>Jean</v>
      </c>
      <c r="C985" s="24">
        <f>IFERROR(__xludf.DUMMYFUNCTION("""COMPUTED_VALUE"""),1770.0)</f>
        <v>1770</v>
      </c>
      <c r="D985" s="24" t="str">
        <f>IFERROR(__xludf.DUMMYFUNCTION("""COMPUTED_VALUE"""),"Dannon")</f>
        <v>Dannon</v>
      </c>
      <c r="F985" s="23">
        <f>IFERROR(__xludf.DUMMYFUNCTION("""COMPUTED_VALUE"""),44761.0)</f>
        <v>44761</v>
      </c>
      <c r="G985" s="24" t="str">
        <f>IFERROR(__xludf.DUMMYFUNCTION("""COMPUTED_VALUE"""),"Juanita C")</f>
        <v>Juanita C</v>
      </c>
      <c r="H985" s="24">
        <f>IFERROR(__xludf.DUMMYFUNCTION("""COMPUTED_VALUE"""),13.0)</f>
        <v>13</v>
      </c>
      <c r="I985" s="24"/>
    </row>
    <row r="986">
      <c r="A986" s="23">
        <f>IFERROR(__xludf.DUMMYFUNCTION("""COMPUTED_VALUE"""),44922.6093747801)</f>
        <v>44922.60937</v>
      </c>
      <c r="B986" s="24" t="str">
        <f>IFERROR(__xludf.DUMMYFUNCTION("""COMPUTED_VALUE"""),"Jean")</f>
        <v>Jean</v>
      </c>
      <c r="C986" s="24">
        <f>IFERROR(__xludf.DUMMYFUNCTION("""COMPUTED_VALUE"""),1801.0)</f>
        <v>1801</v>
      </c>
      <c r="D986" s="24" t="str">
        <f>IFERROR(__xludf.DUMMYFUNCTION("""COMPUTED_VALUE"""),"Dannon")</f>
        <v>Dannon</v>
      </c>
      <c r="F986" s="23">
        <f>IFERROR(__xludf.DUMMYFUNCTION("""COMPUTED_VALUE"""),44761.0)</f>
        <v>44761</v>
      </c>
      <c r="G986" s="24" t="str">
        <f>IFERROR(__xludf.DUMMYFUNCTION("""COMPUTED_VALUE"""),"Juanita C")</f>
        <v>Juanita C</v>
      </c>
      <c r="H986" s="24">
        <f>IFERROR(__xludf.DUMMYFUNCTION("""COMPUTED_VALUE"""),12.0)</f>
        <v>12</v>
      </c>
      <c r="I986" s="24"/>
    </row>
    <row r="987">
      <c r="A987" s="23">
        <f>IFERROR(__xludf.DUMMYFUNCTION("""COMPUTED_VALUE"""),44922.0)</f>
        <v>44922</v>
      </c>
      <c r="B987" s="24" t="str">
        <f>IFERROR(__xludf.DUMMYFUNCTION("""COMPUTED_VALUE"""),"Claire")</f>
        <v>Claire</v>
      </c>
      <c r="C987" s="24">
        <f>IFERROR(__xludf.DUMMYFUNCTION("""COMPUTED_VALUE"""),1098.0)</f>
        <v>1098</v>
      </c>
      <c r="D987" s="24" t="str">
        <f>IFERROR(__xludf.DUMMYFUNCTION("""COMPUTED_VALUE"""),"Dannon")</f>
        <v>Dannon</v>
      </c>
      <c r="F987" s="23">
        <f>IFERROR(__xludf.DUMMYFUNCTION("""COMPUTED_VALUE"""),44761.0)</f>
        <v>44761</v>
      </c>
      <c r="G987" s="24" t="str">
        <f>IFERROR(__xludf.DUMMYFUNCTION("""COMPUTED_VALUE"""),"Doris Parker Tuggle")</f>
        <v>Doris Parker Tuggle</v>
      </c>
      <c r="H987" s="24">
        <f>IFERROR(__xludf.DUMMYFUNCTION("""COMPUTED_VALUE"""),19.0)</f>
        <v>19</v>
      </c>
      <c r="I987" s="24"/>
    </row>
    <row r="988">
      <c r="A988" s="23">
        <f>IFERROR(__xludf.DUMMYFUNCTION("""COMPUTED_VALUE"""),44922.621153182874)</f>
        <v>44922.62115</v>
      </c>
      <c r="B988" s="24" t="str">
        <f>IFERROR(__xludf.DUMMYFUNCTION("""COMPUTED_VALUE"""),"Jean")</f>
        <v>Jean</v>
      </c>
      <c r="C988" s="24">
        <f>IFERROR(__xludf.DUMMYFUNCTION("""COMPUTED_VALUE"""),2010.0)</f>
        <v>2010</v>
      </c>
      <c r="D988" s="24" t="str">
        <f>IFERROR(__xludf.DUMMYFUNCTION("""COMPUTED_VALUE"""),"Dannon")</f>
        <v>Dannon</v>
      </c>
      <c r="F988" s="23">
        <f>IFERROR(__xludf.DUMMYFUNCTION("""COMPUTED_VALUE"""),44761.0)</f>
        <v>44761</v>
      </c>
      <c r="G988" s="24" t="str">
        <f>IFERROR(__xludf.DUMMYFUNCTION("""COMPUTED_VALUE"""),"Doris Parker Tuggle")</f>
        <v>Doris Parker Tuggle</v>
      </c>
      <c r="H988" s="24">
        <f>IFERROR(__xludf.DUMMYFUNCTION("""COMPUTED_VALUE"""),7.0)</f>
        <v>7</v>
      </c>
      <c r="I988" s="24"/>
    </row>
    <row r="989">
      <c r="A989" s="23">
        <f>IFERROR(__xludf.DUMMYFUNCTION("""COMPUTED_VALUE"""),44922.621943460654)</f>
        <v>44922.62194</v>
      </c>
      <c r="B989" s="24" t="str">
        <f>IFERROR(__xludf.DUMMYFUNCTION("""COMPUTED_VALUE"""),"Jean")</f>
        <v>Jean</v>
      </c>
      <c r="C989" s="24">
        <f>IFERROR(__xludf.DUMMYFUNCTION("""COMPUTED_VALUE"""),35.0)</f>
        <v>35</v>
      </c>
      <c r="D989" s="24" t="str">
        <f>IFERROR(__xludf.DUMMYFUNCTION("""COMPUTED_VALUE"""),"Dannon")</f>
        <v>Dannon</v>
      </c>
      <c r="F989" s="23">
        <f>IFERROR(__xludf.DUMMYFUNCTION("""COMPUTED_VALUE"""),44761.0)</f>
        <v>44761</v>
      </c>
      <c r="G989" s="24" t="str">
        <f>IFERROR(__xludf.DUMMYFUNCTION("""COMPUTED_VALUE"""),"Ryan Helcoski ")</f>
        <v>Ryan Helcoski </v>
      </c>
      <c r="H989" s="24">
        <f>IFERROR(__xludf.DUMMYFUNCTION("""COMPUTED_VALUE"""),14.0)</f>
        <v>14</v>
      </c>
      <c r="I989" s="24"/>
    </row>
    <row r="990">
      <c r="A990" s="23">
        <f>IFERROR(__xludf.DUMMYFUNCTION("""COMPUTED_VALUE"""),44922.62572931713)</f>
        <v>44922.62573</v>
      </c>
      <c r="B990" s="24" t="str">
        <f>IFERROR(__xludf.DUMMYFUNCTION("""COMPUTED_VALUE"""),"Jean")</f>
        <v>Jean</v>
      </c>
      <c r="C990" s="24">
        <f>IFERROR(__xludf.DUMMYFUNCTION("""COMPUTED_VALUE"""),2023.0)</f>
        <v>2023</v>
      </c>
      <c r="D990" s="24" t="str">
        <f>IFERROR(__xludf.DUMMYFUNCTION("""COMPUTED_VALUE"""),"Dannon")</f>
        <v>Dannon</v>
      </c>
      <c r="F990" s="23">
        <f>IFERROR(__xludf.DUMMYFUNCTION("""COMPUTED_VALUE"""),44761.0)</f>
        <v>44761</v>
      </c>
      <c r="G990" s="24" t="str">
        <f>IFERROR(__xludf.DUMMYFUNCTION("""COMPUTED_VALUE"""),"Gretchen Pike")</f>
        <v>Gretchen Pike</v>
      </c>
      <c r="H990" s="24">
        <f>IFERROR(__xludf.DUMMYFUNCTION("""COMPUTED_VALUE"""),19.0)</f>
        <v>19</v>
      </c>
      <c r="I990" s="24"/>
    </row>
    <row r="991">
      <c r="A991" s="23">
        <f>IFERROR(__xludf.DUMMYFUNCTION("""COMPUTED_VALUE"""),44922.64475699074)</f>
        <v>44922.64476</v>
      </c>
      <c r="B991" s="24" t="str">
        <f>IFERROR(__xludf.DUMMYFUNCTION("""COMPUTED_VALUE"""),"Jean")</f>
        <v>Jean</v>
      </c>
      <c r="C991" s="24">
        <f>IFERROR(__xludf.DUMMYFUNCTION("""COMPUTED_VALUE"""),2156.0)</f>
        <v>2156</v>
      </c>
      <c r="D991" s="24" t="str">
        <f>IFERROR(__xludf.DUMMYFUNCTION("""COMPUTED_VALUE"""),"Dannon")</f>
        <v>Dannon</v>
      </c>
      <c r="F991" s="23">
        <f>IFERROR(__xludf.DUMMYFUNCTION("""COMPUTED_VALUE"""),44761.0)</f>
        <v>44761</v>
      </c>
      <c r="G991" s="24" t="str">
        <f>IFERROR(__xludf.DUMMYFUNCTION("""COMPUTED_VALUE"""),"Gretchen Pike")</f>
        <v>Gretchen Pike</v>
      </c>
      <c r="H991" s="24">
        <f>IFERROR(__xludf.DUMMYFUNCTION("""COMPUTED_VALUE"""),12.0)</f>
        <v>12</v>
      </c>
      <c r="I991" s="24"/>
    </row>
    <row r="992">
      <c r="A992" s="23">
        <f>IFERROR(__xludf.DUMMYFUNCTION("""COMPUTED_VALUE"""),44923.63711481482)</f>
        <v>44923.63711</v>
      </c>
      <c r="B992" s="24" t="str">
        <f>IFERROR(__xludf.DUMMYFUNCTION("""COMPUTED_VALUE"""),"JUANITA Chandler ")</f>
        <v>JUANITA Chandler </v>
      </c>
      <c r="C992" s="24">
        <f>IFERROR(__xludf.DUMMYFUNCTION("""COMPUTED_VALUE"""),30.0)</f>
        <v>30</v>
      </c>
      <c r="D992" s="24" t="str">
        <f>IFERROR(__xludf.DUMMYFUNCTION("""COMPUTED_VALUE"""),"Food Donation  David Greenway")</f>
        <v>Food Donation  David Greenway</v>
      </c>
      <c r="F992" s="23">
        <f>IFERROR(__xludf.DUMMYFUNCTION("""COMPUTED_VALUE"""),44761.0)</f>
        <v>44761</v>
      </c>
      <c r="G992" s="24" t="str">
        <f>IFERROR(__xludf.DUMMYFUNCTION("""COMPUTED_VALUE"""),"Treston Codrington")</f>
        <v>Treston Codrington</v>
      </c>
      <c r="H992" s="24">
        <f>IFERROR(__xludf.DUMMYFUNCTION("""COMPUTED_VALUE"""),1.0)</f>
        <v>1</v>
      </c>
      <c r="I992" s="24"/>
    </row>
    <row r="993">
      <c r="A993" s="23">
        <f>IFERROR(__xludf.DUMMYFUNCTION("""COMPUTED_VALUE"""),44925.604559189815)</f>
        <v>44925.60456</v>
      </c>
      <c r="B993" s="24" t="str">
        <f>IFERROR(__xludf.DUMMYFUNCTION("""COMPUTED_VALUE"""),"JUANITA Chandler ")</f>
        <v>JUANITA Chandler </v>
      </c>
      <c r="C993" s="24">
        <f>IFERROR(__xludf.DUMMYFUNCTION("""COMPUTED_VALUE"""),30.0)</f>
        <v>30</v>
      </c>
      <c r="D993" s="24" t="str">
        <f>IFERROR(__xludf.DUMMYFUNCTION("""COMPUTED_VALUE"""),"Donation ")</f>
        <v>Donation </v>
      </c>
      <c r="F993" s="23">
        <f>IFERROR(__xludf.DUMMYFUNCTION("""COMPUTED_VALUE"""),44761.0)</f>
        <v>44761</v>
      </c>
      <c r="G993" s="24" t="str">
        <f>IFERROR(__xludf.DUMMYFUNCTION("""COMPUTED_VALUE"""),"Lynette c")</f>
        <v>Lynette c</v>
      </c>
      <c r="H993" s="24">
        <f>IFERROR(__xludf.DUMMYFUNCTION("""COMPUTED_VALUE"""),18.0)</f>
        <v>18</v>
      </c>
      <c r="I993" s="24"/>
    </row>
    <row r="994">
      <c r="A994" s="23">
        <f>IFERROR(__xludf.DUMMYFUNCTION("""COMPUTED_VALUE"""),44925.60526160879)</f>
        <v>44925.60526</v>
      </c>
      <c r="B994" s="24" t="str">
        <f>IFERROR(__xludf.DUMMYFUNCTION("""COMPUTED_VALUE"""),"JUANITA Chandler ")</f>
        <v>JUANITA Chandler </v>
      </c>
      <c r="C994" s="24">
        <f>IFERROR(__xludf.DUMMYFUNCTION("""COMPUTED_VALUE"""),51.0)</f>
        <v>51</v>
      </c>
      <c r="D994" s="24" t="str">
        <f>IFERROR(__xludf.DUMMYFUNCTION("""COMPUTED_VALUE"""),"Donation ")</f>
        <v>Donation </v>
      </c>
      <c r="F994" s="23">
        <f>IFERROR(__xludf.DUMMYFUNCTION("""COMPUTED_VALUE"""),44761.0)</f>
        <v>44761</v>
      </c>
      <c r="G994" s="24" t="str">
        <f>IFERROR(__xludf.DUMMYFUNCTION("""COMPUTED_VALUE"""),"Lynette c")</f>
        <v>Lynette c</v>
      </c>
      <c r="H994" s="24">
        <f>IFERROR(__xludf.DUMMYFUNCTION("""COMPUTED_VALUE"""),20.0)</f>
        <v>20</v>
      </c>
      <c r="I994" s="24"/>
    </row>
    <row r="995">
      <c r="A995" s="23">
        <f>IFERROR(__xludf.DUMMYFUNCTION("""COMPUTED_VALUE"""),44728.59750224537)</f>
        <v>44728.5975</v>
      </c>
      <c r="B995" s="24" t="str">
        <f>IFERROR(__xludf.DUMMYFUNCTION("""COMPUTED_VALUE"""),"Ausar")</f>
        <v>Ausar</v>
      </c>
      <c r="C995" s="24">
        <f>IFERROR(__xludf.DUMMYFUNCTION("""COMPUTED_VALUE"""),97.0)</f>
        <v>97</v>
      </c>
      <c r="D995" s="24" t="str">
        <f>IFERROR(__xludf.DUMMYFUNCTION("""COMPUTED_VALUE"""),"Assorted option")</f>
        <v>Assorted option</v>
      </c>
      <c r="F995" s="23">
        <f>IFERROR(__xludf.DUMMYFUNCTION("""COMPUTED_VALUE"""),44761.71035637731)</f>
        <v>44761.71036</v>
      </c>
      <c r="G995" s="24" t="str">
        <f>IFERROR(__xludf.DUMMYFUNCTION("""COMPUTED_VALUE"""),"Ryan Helcoski ")</f>
        <v>Ryan Helcoski </v>
      </c>
      <c r="H995" s="24">
        <f>IFERROR(__xludf.DUMMYFUNCTION("""COMPUTED_VALUE"""),19.0)</f>
        <v>19</v>
      </c>
      <c r="I995" s="24"/>
    </row>
    <row r="996">
      <c r="A996" s="23">
        <f>IFERROR(__xludf.DUMMYFUNCTION("""COMPUTED_VALUE"""),44728.60459851851)</f>
        <v>44728.6046</v>
      </c>
      <c r="B996" s="24" t="str">
        <f>IFERROR(__xludf.DUMMYFUNCTION("""COMPUTED_VALUE"""),"Ausar ")</f>
        <v>Ausar </v>
      </c>
      <c r="C996" s="24">
        <f>IFERROR(__xludf.DUMMYFUNCTION("""COMPUTED_VALUE"""),422.0)</f>
        <v>422</v>
      </c>
      <c r="D996" s="24" t="str">
        <f>IFERROR(__xludf.DUMMYFUNCTION("""COMPUTED_VALUE"""),"Produce")</f>
        <v>Produce</v>
      </c>
      <c r="F996" s="23">
        <f>IFERROR(__xludf.DUMMYFUNCTION("""COMPUTED_VALUE"""),44761.7120015625)</f>
        <v>44761.712</v>
      </c>
      <c r="G996" s="24" t="str">
        <f>IFERROR(__xludf.DUMMYFUNCTION("""COMPUTED_VALUE"""),"Treston Codrington")</f>
        <v>Treston Codrington</v>
      </c>
      <c r="H996" s="24">
        <f>IFERROR(__xludf.DUMMYFUNCTION("""COMPUTED_VALUE"""),16.0)</f>
        <v>16</v>
      </c>
      <c r="I996" s="24"/>
    </row>
    <row r="997">
      <c r="A997" s="23">
        <f>IFERROR(__xludf.DUMMYFUNCTION("""COMPUTED_VALUE"""),44728.60494480324)</f>
        <v>44728.60494</v>
      </c>
      <c r="B997" s="24" t="str">
        <f>IFERROR(__xludf.DUMMYFUNCTION("""COMPUTED_VALUE"""),"Ausar ")</f>
        <v>Ausar </v>
      </c>
      <c r="C997" s="24">
        <f>IFERROR(__xludf.DUMMYFUNCTION("""COMPUTED_VALUE"""),46.0)</f>
        <v>46</v>
      </c>
      <c r="D997" s="24" t="str">
        <f>IFERROR(__xludf.DUMMYFUNCTION("""COMPUTED_VALUE"""),"Meat")</f>
        <v>Meat</v>
      </c>
      <c r="F997" s="23">
        <f>IFERROR(__xludf.DUMMYFUNCTION("""COMPUTED_VALUE"""),44761.71359668981)</f>
        <v>44761.7136</v>
      </c>
      <c r="G997" s="24" t="str">
        <f>IFERROR(__xludf.DUMMYFUNCTION("""COMPUTED_VALUE"""),"Beverly Pinn")</f>
        <v>Beverly Pinn</v>
      </c>
      <c r="H997" s="24">
        <f>IFERROR(__xludf.DUMMYFUNCTION("""COMPUTED_VALUE"""),20.0)</f>
        <v>20</v>
      </c>
      <c r="I997" s="24"/>
    </row>
    <row r="998">
      <c r="A998" s="23">
        <f>IFERROR(__xludf.DUMMYFUNCTION("""COMPUTED_VALUE"""),44728.60546370371)</f>
        <v>44728.60546</v>
      </c>
      <c r="B998" s="24" t="str">
        <f>IFERROR(__xludf.DUMMYFUNCTION("""COMPUTED_VALUE"""),"Ausar ")</f>
        <v>Ausar </v>
      </c>
      <c r="C998" s="24">
        <f>IFERROR(__xludf.DUMMYFUNCTION("""COMPUTED_VALUE"""),289.0)</f>
        <v>289</v>
      </c>
      <c r="D998" s="24" t="str">
        <f>IFERROR(__xludf.DUMMYFUNCTION("""COMPUTED_VALUE"""),"Frozen")</f>
        <v>Frozen</v>
      </c>
      <c r="F998" s="23">
        <f>IFERROR(__xludf.DUMMYFUNCTION("""COMPUTED_VALUE"""),44761.71392055556)</f>
        <v>44761.71392</v>
      </c>
      <c r="G998" s="24" t="str">
        <f>IFERROR(__xludf.DUMMYFUNCTION("""COMPUTED_VALUE"""),"Beverly Pinn")</f>
        <v>Beverly Pinn</v>
      </c>
      <c r="H998" s="24">
        <f>IFERROR(__xludf.DUMMYFUNCTION("""COMPUTED_VALUE"""),12.0)</f>
        <v>12</v>
      </c>
      <c r="I998" s="24"/>
    </row>
    <row r="999">
      <c r="A999" s="23">
        <f>IFERROR(__xludf.DUMMYFUNCTION("""COMPUTED_VALUE"""),44728.86472048611)</f>
        <v>44728.86472</v>
      </c>
      <c r="B999" s="24" t="str">
        <f>IFERROR(__xludf.DUMMYFUNCTION("""COMPUTED_VALUE"""),"Sheneil")</f>
        <v>Sheneil</v>
      </c>
      <c r="C999" s="24">
        <f>IFERROR(__xludf.DUMMYFUNCTION("""COMPUTED_VALUE"""),655.0)</f>
        <v>655</v>
      </c>
      <c r="D999" s="24" t="str">
        <f>IFERROR(__xludf.DUMMYFUNCTION("""COMPUTED_VALUE"""),"Drinks")</f>
        <v>Drinks</v>
      </c>
      <c r="F999" s="23">
        <f>IFERROR(__xludf.DUMMYFUNCTION("""COMPUTED_VALUE"""),44761.72441974537)</f>
        <v>44761.72442</v>
      </c>
      <c r="G999" s="24" t="str">
        <f>IFERROR(__xludf.DUMMYFUNCTION("""COMPUTED_VALUE"""),"First Fruit Farm")</f>
        <v>First Fruit Farm</v>
      </c>
      <c r="H999" s="24">
        <f>IFERROR(__xludf.DUMMYFUNCTION("""COMPUTED_VALUE"""),591.0)</f>
        <v>591</v>
      </c>
      <c r="I999" s="24" t="str">
        <f>IFERROR(__xludf.DUMMYFUNCTION("""COMPUTED_VALUE"""),"First Fruit Farms")</f>
        <v>First Fruit Farms</v>
      </c>
    </row>
    <row r="1000">
      <c r="A1000" s="23">
        <f>IFERROR(__xludf.DUMMYFUNCTION("""COMPUTED_VALUE"""),44729.70023540509)</f>
        <v>44729.70024</v>
      </c>
      <c r="B1000" s="24" t="str">
        <f>IFERROR(__xludf.DUMMYFUNCTION("""COMPUTED_VALUE"""),"Sunita Pathik")</f>
        <v>Sunita Pathik</v>
      </c>
      <c r="C1000" s="24">
        <f>IFERROR(__xludf.DUMMYFUNCTION("""COMPUTED_VALUE"""),61.0)</f>
        <v>61</v>
      </c>
      <c r="D1000" s="24" t="str">
        <f>IFERROR(__xludf.DUMMYFUNCTION("""COMPUTED_VALUE"""),"Assorted option")</f>
        <v>Assorted option</v>
      </c>
      <c r="F1000" s="23">
        <f>IFERROR(__xludf.DUMMYFUNCTION("""COMPUTED_VALUE"""),44761.72489101852)</f>
        <v>44761.72489</v>
      </c>
      <c r="G1000" s="24" t="str">
        <f>IFERROR(__xludf.DUMMYFUNCTION("""COMPUTED_VALUE"""),"First Fruit Farms")</f>
        <v>First Fruit Farms</v>
      </c>
      <c r="H1000" s="24">
        <f>IFERROR(__xludf.DUMMYFUNCTION("""COMPUTED_VALUE"""),549.0)</f>
        <v>549</v>
      </c>
      <c r="I1000" s="24" t="str">
        <f>IFERROR(__xludf.DUMMYFUNCTION("""COMPUTED_VALUE"""),"First Fruit Farms ")</f>
        <v>First Fruit Farms </v>
      </c>
    </row>
    <row r="1001">
      <c r="A1001" s="23">
        <f>IFERROR(__xludf.DUMMYFUNCTION("""COMPUTED_VALUE"""),44729.71011633102)</f>
        <v>44729.71012</v>
      </c>
      <c r="B1001" s="24" t="str">
        <f>IFERROR(__xludf.DUMMYFUNCTION("""COMPUTED_VALUE"""),"Ausar ")</f>
        <v>Ausar </v>
      </c>
      <c r="C1001" s="24">
        <f>IFERROR(__xludf.DUMMYFUNCTION("""COMPUTED_VALUE"""),150.0)</f>
        <v>150</v>
      </c>
      <c r="D1001" s="24" t="str">
        <f>IFERROR(__xludf.DUMMYFUNCTION("""COMPUTED_VALUE"""),"Frozen")</f>
        <v>Frozen</v>
      </c>
      <c r="F1001" s="23">
        <f>IFERROR(__xludf.DUMMYFUNCTION("""COMPUTED_VALUE"""),44761.725413263885)</f>
        <v>44761.72541</v>
      </c>
      <c r="G1001" s="24" t="str">
        <f>IFERROR(__xludf.DUMMYFUNCTION("""COMPUTED_VALUE"""),"First Fruit Farms ")</f>
        <v>First Fruit Farms </v>
      </c>
      <c r="H1001" s="24">
        <f>IFERROR(__xludf.DUMMYFUNCTION("""COMPUTED_VALUE"""),501.0)</f>
        <v>501</v>
      </c>
      <c r="I1001" s="24" t="str">
        <f>IFERROR(__xludf.DUMMYFUNCTION("""COMPUTED_VALUE"""),"First Fruit Farms ")</f>
        <v>First Fruit Farms </v>
      </c>
    </row>
    <row r="1002">
      <c r="A1002" s="23">
        <f>IFERROR(__xludf.DUMMYFUNCTION("""COMPUTED_VALUE"""),44729.71040295139)</f>
        <v>44729.7104</v>
      </c>
      <c r="B1002" s="24" t="str">
        <f>IFERROR(__xludf.DUMMYFUNCTION("""COMPUTED_VALUE"""),"Ausar ")</f>
        <v>Ausar </v>
      </c>
      <c r="C1002" s="24">
        <f>IFERROR(__xludf.DUMMYFUNCTION("""COMPUTED_VALUE"""),449.0)</f>
        <v>449</v>
      </c>
      <c r="D1002" s="24" t="str">
        <f>IFERROR(__xludf.DUMMYFUNCTION("""COMPUTED_VALUE"""),"Assorted option")</f>
        <v>Assorted option</v>
      </c>
      <c r="F1002" s="23">
        <f>IFERROR(__xludf.DUMMYFUNCTION("""COMPUTED_VALUE"""),44761.726096631945)</f>
        <v>44761.7261</v>
      </c>
      <c r="G1002" s="24" t="str">
        <f>IFERROR(__xludf.DUMMYFUNCTION("""COMPUTED_VALUE"""),"First Fruit Farms ")</f>
        <v>First Fruit Farms </v>
      </c>
      <c r="H1002" s="24">
        <f>IFERROR(__xludf.DUMMYFUNCTION("""COMPUTED_VALUE"""),479.0)</f>
        <v>479</v>
      </c>
      <c r="I1002" s="24" t="str">
        <f>IFERROR(__xludf.DUMMYFUNCTION("""COMPUTED_VALUE"""),"First Fruit Farms ")</f>
        <v>First Fruit Farms </v>
      </c>
    </row>
    <row r="1003">
      <c r="A1003" s="23">
        <f>IFERROR(__xludf.DUMMYFUNCTION("""COMPUTED_VALUE"""),44730.0)</f>
        <v>44730</v>
      </c>
      <c r="B1003" s="24" t="str">
        <f>IFERROR(__xludf.DUMMYFUNCTION("""COMPUTED_VALUE"""),"Claire")</f>
        <v>Claire</v>
      </c>
      <c r="C1003" s="24">
        <f>IFERROR(__xludf.DUMMYFUNCTION("""COMPUTED_VALUE"""),303.0)</f>
        <v>303</v>
      </c>
      <c r="D1003" s="24" t="str">
        <f>IFERROR(__xludf.DUMMYFUNCTION("""COMPUTED_VALUE"""),"Paper Products")</f>
        <v>Paper Products</v>
      </c>
      <c r="F1003" s="23">
        <f>IFERROR(__xludf.DUMMYFUNCTION("""COMPUTED_VALUE"""),44761.84984225694)</f>
        <v>44761.84984</v>
      </c>
      <c r="G1003" s="24" t="str">
        <f>IFERROR(__xludf.DUMMYFUNCTION("""COMPUTED_VALUE"""),"Deborah")</f>
        <v>Deborah</v>
      </c>
      <c r="H1003" s="24">
        <f>IFERROR(__xludf.DUMMYFUNCTION("""COMPUTED_VALUE"""),19.0)</f>
        <v>19</v>
      </c>
      <c r="I1003" s="24"/>
    </row>
    <row r="1004">
      <c r="A1004" s="23">
        <f>IFERROR(__xludf.DUMMYFUNCTION("""COMPUTED_VALUE"""),44730.0)</f>
        <v>44730</v>
      </c>
      <c r="B1004" s="24" t="str">
        <f>IFERROR(__xludf.DUMMYFUNCTION("""COMPUTED_VALUE"""),"Claire")</f>
        <v>Claire</v>
      </c>
      <c r="C1004" s="24">
        <f>IFERROR(__xludf.DUMMYFUNCTION("""COMPUTED_VALUE"""),1869.0)</f>
        <v>1869</v>
      </c>
      <c r="D1004" s="24" t="str">
        <f>IFERROR(__xludf.DUMMYFUNCTION("""COMPUTED_VALUE"""),"Drinks")</f>
        <v>Drinks</v>
      </c>
      <c r="F1004" s="23">
        <f>IFERROR(__xludf.DUMMYFUNCTION("""COMPUTED_VALUE"""),44762.0)</f>
        <v>44762</v>
      </c>
      <c r="G1004" s="24" t="str">
        <f>IFERROR(__xludf.DUMMYFUNCTION("""COMPUTED_VALUE"""),"Clarice")</f>
        <v>Clarice</v>
      </c>
      <c r="H1004" s="24">
        <f>IFERROR(__xludf.DUMMYFUNCTION("""COMPUTED_VALUE"""),25.0)</f>
        <v>25</v>
      </c>
      <c r="I1004" s="24"/>
    </row>
    <row r="1005">
      <c r="A1005" s="23">
        <f>IFERROR(__xludf.DUMMYFUNCTION("""COMPUTED_VALUE"""),44730.0)</f>
        <v>44730</v>
      </c>
      <c r="B1005" s="24" t="str">
        <f>IFERROR(__xludf.DUMMYFUNCTION("""COMPUTED_VALUE"""),"Claire")</f>
        <v>Claire</v>
      </c>
      <c r="C1005" s="24">
        <f>IFERROR(__xludf.DUMMYFUNCTION("""COMPUTED_VALUE"""),210.0)</f>
        <v>210</v>
      </c>
      <c r="D1005" s="24" t="str">
        <f>IFERROR(__xludf.DUMMYFUNCTION("""COMPUTED_VALUE"""),"Paper Products")</f>
        <v>Paper Products</v>
      </c>
      <c r="F1005" s="23">
        <f>IFERROR(__xludf.DUMMYFUNCTION("""COMPUTED_VALUE"""),44762.0)</f>
        <v>44762</v>
      </c>
      <c r="G1005" s="24" t="str">
        <f>IFERROR(__xludf.DUMMYFUNCTION("""COMPUTED_VALUE"""),"Rilynn")</f>
        <v>Rilynn</v>
      </c>
      <c r="H1005" s="24">
        <f>IFERROR(__xludf.DUMMYFUNCTION("""COMPUTED_VALUE"""),2.0)</f>
        <v>2</v>
      </c>
      <c r="I1005" s="24"/>
    </row>
    <row r="1006">
      <c r="A1006" s="23">
        <f>IFERROR(__xludf.DUMMYFUNCTION("""COMPUTED_VALUE"""),44730.0)</f>
        <v>44730</v>
      </c>
      <c r="B1006" s="24" t="str">
        <f>IFERROR(__xludf.DUMMYFUNCTION("""COMPUTED_VALUE"""),"Claire")</f>
        <v>Claire</v>
      </c>
      <c r="C1006" s="24">
        <f>IFERROR(__xludf.DUMMYFUNCTION("""COMPUTED_VALUE"""),1120.0)</f>
        <v>1120</v>
      </c>
      <c r="D1006" s="24" t="str">
        <f>IFERROR(__xludf.DUMMYFUNCTION("""COMPUTED_VALUE"""),"Drinks")</f>
        <v>Drinks</v>
      </c>
      <c r="F1006" s="23">
        <f>IFERROR(__xludf.DUMMYFUNCTION("""COMPUTED_VALUE"""),44762.0)</f>
        <v>44762</v>
      </c>
      <c r="G1006" s="24" t="str">
        <f>IFERROR(__xludf.DUMMYFUNCTION("""COMPUTED_VALUE"""),"Tyrese")</f>
        <v>Tyrese</v>
      </c>
      <c r="H1006" s="24">
        <f>IFERROR(__xludf.DUMMYFUNCTION("""COMPUTED_VALUE"""),20.0)</f>
        <v>20</v>
      </c>
      <c r="I1006" s="24"/>
    </row>
    <row r="1007">
      <c r="A1007" s="23">
        <f>IFERROR(__xludf.DUMMYFUNCTION("""COMPUTED_VALUE"""),44730.0)</f>
        <v>44730</v>
      </c>
      <c r="B1007" s="24" t="str">
        <f>IFERROR(__xludf.DUMMYFUNCTION("""COMPUTED_VALUE"""),"Claire")</f>
        <v>Claire</v>
      </c>
      <c r="C1007" s="24">
        <f>IFERROR(__xludf.DUMMYFUNCTION("""COMPUTED_VALUE"""),475.0)</f>
        <v>475</v>
      </c>
      <c r="D1007" s="24" t="str">
        <f>IFERROR(__xludf.DUMMYFUNCTION("""COMPUTED_VALUE"""),"Snacks")</f>
        <v>Snacks</v>
      </c>
      <c r="F1007" s="23">
        <f>IFERROR(__xludf.DUMMYFUNCTION("""COMPUTED_VALUE"""),44762.0)</f>
        <v>44762</v>
      </c>
      <c r="G1007" s="24" t="str">
        <f>IFERROR(__xludf.DUMMYFUNCTION("""COMPUTED_VALUE"""),"Tyrese")</f>
        <v>Tyrese</v>
      </c>
      <c r="H1007" s="24">
        <f>IFERROR(__xludf.DUMMYFUNCTION("""COMPUTED_VALUE"""),12.0)</f>
        <v>12</v>
      </c>
      <c r="I1007" s="24"/>
    </row>
    <row r="1008">
      <c r="A1008" s="23">
        <f>IFERROR(__xludf.DUMMYFUNCTION("""COMPUTED_VALUE"""),44730.0)</f>
        <v>44730</v>
      </c>
      <c r="B1008" s="24" t="str">
        <f>IFERROR(__xludf.DUMMYFUNCTION("""COMPUTED_VALUE"""),"Claire")</f>
        <v>Claire</v>
      </c>
      <c r="C1008" s="24">
        <f>IFERROR(__xludf.DUMMYFUNCTION("""COMPUTED_VALUE"""),492.0)</f>
        <v>492</v>
      </c>
      <c r="D1008" s="24" t="str">
        <f>IFERROR(__xludf.DUMMYFUNCTION("""COMPUTED_VALUE"""),"Pasta")</f>
        <v>Pasta</v>
      </c>
      <c r="F1008" s="23">
        <f>IFERROR(__xludf.DUMMYFUNCTION("""COMPUTED_VALUE"""),44762.0)</f>
        <v>44762</v>
      </c>
      <c r="G1008" s="24" t="str">
        <f>IFERROR(__xludf.DUMMYFUNCTION("""COMPUTED_VALUE"""),"Camille")</f>
        <v>Camille</v>
      </c>
      <c r="H1008" s="24">
        <f>IFERROR(__xludf.DUMMYFUNCTION("""COMPUTED_VALUE"""),20.0)</f>
        <v>20</v>
      </c>
      <c r="I1008" s="24"/>
    </row>
    <row r="1009">
      <c r="A1009" s="23">
        <f>IFERROR(__xludf.DUMMYFUNCTION("""COMPUTED_VALUE"""),44730.0)</f>
        <v>44730</v>
      </c>
      <c r="B1009" s="24" t="str">
        <f>IFERROR(__xludf.DUMMYFUNCTION("""COMPUTED_VALUE"""),"Claire")</f>
        <v>Claire</v>
      </c>
      <c r="C1009" s="24">
        <f>IFERROR(__xludf.DUMMYFUNCTION("""COMPUTED_VALUE"""),210.0)</f>
        <v>210</v>
      </c>
      <c r="D1009" s="24" t="str">
        <f>IFERROR(__xludf.DUMMYFUNCTION("""COMPUTED_VALUE"""),"Paper Products")</f>
        <v>Paper Products</v>
      </c>
      <c r="F1009" s="23">
        <f>IFERROR(__xludf.DUMMYFUNCTION("""COMPUTED_VALUE"""),44762.0)</f>
        <v>44762</v>
      </c>
      <c r="G1009" s="24" t="str">
        <f>IFERROR(__xludf.DUMMYFUNCTION("""COMPUTED_VALUE"""),"Camille")</f>
        <v>Camille</v>
      </c>
      <c r="H1009" s="24">
        <f>IFERROR(__xludf.DUMMYFUNCTION("""COMPUTED_VALUE"""),5.0)</f>
        <v>5</v>
      </c>
      <c r="I1009" s="24"/>
    </row>
    <row r="1010">
      <c r="A1010" s="23">
        <f>IFERROR(__xludf.DUMMYFUNCTION("""COMPUTED_VALUE"""),44730.0)</f>
        <v>44730</v>
      </c>
      <c r="B1010" s="24" t="str">
        <f>IFERROR(__xludf.DUMMYFUNCTION("""COMPUTED_VALUE"""),"Claire")</f>
        <v>Claire</v>
      </c>
      <c r="C1010" s="24">
        <f>IFERROR(__xludf.DUMMYFUNCTION("""COMPUTED_VALUE"""),122.0)</f>
        <v>122</v>
      </c>
      <c r="D1010" s="24" t="str">
        <f>IFERROR(__xludf.DUMMYFUNCTION("""COMPUTED_VALUE"""),"OXO")</f>
        <v>OXO</v>
      </c>
      <c r="F1010" s="23">
        <f>IFERROR(__xludf.DUMMYFUNCTION("""COMPUTED_VALUE"""),44762.0)</f>
        <v>44762</v>
      </c>
      <c r="G1010" s="24" t="str">
        <f>IFERROR(__xludf.DUMMYFUNCTION("""COMPUTED_VALUE"""),"Aeryn Banh")</f>
        <v>Aeryn Banh</v>
      </c>
      <c r="H1010" s="24">
        <f>IFERROR(__xludf.DUMMYFUNCTION("""COMPUTED_VALUE"""),20.0)</f>
        <v>20</v>
      </c>
      <c r="I1010" s="24"/>
    </row>
    <row r="1011">
      <c r="A1011" s="23">
        <f>IFERROR(__xludf.DUMMYFUNCTION("""COMPUTED_VALUE"""),44730.0)</f>
        <v>44730</v>
      </c>
      <c r="B1011" s="24" t="str">
        <f>IFERROR(__xludf.DUMMYFUNCTION("""COMPUTED_VALUE"""),"Claire")</f>
        <v>Claire</v>
      </c>
      <c r="C1011" s="24">
        <f>IFERROR(__xludf.DUMMYFUNCTION("""COMPUTED_VALUE"""),171.0)</f>
        <v>171</v>
      </c>
      <c r="D1011" s="24" t="str">
        <f>IFERROR(__xludf.DUMMYFUNCTION("""COMPUTED_VALUE"""),"Paper Products")</f>
        <v>Paper Products</v>
      </c>
      <c r="F1011" s="23">
        <f>IFERROR(__xludf.DUMMYFUNCTION("""COMPUTED_VALUE"""),44762.0)</f>
        <v>44762</v>
      </c>
      <c r="G1011" s="24" t="str">
        <f>IFERROR(__xludf.DUMMYFUNCTION("""COMPUTED_VALUE"""),"Polaire Woods")</f>
        <v>Polaire Woods</v>
      </c>
      <c r="H1011" s="24">
        <f>IFERROR(__xludf.DUMMYFUNCTION("""COMPUTED_VALUE"""),20.0)</f>
        <v>20</v>
      </c>
      <c r="I1011" s="24"/>
    </row>
    <row r="1012">
      <c r="A1012" s="23">
        <f>IFERROR(__xludf.DUMMYFUNCTION("""COMPUTED_VALUE"""),44730.0)</f>
        <v>44730</v>
      </c>
      <c r="B1012" s="24" t="str">
        <f>IFERROR(__xludf.DUMMYFUNCTION("""COMPUTED_VALUE"""),"Claire")</f>
        <v>Claire</v>
      </c>
      <c r="C1012" s="24">
        <f>IFERROR(__xludf.DUMMYFUNCTION("""COMPUTED_VALUE"""),634.0)</f>
        <v>634</v>
      </c>
      <c r="D1012" s="24" t="str">
        <f>IFERROR(__xludf.DUMMYFUNCTION("""COMPUTED_VALUE"""),"Broth")</f>
        <v>Broth</v>
      </c>
      <c r="F1012" s="23">
        <f>IFERROR(__xludf.DUMMYFUNCTION("""COMPUTED_VALUE"""),44762.66482413195)</f>
        <v>44762.66482</v>
      </c>
      <c r="G1012" s="24" t="str">
        <f>IFERROR(__xludf.DUMMYFUNCTION("""COMPUTED_VALUE"""),"Ausar ")</f>
        <v>Ausar </v>
      </c>
      <c r="H1012" s="24">
        <f>IFERROR(__xludf.DUMMYFUNCTION("""COMPUTED_VALUE"""),521.0)</f>
        <v>521</v>
      </c>
      <c r="I1012" s="24" t="str">
        <f>IFERROR(__xludf.DUMMYFUNCTION("""COMPUTED_VALUE"""),"Assorted option")</f>
        <v>Assorted option</v>
      </c>
    </row>
    <row r="1013">
      <c r="A1013" s="23">
        <f>IFERROR(__xludf.DUMMYFUNCTION("""COMPUTED_VALUE"""),44730.0)</f>
        <v>44730</v>
      </c>
      <c r="B1013" s="24" t="str">
        <f>IFERROR(__xludf.DUMMYFUNCTION("""COMPUTED_VALUE"""),"Claire")</f>
        <v>Claire</v>
      </c>
      <c r="C1013" s="24">
        <f>IFERROR(__xludf.DUMMYFUNCTION("""COMPUTED_VALUE"""),916.0)</f>
        <v>916</v>
      </c>
      <c r="D1013" s="24" t="str">
        <f>IFERROR(__xludf.DUMMYFUNCTION("""COMPUTED_VALUE"""),"Vinegar")</f>
        <v>Vinegar</v>
      </c>
      <c r="F1013" s="23">
        <f>IFERROR(__xludf.DUMMYFUNCTION("""COMPUTED_VALUE"""),44762.6780478588)</f>
        <v>44762.67805</v>
      </c>
      <c r="G1013" s="24" t="str">
        <f>IFERROR(__xludf.DUMMYFUNCTION("""COMPUTED_VALUE"""),"Ausar ")</f>
        <v>Ausar </v>
      </c>
      <c r="H1013" s="24">
        <f>IFERROR(__xludf.DUMMYFUNCTION("""COMPUTED_VALUE"""),484.0)</f>
        <v>484</v>
      </c>
      <c r="I1013" s="24" t="str">
        <f>IFERROR(__xludf.DUMMYFUNCTION("""COMPUTED_VALUE"""),"Assorted option")</f>
        <v>Assorted option</v>
      </c>
    </row>
    <row r="1014">
      <c r="A1014" s="23">
        <f>IFERROR(__xludf.DUMMYFUNCTION("""COMPUTED_VALUE"""),44730.0)</f>
        <v>44730</v>
      </c>
      <c r="B1014" s="24" t="str">
        <f>IFERROR(__xludf.DUMMYFUNCTION("""COMPUTED_VALUE"""),"Claire")</f>
        <v>Claire</v>
      </c>
      <c r="C1014" s="24">
        <f>IFERROR(__xludf.DUMMYFUNCTION("""COMPUTED_VALUE"""),716.0)</f>
        <v>716</v>
      </c>
      <c r="D1014" s="24" t="str">
        <f>IFERROR(__xludf.DUMMYFUNCTION("""COMPUTED_VALUE"""),"Cleaning")</f>
        <v>Cleaning</v>
      </c>
      <c r="F1014" s="23">
        <f>IFERROR(__xludf.DUMMYFUNCTION("""COMPUTED_VALUE"""),44762.67895729167)</f>
        <v>44762.67896</v>
      </c>
      <c r="G1014" s="24" t="str">
        <f>IFERROR(__xludf.DUMMYFUNCTION("""COMPUTED_VALUE"""),"Ausar ")</f>
        <v>Ausar </v>
      </c>
      <c r="H1014" s="24">
        <f>IFERROR(__xludf.DUMMYFUNCTION("""COMPUTED_VALUE"""),560.0)</f>
        <v>560</v>
      </c>
      <c r="I1014" s="24" t="str">
        <f>IFERROR(__xludf.DUMMYFUNCTION("""COMPUTED_VALUE"""),"Water")</f>
        <v>Water</v>
      </c>
    </row>
    <row r="1015">
      <c r="A1015" s="23">
        <f>IFERROR(__xludf.DUMMYFUNCTION("""COMPUTED_VALUE"""),44730.0)</f>
        <v>44730</v>
      </c>
      <c r="B1015" s="24" t="str">
        <f>IFERROR(__xludf.DUMMYFUNCTION("""COMPUTED_VALUE"""),"Claire")</f>
        <v>Claire</v>
      </c>
      <c r="C1015" s="24">
        <f>IFERROR(__xludf.DUMMYFUNCTION("""COMPUTED_VALUE"""),736.0)</f>
        <v>736</v>
      </c>
      <c r="D1015" s="24" t="str">
        <f>IFERROR(__xludf.DUMMYFUNCTION("""COMPUTED_VALUE"""),"Cleaning")</f>
        <v>Cleaning</v>
      </c>
      <c r="F1015" s="23">
        <f>IFERROR(__xludf.DUMMYFUNCTION("""COMPUTED_VALUE"""),44762.67975170139)</f>
        <v>44762.67975</v>
      </c>
      <c r="G1015" s="24" t="str">
        <f>IFERROR(__xludf.DUMMYFUNCTION("""COMPUTED_VALUE"""),"Ausar ")</f>
        <v>Ausar </v>
      </c>
      <c r="H1015" s="24">
        <f>IFERROR(__xludf.DUMMYFUNCTION("""COMPUTED_VALUE"""),208.0)</f>
        <v>208</v>
      </c>
      <c r="I1015" s="24" t="str">
        <f>IFERROR(__xludf.DUMMYFUNCTION("""COMPUTED_VALUE"""),"Meat")</f>
        <v>Meat</v>
      </c>
    </row>
    <row r="1016">
      <c r="A1016" s="23">
        <f>IFERROR(__xludf.DUMMYFUNCTION("""COMPUTED_VALUE"""),44730.0)</f>
        <v>44730</v>
      </c>
      <c r="B1016" s="24" t="str">
        <f>IFERROR(__xludf.DUMMYFUNCTION("""COMPUTED_VALUE"""),"Claire")</f>
        <v>Claire</v>
      </c>
      <c r="C1016" s="24">
        <f>IFERROR(__xludf.DUMMYFUNCTION("""COMPUTED_VALUE"""),206.0)</f>
        <v>206</v>
      </c>
      <c r="D1016" s="24" t="str">
        <f>IFERROR(__xludf.DUMMYFUNCTION("""COMPUTED_VALUE"""),"paper Products")</f>
        <v>paper Products</v>
      </c>
      <c r="F1016" s="23">
        <f>IFERROR(__xludf.DUMMYFUNCTION("""COMPUTED_VALUE"""),44762.68053387732)</f>
        <v>44762.68053</v>
      </c>
      <c r="G1016" s="24" t="str">
        <f>IFERROR(__xludf.DUMMYFUNCTION("""COMPUTED_VALUE"""),"Ausar ")</f>
        <v>Ausar </v>
      </c>
      <c r="H1016" s="24">
        <f>IFERROR(__xludf.DUMMYFUNCTION("""COMPUTED_VALUE"""),500.0)</f>
        <v>500</v>
      </c>
      <c r="I1016" s="24" t="str">
        <f>IFERROR(__xludf.DUMMYFUNCTION("""COMPUTED_VALUE"""),"Assorted option")</f>
        <v>Assorted option</v>
      </c>
    </row>
    <row r="1017">
      <c r="A1017" s="23">
        <f>IFERROR(__xludf.DUMMYFUNCTION("""COMPUTED_VALUE"""),44730.0)</f>
        <v>44730</v>
      </c>
      <c r="B1017" s="24" t="str">
        <f>IFERROR(__xludf.DUMMYFUNCTION("""COMPUTED_VALUE"""),"Claire")</f>
        <v>Claire</v>
      </c>
      <c r="C1017" s="24">
        <f>IFERROR(__xludf.DUMMYFUNCTION("""COMPUTED_VALUE"""),478.0)</f>
        <v>478</v>
      </c>
      <c r="D1017" s="24" t="str">
        <f>IFERROR(__xludf.DUMMYFUNCTION("""COMPUTED_VALUE"""),"Frozen")</f>
        <v>Frozen</v>
      </c>
      <c r="F1017" s="23">
        <f>IFERROR(__xludf.DUMMYFUNCTION("""COMPUTED_VALUE"""),44762.68104847222)</f>
        <v>44762.68105</v>
      </c>
      <c r="G1017" s="24" t="str">
        <f>IFERROR(__xludf.DUMMYFUNCTION("""COMPUTED_VALUE"""),"Ausar ")</f>
        <v>Ausar </v>
      </c>
      <c r="H1017" s="24">
        <f>IFERROR(__xludf.DUMMYFUNCTION("""COMPUTED_VALUE"""),257.0)</f>
        <v>257</v>
      </c>
      <c r="I1017" s="24" t="str">
        <f>IFERROR(__xludf.DUMMYFUNCTION("""COMPUTED_VALUE"""),"Amazon")</f>
        <v>Amazon</v>
      </c>
    </row>
    <row r="1018">
      <c r="A1018" s="23">
        <f>IFERROR(__xludf.DUMMYFUNCTION("""COMPUTED_VALUE"""),44730.0)</f>
        <v>44730</v>
      </c>
      <c r="B1018" s="24" t="str">
        <f>IFERROR(__xludf.DUMMYFUNCTION("""COMPUTED_VALUE"""),"Claire")</f>
        <v>Claire</v>
      </c>
      <c r="C1018" s="24">
        <f>IFERROR(__xludf.DUMMYFUNCTION("""COMPUTED_VALUE"""),586.0)</f>
        <v>586</v>
      </c>
      <c r="D1018" s="24" t="str">
        <f>IFERROR(__xludf.DUMMYFUNCTION("""COMPUTED_VALUE"""),"Chicken")</f>
        <v>Chicken</v>
      </c>
      <c r="F1018" s="23">
        <f>IFERROR(__xludf.DUMMYFUNCTION("""COMPUTED_VALUE"""),44762.681311423614)</f>
        <v>44762.68131</v>
      </c>
      <c r="G1018" s="24" t="str">
        <f>IFERROR(__xludf.DUMMYFUNCTION("""COMPUTED_VALUE"""),"Ausar ")</f>
        <v>Ausar </v>
      </c>
      <c r="H1018" s="24">
        <f>IFERROR(__xludf.DUMMYFUNCTION("""COMPUTED_VALUE"""),278.0)</f>
        <v>278</v>
      </c>
      <c r="I1018" s="24" t="str">
        <f>IFERROR(__xludf.DUMMYFUNCTION("""COMPUTED_VALUE"""),"Amazon")</f>
        <v>Amazon</v>
      </c>
    </row>
    <row r="1019">
      <c r="A1019" s="23">
        <f>IFERROR(__xludf.DUMMYFUNCTION("""COMPUTED_VALUE"""),44730.0)</f>
        <v>44730</v>
      </c>
      <c r="B1019" s="24" t="str">
        <f>IFERROR(__xludf.DUMMYFUNCTION("""COMPUTED_VALUE"""),"Claire")</f>
        <v>Claire</v>
      </c>
      <c r="C1019" s="24">
        <f>IFERROR(__xludf.DUMMYFUNCTION("""COMPUTED_VALUE"""),240.0)</f>
        <v>240</v>
      </c>
      <c r="D1019" s="24" t="str">
        <f>IFERROR(__xludf.DUMMYFUNCTION("""COMPUTED_VALUE"""),"Shrimp")</f>
        <v>Shrimp</v>
      </c>
      <c r="F1019" s="23">
        <f>IFERROR(__xludf.DUMMYFUNCTION("""COMPUTED_VALUE"""),44762.68161748842)</f>
        <v>44762.68162</v>
      </c>
      <c r="G1019" s="24" t="str">
        <f>IFERROR(__xludf.DUMMYFUNCTION("""COMPUTED_VALUE"""),"Ausar ")</f>
        <v>Ausar </v>
      </c>
      <c r="H1019" s="24">
        <f>IFERROR(__xludf.DUMMYFUNCTION("""COMPUTED_VALUE"""),528.0)</f>
        <v>528</v>
      </c>
      <c r="I1019" s="24" t="str">
        <f>IFERROR(__xludf.DUMMYFUNCTION("""COMPUTED_VALUE"""),"Amazon")</f>
        <v>Amazon</v>
      </c>
    </row>
    <row r="1020">
      <c r="A1020" s="23">
        <f>IFERROR(__xludf.DUMMYFUNCTION("""COMPUTED_VALUE"""),44730.0)</f>
        <v>44730</v>
      </c>
      <c r="B1020" s="24" t="str">
        <f>IFERROR(__xludf.DUMMYFUNCTION("""COMPUTED_VALUE"""),"Claire")</f>
        <v>Claire</v>
      </c>
      <c r="C1020" s="24">
        <f>IFERROR(__xludf.DUMMYFUNCTION("""COMPUTED_VALUE"""),285.0)</f>
        <v>285</v>
      </c>
      <c r="D1020" s="24" t="str">
        <f>IFERROR(__xludf.DUMMYFUNCTION("""COMPUTED_VALUE"""),"Frozen")</f>
        <v>Frozen</v>
      </c>
      <c r="F1020" s="23">
        <f>IFERROR(__xludf.DUMMYFUNCTION("""COMPUTED_VALUE"""),44762.68194303241)</f>
        <v>44762.68194</v>
      </c>
      <c r="G1020" s="24" t="str">
        <f>IFERROR(__xludf.DUMMYFUNCTION("""COMPUTED_VALUE"""),"Ausar ")</f>
        <v>Ausar </v>
      </c>
      <c r="H1020" s="24">
        <f>IFERROR(__xludf.DUMMYFUNCTION("""COMPUTED_VALUE"""),755.0)</f>
        <v>755</v>
      </c>
      <c r="I1020" s="24" t="str">
        <f>IFERROR(__xludf.DUMMYFUNCTION("""COMPUTED_VALUE"""),"Amazon")</f>
        <v>Amazon</v>
      </c>
    </row>
    <row r="1021">
      <c r="A1021" s="23">
        <f>IFERROR(__xludf.DUMMYFUNCTION("""COMPUTED_VALUE"""),44730.0)</f>
        <v>44730</v>
      </c>
      <c r="B1021" s="24" t="str">
        <f>IFERROR(__xludf.DUMMYFUNCTION("""COMPUTED_VALUE"""),"Claire")</f>
        <v>Claire</v>
      </c>
      <c r="C1021" s="24">
        <f>IFERROR(__xludf.DUMMYFUNCTION("""COMPUTED_VALUE"""),400.0)</f>
        <v>400</v>
      </c>
      <c r="D1021" s="24" t="str">
        <f>IFERROR(__xludf.DUMMYFUNCTION("""COMPUTED_VALUE"""),"Assorted")</f>
        <v>Assorted</v>
      </c>
      <c r="F1021" s="23">
        <f>IFERROR(__xludf.DUMMYFUNCTION("""COMPUTED_VALUE"""),44762.682248668985)</f>
        <v>44762.68225</v>
      </c>
      <c r="G1021" s="24" t="str">
        <f>IFERROR(__xludf.DUMMYFUNCTION("""COMPUTED_VALUE"""),"Ausar ")</f>
        <v>Ausar </v>
      </c>
      <c r="H1021" s="24">
        <f>IFERROR(__xludf.DUMMYFUNCTION("""COMPUTED_VALUE"""),95.0)</f>
        <v>95</v>
      </c>
      <c r="I1021" s="24" t="str">
        <f>IFERROR(__xludf.DUMMYFUNCTION("""COMPUTED_VALUE"""),"Amazon")</f>
        <v>Amazon</v>
      </c>
    </row>
    <row r="1022">
      <c r="A1022" s="23">
        <f>IFERROR(__xludf.DUMMYFUNCTION("""COMPUTED_VALUE"""),44730.0)</f>
        <v>44730</v>
      </c>
      <c r="B1022" s="24" t="str">
        <f>IFERROR(__xludf.DUMMYFUNCTION("""COMPUTED_VALUE"""),"Claire")</f>
        <v>Claire</v>
      </c>
      <c r="C1022" s="24">
        <f>IFERROR(__xludf.DUMMYFUNCTION("""COMPUTED_VALUE"""),-397.0)</f>
        <v>-397</v>
      </c>
      <c r="D1022" s="24" t="str">
        <f>IFERROR(__xludf.DUMMYFUNCTION("""COMPUTED_VALUE"""),"Frozen")</f>
        <v>Frozen</v>
      </c>
      <c r="F1022" s="23">
        <f>IFERROR(__xludf.DUMMYFUNCTION("""COMPUTED_VALUE"""),44762.71042638889)</f>
        <v>44762.71043</v>
      </c>
      <c r="G1022" s="24" t="str">
        <f>IFERROR(__xludf.DUMMYFUNCTION("""COMPUTED_VALUE"""),"Deborah claridy ")</f>
        <v>Deborah claridy </v>
      </c>
      <c r="H1022" s="24">
        <f>IFERROR(__xludf.DUMMYFUNCTION("""COMPUTED_VALUE"""),20.0)</f>
        <v>20</v>
      </c>
      <c r="I1022" s="24"/>
    </row>
    <row r="1023">
      <c r="A1023" s="23">
        <f>IFERROR(__xludf.DUMMYFUNCTION("""COMPUTED_VALUE"""),44730.0)</f>
        <v>44730</v>
      </c>
      <c r="B1023" s="24" t="str">
        <f>IFERROR(__xludf.DUMMYFUNCTION("""COMPUTED_VALUE"""),"Claire")</f>
        <v>Claire</v>
      </c>
      <c r="C1023" s="24">
        <f>IFERROR(__xludf.DUMMYFUNCTION("""COMPUTED_VALUE"""),-385.0)</f>
        <v>-385</v>
      </c>
      <c r="D1023" s="24" t="str">
        <f>IFERROR(__xludf.DUMMYFUNCTION("""COMPUTED_VALUE"""),"Drinks")</f>
        <v>Drinks</v>
      </c>
      <c r="F1023" s="23">
        <f>IFERROR(__xludf.DUMMYFUNCTION("""COMPUTED_VALUE"""),44762.71070678241)</f>
        <v>44762.71071</v>
      </c>
      <c r="G1023" s="24" t="str">
        <f>IFERROR(__xludf.DUMMYFUNCTION("""COMPUTED_VALUE"""),"Deborah Claridy ")</f>
        <v>Deborah Claridy </v>
      </c>
      <c r="H1023" s="24">
        <f>IFERROR(__xludf.DUMMYFUNCTION("""COMPUTED_VALUE"""),11.0)</f>
        <v>11</v>
      </c>
      <c r="I1023" s="24"/>
    </row>
    <row r="1024">
      <c r="A1024" s="23">
        <f>IFERROR(__xludf.DUMMYFUNCTION("""COMPUTED_VALUE"""),44730.0)</f>
        <v>44730</v>
      </c>
      <c r="B1024" s="24" t="str">
        <f>IFERROR(__xludf.DUMMYFUNCTION("""COMPUTED_VALUE"""),"Claire")</f>
        <v>Claire</v>
      </c>
      <c r="C1024" s="24">
        <f>IFERROR(__xludf.DUMMYFUNCTION("""COMPUTED_VALUE"""),-694.0)</f>
        <v>-694</v>
      </c>
      <c r="D1024" s="24" t="str">
        <f>IFERROR(__xludf.DUMMYFUNCTION("""COMPUTED_VALUE"""),"Drinks &amp; oil")</f>
        <v>Drinks &amp; oil</v>
      </c>
      <c r="F1024" s="23">
        <f>IFERROR(__xludf.DUMMYFUNCTION("""COMPUTED_VALUE"""),44762.71801092593)</f>
        <v>44762.71801</v>
      </c>
      <c r="G1024" s="24" t="str">
        <f>IFERROR(__xludf.DUMMYFUNCTION("""COMPUTED_VALUE"""),"Juanita Chandler ")</f>
        <v>Juanita Chandler </v>
      </c>
      <c r="H1024" s="24">
        <f>IFERROR(__xludf.DUMMYFUNCTION("""COMPUTED_VALUE"""),21.0)</f>
        <v>21</v>
      </c>
      <c r="I1024" s="24"/>
    </row>
    <row r="1025">
      <c r="A1025" s="23">
        <f>IFERROR(__xludf.DUMMYFUNCTION("""COMPUTED_VALUE"""),44730.0)</f>
        <v>44730</v>
      </c>
      <c r="B1025" s="24" t="str">
        <f>IFERROR(__xludf.DUMMYFUNCTION("""COMPUTED_VALUE"""),"Claire")</f>
        <v>Claire</v>
      </c>
      <c r="C1025" s="24">
        <f>IFERROR(__xludf.DUMMYFUNCTION("""COMPUTED_VALUE"""),-232.0)</f>
        <v>-232</v>
      </c>
      <c r="D1025" s="24" t="str">
        <f>IFERROR(__xludf.DUMMYFUNCTION("""COMPUTED_VALUE"""),"Snacks")</f>
        <v>Snacks</v>
      </c>
      <c r="F1025" s="23">
        <f>IFERROR(__xludf.DUMMYFUNCTION("""COMPUTED_VALUE"""),44762.72519207177)</f>
        <v>44762.72519</v>
      </c>
      <c r="G1025" s="24" t="str">
        <f>IFERROR(__xludf.DUMMYFUNCTION("""COMPUTED_VALUE"""),"Karen")</f>
        <v>Karen</v>
      </c>
      <c r="H1025" s="24">
        <f>IFERROR(__xludf.DUMMYFUNCTION("""COMPUTED_VALUE"""),19.0)</f>
        <v>19</v>
      </c>
      <c r="I1025" s="24"/>
    </row>
    <row r="1026">
      <c r="A1026" s="23">
        <f>IFERROR(__xludf.DUMMYFUNCTION("""COMPUTED_VALUE"""),44730.0)</f>
        <v>44730</v>
      </c>
      <c r="B1026" s="24" t="str">
        <f>IFERROR(__xludf.DUMMYFUNCTION("""COMPUTED_VALUE"""),"Claire")</f>
        <v>Claire</v>
      </c>
      <c r="C1026" s="24">
        <f>IFERROR(__xludf.DUMMYFUNCTION("""COMPUTED_VALUE"""),-344.0)</f>
        <v>-344</v>
      </c>
      <c r="D1026" s="24" t="str">
        <f>IFERROR(__xludf.DUMMYFUNCTION("""COMPUTED_VALUE"""),"Pasta")</f>
        <v>Pasta</v>
      </c>
      <c r="F1026" s="23">
        <f>IFERROR(__xludf.DUMMYFUNCTION("""COMPUTED_VALUE"""),44762.72534888889)</f>
        <v>44762.72535</v>
      </c>
      <c r="G1026" s="24" t="str">
        <f>IFERROR(__xludf.DUMMYFUNCTION("""COMPUTED_VALUE"""),"Karen expired")</f>
        <v>Karen expired</v>
      </c>
      <c r="H1026" s="24">
        <f>IFERROR(__xludf.DUMMYFUNCTION("""COMPUTED_VALUE"""),12.0)</f>
        <v>12</v>
      </c>
      <c r="I1026" s="24"/>
    </row>
    <row r="1027">
      <c r="A1027" s="23">
        <f>IFERROR(__xludf.DUMMYFUNCTION("""COMPUTED_VALUE"""),44730.0)</f>
        <v>44730</v>
      </c>
      <c r="B1027" s="24" t="str">
        <f>IFERROR(__xludf.DUMMYFUNCTION("""COMPUTED_VALUE"""),"Claire")</f>
        <v>Claire</v>
      </c>
      <c r="C1027" s="24">
        <f>IFERROR(__xludf.DUMMYFUNCTION("""COMPUTED_VALUE"""),-317.0)</f>
        <v>-317</v>
      </c>
      <c r="D1027" s="24" t="str">
        <f>IFERROR(__xludf.DUMMYFUNCTION("""COMPUTED_VALUE"""),"Vinegar")</f>
        <v>Vinegar</v>
      </c>
      <c r="F1027" s="23">
        <f>IFERROR(__xludf.DUMMYFUNCTION("""COMPUTED_VALUE"""),44762.72616252315)</f>
        <v>44762.72616</v>
      </c>
      <c r="G1027" s="24" t="str">
        <f>IFERROR(__xludf.DUMMYFUNCTION("""COMPUTED_VALUE"""),"Karen expired")</f>
        <v>Karen expired</v>
      </c>
      <c r="H1027" s="24">
        <f>IFERROR(__xludf.DUMMYFUNCTION("""COMPUTED_VALUE"""),4.0)</f>
        <v>4</v>
      </c>
      <c r="I1027" s="24"/>
    </row>
    <row r="1028">
      <c r="A1028" s="23">
        <f>IFERROR(__xludf.DUMMYFUNCTION("""COMPUTED_VALUE"""),44730.0)</f>
        <v>44730</v>
      </c>
      <c r="B1028" s="24" t="str">
        <f>IFERROR(__xludf.DUMMYFUNCTION("""COMPUTED_VALUE"""),"Claire")</f>
        <v>Claire</v>
      </c>
      <c r="C1028" s="24">
        <f>IFERROR(__xludf.DUMMYFUNCTION("""COMPUTED_VALUE"""),-368.0)</f>
        <v>-368</v>
      </c>
      <c r="D1028" s="24" t="str">
        <f>IFERROR(__xludf.DUMMYFUNCTION("""COMPUTED_VALUE"""),"Broth")</f>
        <v>Broth</v>
      </c>
      <c r="F1028" s="23">
        <f>IFERROR(__xludf.DUMMYFUNCTION("""COMPUTED_VALUE"""),44762.732527824075)</f>
        <v>44762.73253</v>
      </c>
      <c r="G1028" s="24" t="str">
        <f>IFERROR(__xludf.DUMMYFUNCTION("""COMPUTED_VALUE"""),"Lynnette c ")</f>
        <v>Lynnette c </v>
      </c>
      <c r="H1028" s="24">
        <f>IFERROR(__xludf.DUMMYFUNCTION("""COMPUTED_VALUE"""),23.0)</f>
        <v>23</v>
      </c>
      <c r="I1028" s="24"/>
    </row>
    <row r="1029">
      <c r="A1029" s="23">
        <f>IFERROR(__xludf.DUMMYFUNCTION("""COMPUTED_VALUE"""),44730.0)</f>
        <v>44730</v>
      </c>
      <c r="B1029" s="24" t="str">
        <f>IFERROR(__xludf.DUMMYFUNCTION("""COMPUTED_VALUE"""),"Claire")</f>
        <v>Claire</v>
      </c>
      <c r="C1029" s="24">
        <f>IFERROR(__xludf.DUMMYFUNCTION("""COMPUTED_VALUE"""),-32.0)</f>
        <v>-32</v>
      </c>
      <c r="D1029" s="24" t="str">
        <f>IFERROR(__xludf.DUMMYFUNCTION("""COMPUTED_VALUE"""),"OXO")</f>
        <v>OXO</v>
      </c>
      <c r="F1029" s="23">
        <f>IFERROR(__xludf.DUMMYFUNCTION("""COMPUTED_VALUE"""),44762.732784143525)</f>
        <v>44762.73278</v>
      </c>
      <c r="G1029" s="24" t="str">
        <f>IFERROR(__xludf.DUMMYFUNCTION("""COMPUTED_VALUE"""),"Lynnette expire")</f>
        <v>Lynnette expire</v>
      </c>
      <c r="H1029" s="24">
        <f>IFERROR(__xludf.DUMMYFUNCTION("""COMPUTED_VALUE"""),7.0)</f>
        <v>7</v>
      </c>
      <c r="I1029" s="24"/>
    </row>
    <row r="1030">
      <c r="A1030" s="23">
        <f>IFERROR(__xludf.DUMMYFUNCTION("""COMPUTED_VALUE"""),44730.0)</f>
        <v>44730</v>
      </c>
      <c r="B1030" s="24" t="str">
        <f>IFERROR(__xludf.DUMMYFUNCTION("""COMPUTED_VALUE"""),"Claire")</f>
        <v>Claire</v>
      </c>
      <c r="C1030" s="24">
        <f>IFERROR(__xludf.DUMMYFUNCTION("""COMPUTED_VALUE"""),-44.0)</f>
        <v>-44</v>
      </c>
      <c r="D1030" s="24" t="str">
        <f>IFERROR(__xludf.DUMMYFUNCTION("""COMPUTED_VALUE"""),"Paper Towels")</f>
        <v>Paper Towels</v>
      </c>
      <c r="F1030" s="23">
        <f>IFERROR(__xludf.DUMMYFUNCTION("""COMPUTED_VALUE"""),44762.73878900464)</f>
        <v>44762.73879</v>
      </c>
      <c r="G1030" s="24" t="str">
        <f>IFERROR(__xludf.DUMMYFUNCTION("""COMPUTED_VALUE"""),"Karen")</f>
        <v>Karen</v>
      </c>
      <c r="H1030" s="24">
        <f>IFERROR(__xludf.DUMMYFUNCTION("""COMPUTED_VALUE"""),36.0)</f>
        <v>36</v>
      </c>
      <c r="I1030" s="24" t="str">
        <f>IFERROR(__xludf.DUMMYFUNCTION("""COMPUTED_VALUE"""),"Baby")</f>
        <v>Baby</v>
      </c>
    </row>
    <row r="1031">
      <c r="A1031" s="23">
        <f>IFERROR(__xludf.DUMMYFUNCTION("""COMPUTED_VALUE"""),44731.67126608796)</f>
        <v>44731.67127</v>
      </c>
      <c r="B1031" s="24" t="str">
        <f>IFERROR(__xludf.DUMMYFUNCTION("""COMPUTED_VALUE"""),"Ausar")</f>
        <v>Ausar</v>
      </c>
      <c r="C1031" s="24">
        <f>IFERROR(__xludf.DUMMYFUNCTION("""COMPUTED_VALUE"""),397.0)</f>
        <v>397</v>
      </c>
      <c r="D1031" s="24" t="str">
        <f>IFERROR(__xludf.DUMMYFUNCTION("""COMPUTED_VALUE"""),"Frozen")</f>
        <v>Frozen</v>
      </c>
      <c r="F1031" s="23">
        <f>IFERROR(__xludf.DUMMYFUNCTION("""COMPUTED_VALUE"""),44762.739555520835)</f>
        <v>44762.73956</v>
      </c>
      <c r="G1031" s="24" t="str">
        <f>IFERROR(__xludf.DUMMYFUNCTION("""COMPUTED_VALUE"""),"Karen")</f>
        <v>Karen</v>
      </c>
      <c r="H1031" s="24">
        <f>IFERROR(__xludf.DUMMYFUNCTION("""COMPUTED_VALUE"""),8.0)</f>
        <v>8</v>
      </c>
      <c r="I1031" s="24" t="str">
        <f>IFERROR(__xludf.DUMMYFUNCTION("""COMPUTED_VALUE"""),"Meat")</f>
        <v>Meat</v>
      </c>
    </row>
    <row r="1032">
      <c r="A1032" s="23">
        <f>IFERROR(__xludf.DUMMYFUNCTION("""COMPUTED_VALUE"""),44731.67159108796)</f>
        <v>44731.67159</v>
      </c>
      <c r="B1032" s="24" t="str">
        <f>IFERROR(__xludf.DUMMYFUNCTION("""COMPUTED_VALUE"""),"Ausar")</f>
        <v>Ausar</v>
      </c>
      <c r="C1032" s="24">
        <f>IFERROR(__xludf.DUMMYFUNCTION("""COMPUTED_VALUE"""),282.0)</f>
        <v>282</v>
      </c>
      <c r="D1032" s="24" t="str">
        <f>IFERROR(__xludf.DUMMYFUNCTION("""COMPUTED_VALUE"""),"Snacks")</f>
        <v>Snacks</v>
      </c>
      <c r="F1032" s="23">
        <f>IFERROR(__xludf.DUMMYFUNCTION("""COMPUTED_VALUE"""),44762.73962645833)</f>
        <v>44762.73963</v>
      </c>
      <c r="G1032" s="24" t="str">
        <f>IFERROR(__xludf.DUMMYFUNCTION("""COMPUTED_VALUE"""),"Lynnette damage")</f>
        <v>Lynnette damage</v>
      </c>
      <c r="H1032" s="24">
        <f>IFERROR(__xludf.DUMMYFUNCTION("""COMPUTED_VALUE"""),5.0)</f>
        <v>5</v>
      </c>
      <c r="I1032" s="24"/>
    </row>
    <row r="1033">
      <c r="A1033" s="23">
        <f>IFERROR(__xludf.DUMMYFUNCTION("""COMPUTED_VALUE"""),44731.672049548615)</f>
        <v>44731.67205</v>
      </c>
      <c r="B1033" s="24" t="str">
        <f>IFERROR(__xludf.DUMMYFUNCTION("""COMPUTED_VALUE"""),"Ausar")</f>
        <v>Ausar</v>
      </c>
      <c r="C1033" s="24">
        <f>IFERROR(__xludf.DUMMYFUNCTION("""COMPUTED_VALUE"""),694.0)</f>
        <v>694</v>
      </c>
      <c r="D1033" s="24" t="str">
        <f>IFERROR(__xludf.DUMMYFUNCTION("""COMPUTED_VALUE"""),"Drinks")</f>
        <v>Drinks</v>
      </c>
      <c r="F1033" s="23">
        <f>IFERROR(__xludf.DUMMYFUNCTION("""COMPUTED_VALUE"""),44762.86779635416)</f>
        <v>44762.8678</v>
      </c>
      <c r="G1033" s="24" t="str">
        <f>IFERROR(__xludf.DUMMYFUNCTION("""COMPUTED_VALUE"""),"Rilynn")</f>
        <v>Rilynn</v>
      </c>
      <c r="H1033" s="24">
        <f>IFERROR(__xludf.DUMMYFUNCTION("""COMPUTED_VALUE"""),19.0)</f>
        <v>19</v>
      </c>
      <c r="I1033" s="24"/>
    </row>
    <row r="1034">
      <c r="A1034" s="23">
        <f>IFERROR(__xludf.DUMMYFUNCTION("""COMPUTED_VALUE"""),44731.67261256945)</f>
        <v>44731.67261</v>
      </c>
      <c r="B1034" s="24" t="str">
        <f>IFERROR(__xludf.DUMMYFUNCTION("""COMPUTED_VALUE"""),"Ausar")</f>
        <v>Ausar</v>
      </c>
      <c r="C1034" s="24">
        <f>IFERROR(__xludf.DUMMYFUNCTION("""COMPUTED_VALUE"""),385.0)</f>
        <v>385</v>
      </c>
      <c r="D1034" s="24" t="str">
        <f>IFERROR(__xludf.DUMMYFUNCTION("""COMPUTED_VALUE"""),"Drinks")</f>
        <v>Drinks</v>
      </c>
      <c r="F1034" s="23">
        <f>IFERROR(__xludf.DUMMYFUNCTION("""COMPUTED_VALUE"""),44762.87338428241)</f>
        <v>44762.87338</v>
      </c>
      <c r="G1034" s="24" t="str">
        <f>IFERROR(__xludf.DUMMYFUNCTION("""COMPUTED_VALUE"""),"Amanda Wall")</f>
        <v>Amanda Wall</v>
      </c>
      <c r="H1034" s="24">
        <f>IFERROR(__xludf.DUMMYFUNCTION("""COMPUTED_VALUE"""),20.0)</f>
        <v>20</v>
      </c>
      <c r="I1034" s="24"/>
    </row>
    <row r="1035">
      <c r="A1035" s="23">
        <f>IFERROR(__xludf.DUMMYFUNCTION("""COMPUTED_VALUE"""),44731.675216400465)</f>
        <v>44731.67522</v>
      </c>
      <c r="B1035" s="24" t="str">
        <f>IFERROR(__xludf.DUMMYFUNCTION("""COMPUTED_VALUE"""),"Ausar")</f>
        <v>Ausar</v>
      </c>
      <c r="C1035" s="24">
        <f>IFERROR(__xludf.DUMMYFUNCTION("""COMPUTED_VALUE"""),272.0)</f>
        <v>272</v>
      </c>
      <c r="D1035" s="24" t="str">
        <f>IFERROR(__xludf.DUMMYFUNCTION("""COMPUTED_VALUE"""),"Meat")</f>
        <v>Meat</v>
      </c>
      <c r="F1035" s="23">
        <f>IFERROR(__xludf.DUMMYFUNCTION("""COMPUTED_VALUE"""),44762.87354061342)</f>
        <v>44762.87354</v>
      </c>
      <c r="G1035" s="24" t="str">
        <f>IFERROR(__xludf.DUMMYFUNCTION("""COMPUTED_VALUE"""),"Amanda Wall expired ")</f>
        <v>Amanda Wall expired </v>
      </c>
      <c r="H1035" s="24">
        <f>IFERROR(__xludf.DUMMYFUNCTION("""COMPUTED_VALUE"""),3.0)</f>
        <v>3</v>
      </c>
      <c r="I1035" s="24"/>
    </row>
    <row r="1036">
      <c r="A1036" s="23">
        <f>IFERROR(__xludf.DUMMYFUNCTION("""COMPUTED_VALUE"""),44731.67526650463)</f>
        <v>44731.67527</v>
      </c>
      <c r="B1036" s="24" t="str">
        <f>IFERROR(__xludf.DUMMYFUNCTION("""COMPUTED_VALUE"""),"Zoe")</f>
        <v>Zoe</v>
      </c>
      <c r="C1036" s="24">
        <f>IFERROR(__xludf.DUMMYFUNCTION("""COMPUTED_VALUE"""),28.0)</f>
        <v>28</v>
      </c>
      <c r="D1036" s="24" t="str">
        <f>IFERROR(__xludf.DUMMYFUNCTION("""COMPUTED_VALUE"""),"Assorted option")</f>
        <v>Assorted option</v>
      </c>
      <c r="F1036" s="23">
        <f>IFERROR(__xludf.DUMMYFUNCTION("""COMPUTED_VALUE"""),44762.875822152775)</f>
        <v>44762.87582</v>
      </c>
      <c r="G1036" s="24" t="str">
        <f>IFERROR(__xludf.DUMMYFUNCTION("""COMPUTED_VALUE"""),"Luke mayhew")</f>
        <v>Luke mayhew</v>
      </c>
      <c r="H1036" s="24">
        <f>IFERROR(__xludf.DUMMYFUNCTION("""COMPUTED_VALUE"""),20.0)</f>
        <v>20</v>
      </c>
      <c r="I1036" s="24"/>
    </row>
    <row r="1037">
      <c r="A1037" s="23">
        <f>IFERROR(__xludf.DUMMYFUNCTION("""COMPUTED_VALUE"""),44731.67558603009)</f>
        <v>44731.67559</v>
      </c>
      <c r="B1037" s="24" t="str">
        <f>IFERROR(__xludf.DUMMYFUNCTION("""COMPUTED_VALUE"""),"Zoe")</f>
        <v>Zoe</v>
      </c>
      <c r="C1037" s="24">
        <f>IFERROR(__xludf.DUMMYFUNCTION("""COMPUTED_VALUE"""),44.0)</f>
        <v>44</v>
      </c>
      <c r="D1037" s="24" t="str">
        <f>IFERROR(__xludf.DUMMYFUNCTION("""COMPUTED_VALUE"""),"Paper goods")</f>
        <v>Paper goods</v>
      </c>
      <c r="F1037" s="23">
        <f>IFERROR(__xludf.DUMMYFUNCTION("""COMPUTED_VALUE"""),44762.87599363426)</f>
        <v>44762.87599</v>
      </c>
      <c r="G1037" s="24" t="str">
        <f>IFERROR(__xludf.DUMMYFUNCTION("""COMPUTED_VALUE"""),"Luke Mayhew Expired")</f>
        <v>Luke Mayhew Expired</v>
      </c>
      <c r="H1037" s="24">
        <f>IFERROR(__xludf.DUMMYFUNCTION("""COMPUTED_VALUE"""),13.0)</f>
        <v>13</v>
      </c>
      <c r="I1037" s="24"/>
    </row>
    <row r="1038">
      <c r="A1038" s="23">
        <f>IFERROR(__xludf.DUMMYFUNCTION("""COMPUTED_VALUE"""),44731.675602557865)</f>
        <v>44731.6756</v>
      </c>
      <c r="B1038" s="24" t="str">
        <f>IFERROR(__xludf.DUMMYFUNCTION("""COMPUTED_VALUE"""),"Ausar")</f>
        <v>Ausar</v>
      </c>
      <c r="C1038" s="24">
        <f>IFERROR(__xludf.DUMMYFUNCTION("""COMPUTED_VALUE"""),303.0)</f>
        <v>303</v>
      </c>
      <c r="D1038" s="24" t="str">
        <f>IFERROR(__xludf.DUMMYFUNCTION("""COMPUTED_VALUE"""),"Paper goods")</f>
        <v>Paper goods</v>
      </c>
      <c r="F1038" s="23">
        <f>IFERROR(__xludf.DUMMYFUNCTION("""COMPUTED_VALUE"""),44763.0)</f>
        <v>44763</v>
      </c>
      <c r="G1038" s="24" t="str">
        <f>IFERROR(__xludf.DUMMYFUNCTION("""COMPUTED_VALUE"""),"Claire")</f>
        <v>Claire</v>
      </c>
      <c r="H1038" s="24">
        <f>IFERROR(__xludf.DUMMYFUNCTION("""COMPUTED_VALUE"""),611.0)</f>
        <v>611</v>
      </c>
      <c r="I1038" s="24" t="str">
        <f>IFERROR(__xludf.DUMMYFUNCTION("""COMPUTED_VALUE"""),"Walmart")</f>
        <v>Walmart</v>
      </c>
    </row>
    <row r="1039">
      <c r="A1039" s="23">
        <f>IFERROR(__xludf.DUMMYFUNCTION("""COMPUTED_VALUE"""),44731.67590969907)</f>
        <v>44731.67591</v>
      </c>
      <c r="B1039" s="24" t="str">
        <f>IFERROR(__xludf.DUMMYFUNCTION("""COMPUTED_VALUE"""),"Ausar")</f>
        <v>Ausar</v>
      </c>
      <c r="C1039" s="24">
        <f>IFERROR(__xludf.DUMMYFUNCTION("""COMPUTED_VALUE"""),29.0)</f>
        <v>29</v>
      </c>
      <c r="D1039" s="24" t="str">
        <f>IFERROR(__xludf.DUMMYFUNCTION("""COMPUTED_VALUE"""),"Assorted option")</f>
        <v>Assorted option</v>
      </c>
      <c r="F1039" s="23">
        <f>IFERROR(__xludf.DUMMYFUNCTION("""COMPUTED_VALUE"""),44763.0)</f>
        <v>44763</v>
      </c>
      <c r="G1039" s="24" t="str">
        <f>IFERROR(__xludf.DUMMYFUNCTION("""COMPUTED_VALUE"""),"Claire")</f>
        <v>Claire</v>
      </c>
      <c r="H1039" s="24">
        <f>IFERROR(__xludf.DUMMYFUNCTION("""COMPUTED_VALUE"""),1571.0)</f>
        <v>1571</v>
      </c>
      <c r="I1039" s="24" t="str">
        <f>IFERROR(__xludf.DUMMYFUNCTION("""COMPUTED_VALUE"""),"Walmart")</f>
        <v>Walmart</v>
      </c>
    </row>
    <row r="1040">
      <c r="A1040" s="23">
        <f>IFERROR(__xludf.DUMMYFUNCTION("""COMPUTED_VALUE"""),44731.67591387731)</f>
        <v>44731.67591</v>
      </c>
      <c r="B1040" s="24" t="str">
        <f>IFERROR(__xludf.DUMMYFUNCTION("""COMPUTED_VALUE"""),"Zoe")</f>
        <v>Zoe</v>
      </c>
      <c r="C1040" s="24">
        <f>IFERROR(__xludf.DUMMYFUNCTION("""COMPUTED_VALUE"""),10.0)</f>
        <v>10</v>
      </c>
      <c r="D1040" s="24" t="str">
        <f>IFERROR(__xludf.DUMMYFUNCTION("""COMPUTED_VALUE"""),"Deodorant ")</f>
        <v>Deodorant </v>
      </c>
      <c r="F1040" s="23">
        <f>IFERROR(__xludf.DUMMYFUNCTION("""COMPUTED_VALUE"""),44763.0)</f>
        <v>44763</v>
      </c>
      <c r="G1040" s="24" t="str">
        <f>IFERROR(__xludf.DUMMYFUNCTION("""COMPUTED_VALUE"""),"Claire")</f>
        <v>Claire</v>
      </c>
      <c r="H1040" s="24">
        <f>IFERROR(__xludf.DUMMYFUNCTION("""COMPUTED_VALUE"""),871.0)</f>
        <v>871</v>
      </c>
      <c r="I1040" s="24" t="str">
        <f>IFERROR(__xludf.DUMMYFUNCTION("""COMPUTED_VALUE"""),"Walmart")</f>
        <v>Walmart</v>
      </c>
    </row>
    <row r="1041">
      <c r="A1041" s="23">
        <f>IFERROR(__xludf.DUMMYFUNCTION("""COMPUTED_VALUE"""),44731.67632107639)</f>
        <v>44731.67632</v>
      </c>
      <c r="B1041" s="24" t="str">
        <f>IFERROR(__xludf.DUMMYFUNCTION("""COMPUTED_VALUE"""),"Zoe")</f>
        <v>Zoe</v>
      </c>
      <c r="C1041" s="24">
        <f>IFERROR(__xludf.DUMMYFUNCTION("""COMPUTED_VALUE"""),40.0)</f>
        <v>40</v>
      </c>
      <c r="D1041" s="24" t="str">
        <f>IFERROR(__xludf.DUMMYFUNCTION("""COMPUTED_VALUE"""),"Wipes")</f>
        <v>Wipes</v>
      </c>
      <c r="F1041" s="23">
        <f>IFERROR(__xludf.DUMMYFUNCTION("""COMPUTED_VALUE"""),44763.0)</f>
        <v>44763</v>
      </c>
      <c r="G1041" s="24" t="str">
        <f>IFERROR(__xludf.DUMMYFUNCTION("""COMPUTED_VALUE"""),"Denise Brown")</f>
        <v>Denise Brown</v>
      </c>
      <c r="H1041" s="24">
        <f>IFERROR(__xludf.DUMMYFUNCTION("""COMPUTED_VALUE"""),20.0)</f>
        <v>20</v>
      </c>
      <c r="I1041" s="24"/>
    </row>
    <row r="1042">
      <c r="A1042" s="23">
        <f>IFERROR(__xludf.DUMMYFUNCTION("""COMPUTED_VALUE"""),44731.67647282408)</f>
        <v>44731.67647</v>
      </c>
      <c r="B1042" s="24" t="str">
        <f>IFERROR(__xludf.DUMMYFUNCTION("""COMPUTED_VALUE"""),"Ausar")</f>
        <v>Ausar</v>
      </c>
      <c r="C1042" s="24">
        <f>IFERROR(__xludf.DUMMYFUNCTION("""COMPUTED_VALUE"""),176.0)</f>
        <v>176</v>
      </c>
      <c r="D1042" s="24" t="str">
        <f>IFERROR(__xludf.DUMMYFUNCTION("""COMPUTED_VALUE"""),"Assorted option")</f>
        <v>Assorted option</v>
      </c>
      <c r="F1042" s="23">
        <f>IFERROR(__xludf.DUMMYFUNCTION("""COMPUTED_VALUE"""),44763.0)</f>
        <v>44763</v>
      </c>
      <c r="G1042" s="24" t="str">
        <f>IFERROR(__xludf.DUMMYFUNCTION("""COMPUTED_VALUE"""),"Hong Xue")</f>
        <v>Hong Xue</v>
      </c>
      <c r="H1042" s="24">
        <f>IFERROR(__xludf.DUMMYFUNCTION("""COMPUTED_VALUE"""),21.0)</f>
        <v>21</v>
      </c>
      <c r="I1042" s="24"/>
    </row>
    <row r="1043">
      <c r="A1043" s="23">
        <f>IFERROR(__xludf.DUMMYFUNCTION("""COMPUTED_VALUE"""),44731.67680767361)</f>
        <v>44731.67681</v>
      </c>
      <c r="B1043" s="24" t="str">
        <f>IFERROR(__xludf.DUMMYFUNCTION("""COMPUTED_VALUE"""),"Zoe")</f>
        <v>Zoe</v>
      </c>
      <c r="C1043" s="24">
        <f>IFERROR(__xludf.DUMMYFUNCTION("""COMPUTED_VALUE"""),151.0)</f>
        <v>151</v>
      </c>
      <c r="D1043" s="24" t="str">
        <f>IFERROR(__xludf.DUMMYFUNCTION("""COMPUTED_VALUE"""),"Canned food")</f>
        <v>Canned food</v>
      </c>
      <c r="F1043" s="23">
        <f>IFERROR(__xludf.DUMMYFUNCTION("""COMPUTED_VALUE"""),44763.0)</f>
        <v>44763</v>
      </c>
      <c r="G1043" s="24" t="str">
        <f>IFERROR(__xludf.DUMMYFUNCTION("""COMPUTED_VALUE"""),"Hong Xue")</f>
        <v>Hong Xue</v>
      </c>
      <c r="H1043" s="24">
        <f>IFERROR(__xludf.DUMMYFUNCTION("""COMPUTED_VALUE"""),28.0)</f>
        <v>28</v>
      </c>
      <c r="I1043" s="24"/>
    </row>
    <row r="1044">
      <c r="A1044" s="23">
        <f>IFERROR(__xludf.DUMMYFUNCTION("""COMPUTED_VALUE"""),44731.704375092595)</f>
        <v>44731.70438</v>
      </c>
      <c r="B1044" s="24" t="str">
        <f>IFERROR(__xludf.DUMMYFUNCTION("""COMPUTED_VALUE"""),"Ausar")</f>
        <v>Ausar</v>
      </c>
      <c r="C1044" s="24">
        <f>IFERROR(__xludf.DUMMYFUNCTION("""COMPUTED_VALUE"""),8.0)</f>
        <v>8</v>
      </c>
      <c r="D1044" s="24" t="str">
        <f>IFERROR(__xludf.DUMMYFUNCTION("""COMPUTED_VALUE"""),"Assorted option")</f>
        <v>Assorted option</v>
      </c>
      <c r="F1044" s="23">
        <f>IFERROR(__xludf.DUMMYFUNCTION("""COMPUTED_VALUE"""),44763.0)</f>
        <v>44763</v>
      </c>
      <c r="G1044" s="24" t="str">
        <f>IFERROR(__xludf.DUMMYFUNCTION("""COMPUTED_VALUE"""),"Sheneil Black")</f>
        <v>Sheneil Black</v>
      </c>
      <c r="H1044" s="24">
        <f>IFERROR(__xludf.DUMMYFUNCTION("""COMPUTED_VALUE"""),18.0)</f>
        <v>18</v>
      </c>
      <c r="I1044" s="24"/>
    </row>
    <row r="1045">
      <c r="A1045" s="23">
        <f>IFERROR(__xludf.DUMMYFUNCTION("""COMPUTED_VALUE"""),44734.706066446764)</f>
        <v>44734.70607</v>
      </c>
      <c r="B1045" s="24" t="str">
        <f>IFERROR(__xludf.DUMMYFUNCTION("""COMPUTED_VALUE"""),"Monah")</f>
        <v>Monah</v>
      </c>
      <c r="C1045" s="24">
        <f>IFERROR(__xludf.DUMMYFUNCTION("""COMPUTED_VALUE"""),17.0)</f>
        <v>17</v>
      </c>
      <c r="D1045" s="24" t="str">
        <f>IFERROR(__xludf.DUMMYFUNCTION("""COMPUTED_VALUE"""),"Charcoal")</f>
        <v>Charcoal</v>
      </c>
      <c r="F1045" s="23">
        <f>IFERROR(__xludf.DUMMYFUNCTION("""COMPUTED_VALUE"""),44763.0)</f>
        <v>44763</v>
      </c>
      <c r="G1045" s="24" t="str">
        <f>IFERROR(__xludf.DUMMYFUNCTION("""COMPUTED_VALUE"""),"Sheneil Black")</f>
        <v>Sheneil Black</v>
      </c>
      <c r="H1045" s="24">
        <f>IFERROR(__xludf.DUMMYFUNCTION("""COMPUTED_VALUE"""),11.0)</f>
        <v>11</v>
      </c>
      <c r="I1045" s="24"/>
    </row>
    <row r="1046">
      <c r="A1046" s="23">
        <f>IFERROR(__xludf.DUMMYFUNCTION("""COMPUTED_VALUE"""),44734.0)</f>
        <v>44734</v>
      </c>
      <c r="B1046" s="24" t="str">
        <f>IFERROR(__xludf.DUMMYFUNCTION("""COMPUTED_VALUE"""),"Claire")</f>
        <v>Claire</v>
      </c>
      <c r="C1046" s="24">
        <f>IFERROR(__xludf.DUMMYFUNCTION("""COMPUTED_VALUE"""),1726.0)</f>
        <v>1726</v>
      </c>
      <c r="D1046" s="24" t="str">
        <f>IFERROR(__xludf.DUMMYFUNCTION("""COMPUTED_VALUE"""),"Water")</f>
        <v>Water</v>
      </c>
      <c r="F1046" s="23">
        <f>IFERROR(__xludf.DUMMYFUNCTION("""COMPUTED_VALUE"""),44763.0)</f>
        <v>44763</v>
      </c>
      <c r="G1046" s="24" t="str">
        <f>IFERROR(__xludf.DUMMYFUNCTION("""COMPUTED_VALUE"""),"Nathaniel Mcclean")</f>
        <v>Nathaniel Mcclean</v>
      </c>
      <c r="H1046" s="24">
        <f>IFERROR(__xludf.DUMMYFUNCTION("""COMPUTED_VALUE"""),18.0)</f>
        <v>18</v>
      </c>
      <c r="I1046" s="24"/>
    </row>
    <row r="1047">
      <c r="A1047" s="23">
        <f>IFERROR(__xludf.DUMMYFUNCTION("""COMPUTED_VALUE"""),44734.0)</f>
        <v>44734</v>
      </c>
      <c r="B1047" s="24" t="str">
        <f>IFERROR(__xludf.DUMMYFUNCTION("""COMPUTED_VALUE"""),"Claire")</f>
        <v>Claire</v>
      </c>
      <c r="C1047" s="24">
        <f>IFERROR(__xludf.DUMMYFUNCTION("""COMPUTED_VALUE"""),72.0)</f>
        <v>72</v>
      </c>
      <c r="D1047" s="24" t="str">
        <f>IFERROR(__xludf.DUMMYFUNCTION("""COMPUTED_VALUE"""),"Bread")</f>
        <v>Bread</v>
      </c>
      <c r="F1047" s="23">
        <f>IFERROR(__xludf.DUMMYFUNCTION("""COMPUTED_VALUE"""),44763.0)</f>
        <v>44763</v>
      </c>
      <c r="G1047" s="24" t="str">
        <f>IFERROR(__xludf.DUMMYFUNCTION("""COMPUTED_VALUE"""),"Nathaniel Mcclean")</f>
        <v>Nathaniel Mcclean</v>
      </c>
      <c r="H1047" s="24">
        <f>IFERROR(__xludf.DUMMYFUNCTION("""COMPUTED_VALUE"""),8.0)</f>
        <v>8</v>
      </c>
      <c r="I1047" s="24"/>
    </row>
    <row r="1048">
      <c r="A1048" s="23">
        <f>IFERROR(__xludf.DUMMYFUNCTION("""COMPUTED_VALUE"""),44734.0)</f>
        <v>44734</v>
      </c>
      <c r="B1048" s="24" t="str">
        <f>IFERROR(__xludf.DUMMYFUNCTION("""COMPUTED_VALUE"""),"Claire")</f>
        <v>Claire</v>
      </c>
      <c r="C1048" s="24">
        <f>IFERROR(__xludf.DUMMYFUNCTION("""COMPUTED_VALUE"""),831.0)</f>
        <v>831</v>
      </c>
      <c r="D1048" s="24" t="str">
        <f>IFERROR(__xludf.DUMMYFUNCTION("""COMPUTED_VALUE"""),"Frozen")</f>
        <v>Frozen</v>
      </c>
      <c r="F1048" s="23">
        <f>IFERROR(__xludf.DUMMYFUNCTION("""COMPUTED_VALUE"""),44763.0)</f>
        <v>44763</v>
      </c>
      <c r="G1048" s="24" t="str">
        <f>IFERROR(__xludf.DUMMYFUNCTION("""COMPUTED_VALUE"""),"Deborah Davis expired")</f>
        <v>Deborah Davis expired</v>
      </c>
      <c r="H1048" s="24">
        <f>IFERROR(__xludf.DUMMYFUNCTION("""COMPUTED_VALUE"""),1.0)</f>
        <v>1</v>
      </c>
      <c r="I1048" s="24"/>
    </row>
    <row r="1049">
      <c r="A1049" s="23">
        <f>IFERROR(__xludf.DUMMYFUNCTION("""COMPUTED_VALUE"""),44734.0)</f>
        <v>44734</v>
      </c>
      <c r="B1049" s="24" t="str">
        <f>IFERROR(__xludf.DUMMYFUNCTION("""COMPUTED_VALUE"""),"Claire")</f>
        <v>Claire</v>
      </c>
      <c r="C1049" s="24">
        <f>IFERROR(__xludf.DUMMYFUNCTION("""COMPUTED_VALUE"""),613.0)</f>
        <v>613</v>
      </c>
      <c r="D1049" s="24" t="str">
        <f>IFERROR(__xludf.DUMMYFUNCTION("""COMPUTED_VALUE"""),"Frozen")</f>
        <v>Frozen</v>
      </c>
      <c r="F1049" s="23">
        <f>IFERROR(__xludf.DUMMYFUNCTION("""COMPUTED_VALUE"""),44763.0)</f>
        <v>44763</v>
      </c>
      <c r="G1049" s="24" t="str">
        <f>IFERROR(__xludf.DUMMYFUNCTION("""COMPUTED_VALUE"""),"Norma &amp; friend")</f>
        <v>Norma &amp; friend</v>
      </c>
      <c r="H1049" s="24">
        <f>IFERROR(__xludf.DUMMYFUNCTION("""COMPUTED_VALUE"""),46.0)</f>
        <v>46</v>
      </c>
      <c r="I1049" s="24"/>
    </row>
    <row r="1050">
      <c r="A1050" s="23">
        <f>IFERROR(__xludf.DUMMYFUNCTION("""COMPUTED_VALUE"""),44734.0)</f>
        <v>44734</v>
      </c>
      <c r="B1050" s="24" t="str">
        <f>IFERROR(__xludf.DUMMYFUNCTION("""COMPUTED_VALUE"""),"Claire")</f>
        <v>Claire</v>
      </c>
      <c r="C1050" s="24">
        <f>IFERROR(__xludf.DUMMYFUNCTION("""COMPUTED_VALUE"""),168.0)</f>
        <v>168</v>
      </c>
      <c r="D1050" s="24" t="str">
        <f>IFERROR(__xludf.DUMMYFUNCTION("""COMPUTED_VALUE"""),"Produce")</f>
        <v>Produce</v>
      </c>
      <c r="F1050" s="23">
        <f>IFERROR(__xludf.DUMMYFUNCTION("""COMPUTED_VALUE"""),44763.6813183912)</f>
        <v>44763.68132</v>
      </c>
      <c r="G1050" s="24" t="str">
        <f>IFERROR(__xludf.DUMMYFUNCTION("""COMPUTED_VALUE"""),"Norma")</f>
        <v>Norma</v>
      </c>
      <c r="H1050" s="24">
        <f>IFERROR(__xludf.DUMMYFUNCTION("""COMPUTED_VALUE"""),72.0)</f>
        <v>72</v>
      </c>
      <c r="I1050" s="24" t="str">
        <f>IFERROR(__xludf.DUMMYFUNCTION("""COMPUTED_VALUE"""),"Meat")</f>
        <v>Meat</v>
      </c>
    </row>
    <row r="1051">
      <c r="A1051" s="23">
        <f>IFERROR(__xludf.DUMMYFUNCTION("""COMPUTED_VALUE"""),44735.84302475694)</f>
        <v>44735.84302</v>
      </c>
      <c r="B1051" s="24" t="str">
        <f>IFERROR(__xludf.DUMMYFUNCTION("""COMPUTED_VALUE"""),"Claire")</f>
        <v>Claire</v>
      </c>
      <c r="C1051" s="24">
        <f>IFERROR(__xludf.DUMMYFUNCTION("""COMPUTED_VALUE"""),159.0)</f>
        <v>159</v>
      </c>
      <c r="D1051" s="24" t="str">
        <f>IFERROR(__xludf.DUMMYFUNCTION("""COMPUTED_VALUE"""),"Produce")</f>
        <v>Produce</v>
      </c>
      <c r="F1051" s="23">
        <f>IFERROR(__xludf.DUMMYFUNCTION("""COMPUTED_VALUE"""),44763.68187545138)</f>
        <v>44763.68188</v>
      </c>
      <c r="G1051" s="24" t="str">
        <f>IFERROR(__xludf.DUMMYFUNCTION("""COMPUTED_VALUE"""),"Norma")</f>
        <v>Norma</v>
      </c>
      <c r="H1051" s="24">
        <f>IFERROR(__xludf.DUMMYFUNCTION("""COMPUTED_VALUE"""),500.0)</f>
        <v>500</v>
      </c>
      <c r="I1051" s="24" t="str">
        <f>IFERROR(__xludf.DUMMYFUNCTION("""COMPUTED_VALUE"""),"Assorted option")</f>
        <v>Assorted option</v>
      </c>
    </row>
    <row r="1052">
      <c r="A1052" s="23">
        <f>IFERROR(__xludf.DUMMYFUNCTION("""COMPUTED_VALUE"""),44735.843502916665)</f>
        <v>44735.8435</v>
      </c>
      <c r="B1052" s="24" t="str">
        <f>IFERROR(__xludf.DUMMYFUNCTION("""COMPUTED_VALUE"""),"Claire")</f>
        <v>Claire</v>
      </c>
      <c r="C1052" s="24">
        <f>IFERROR(__xludf.DUMMYFUNCTION("""COMPUTED_VALUE"""),154.0)</f>
        <v>154</v>
      </c>
      <c r="D1052" s="24" t="str">
        <f>IFERROR(__xludf.DUMMYFUNCTION("""COMPUTED_VALUE"""),"Produce")</f>
        <v>Produce</v>
      </c>
      <c r="F1052" s="23">
        <f>IFERROR(__xludf.DUMMYFUNCTION("""COMPUTED_VALUE"""),44763.70115746528)</f>
        <v>44763.70116</v>
      </c>
      <c r="G1052" s="24" t="str">
        <f>IFERROR(__xludf.DUMMYFUNCTION("""COMPUTED_VALUE"""),"Deborah Davis")</f>
        <v>Deborah Davis</v>
      </c>
      <c r="H1052" s="24">
        <f>IFERROR(__xludf.DUMMYFUNCTION("""COMPUTED_VALUE"""),13.0)</f>
        <v>13</v>
      </c>
      <c r="I1052" s="24"/>
    </row>
    <row r="1053">
      <c r="A1053" s="23">
        <f>IFERROR(__xludf.DUMMYFUNCTION("""COMPUTED_VALUE"""),44735.84387696759)</f>
        <v>44735.84388</v>
      </c>
      <c r="B1053" s="24" t="str">
        <f>IFERROR(__xludf.DUMMYFUNCTION("""COMPUTED_VALUE"""),"Claire")</f>
        <v>Claire</v>
      </c>
      <c r="C1053" s="24">
        <f>IFERROR(__xludf.DUMMYFUNCTION("""COMPUTED_VALUE"""),308.0)</f>
        <v>308</v>
      </c>
      <c r="D1053" s="24" t="str">
        <f>IFERROR(__xludf.DUMMYFUNCTION("""COMPUTED_VALUE"""),"Drinks")</f>
        <v>Drinks</v>
      </c>
      <c r="F1053" s="23">
        <f>IFERROR(__xludf.DUMMYFUNCTION("""COMPUTED_VALUE"""),44763.705751423615)</f>
        <v>44763.70575</v>
      </c>
      <c r="G1053" s="24" t="str">
        <f>IFERROR(__xludf.DUMMYFUNCTION("""COMPUTED_VALUE"""),"Jean extra")</f>
        <v>Jean extra</v>
      </c>
      <c r="H1053" s="24">
        <f>IFERROR(__xludf.DUMMYFUNCTION("""COMPUTED_VALUE"""),6.0)</f>
        <v>6</v>
      </c>
      <c r="I1053" s="24"/>
    </row>
    <row r="1054">
      <c r="A1054" s="23">
        <f>IFERROR(__xludf.DUMMYFUNCTION("""COMPUTED_VALUE"""),44735.84422481481)</f>
        <v>44735.84422</v>
      </c>
      <c r="B1054" s="24" t="str">
        <f>IFERROR(__xludf.DUMMYFUNCTION("""COMPUTED_VALUE"""),"Claire")</f>
        <v>Claire</v>
      </c>
      <c r="C1054" s="24">
        <f>IFERROR(__xludf.DUMMYFUNCTION("""COMPUTED_VALUE"""),1155.0)</f>
        <v>1155</v>
      </c>
      <c r="D1054" s="24" t="str">
        <f>IFERROR(__xludf.DUMMYFUNCTION("""COMPUTED_VALUE"""),"Frozen")</f>
        <v>Frozen</v>
      </c>
      <c r="F1054" s="23">
        <f>IFERROR(__xludf.DUMMYFUNCTION("""COMPUTED_VALUE"""),44763.70595502316)</f>
        <v>44763.70596</v>
      </c>
      <c r="G1054" s="24" t="str">
        <f>IFERROR(__xludf.DUMMYFUNCTION("""COMPUTED_VALUE"""),"Jean")</f>
        <v>Jean</v>
      </c>
      <c r="H1054" s="24">
        <f>IFERROR(__xludf.DUMMYFUNCTION("""COMPUTED_VALUE"""),11.0)</f>
        <v>11</v>
      </c>
      <c r="I1054" s="24"/>
    </row>
    <row r="1055">
      <c r="A1055" s="23">
        <f>IFERROR(__xludf.DUMMYFUNCTION("""COMPUTED_VALUE"""),44735.84448449074)</f>
        <v>44735.84448</v>
      </c>
      <c r="B1055" s="24" t="str">
        <f>IFERROR(__xludf.DUMMYFUNCTION("""COMPUTED_VALUE"""),"Claire")</f>
        <v>Claire</v>
      </c>
      <c r="C1055" s="24">
        <f>IFERROR(__xludf.DUMMYFUNCTION("""COMPUTED_VALUE"""),345.0)</f>
        <v>345</v>
      </c>
      <c r="D1055" s="24" t="str">
        <f>IFERROR(__xludf.DUMMYFUNCTION("""COMPUTED_VALUE"""),"Frozen")</f>
        <v>Frozen</v>
      </c>
      <c r="F1055" s="23">
        <f>IFERROR(__xludf.DUMMYFUNCTION("""COMPUTED_VALUE"""),44763.71912951389)</f>
        <v>44763.71913</v>
      </c>
      <c r="G1055" s="24" t="str">
        <f>IFERROR(__xludf.DUMMYFUNCTION("""COMPUTED_VALUE"""),"Norma &amp; friend")</f>
        <v>Norma &amp; friend</v>
      </c>
      <c r="H1055" s="24">
        <f>IFERROR(__xludf.DUMMYFUNCTION("""COMPUTED_VALUE"""),17.0)</f>
        <v>17</v>
      </c>
      <c r="I1055" s="24"/>
    </row>
    <row r="1056">
      <c r="A1056" s="23">
        <f>IFERROR(__xludf.DUMMYFUNCTION("""COMPUTED_VALUE"""),44736.65685533564)</f>
        <v>44736.65686</v>
      </c>
      <c r="B1056" s="24" t="str">
        <f>IFERROR(__xludf.DUMMYFUNCTION("""COMPUTED_VALUE"""),"Claire")</f>
        <v>Claire</v>
      </c>
      <c r="C1056" s="24">
        <f>IFERROR(__xludf.DUMMYFUNCTION("""COMPUTED_VALUE"""),1139.0)</f>
        <v>1139</v>
      </c>
      <c r="D1056" s="24" t="str">
        <f>IFERROR(__xludf.DUMMYFUNCTION("""COMPUTED_VALUE"""),"Drinks")</f>
        <v>Drinks</v>
      </c>
      <c r="F1056" s="23">
        <f>IFERROR(__xludf.DUMMYFUNCTION("""COMPUTED_VALUE"""),44764.64893805556)</f>
        <v>44764.64894</v>
      </c>
      <c r="G1056" s="24" t="str">
        <f>IFERROR(__xludf.DUMMYFUNCTION("""COMPUTED_VALUE"""),"Spencer Ellsworth")</f>
        <v>Spencer Ellsworth</v>
      </c>
      <c r="H1056" s="24">
        <f>IFERROR(__xludf.DUMMYFUNCTION("""COMPUTED_VALUE"""),115.0)</f>
        <v>115</v>
      </c>
      <c r="I1056" s="24" t="str">
        <f>IFERROR(__xludf.DUMMYFUNCTION("""COMPUTED_VALUE"""),"Alto Dale Farm ")</f>
        <v>Alto Dale Farm </v>
      </c>
    </row>
    <row r="1057">
      <c r="A1057" s="23">
        <f>IFERROR(__xludf.DUMMYFUNCTION("""COMPUTED_VALUE"""),44736.657337743054)</f>
        <v>44736.65734</v>
      </c>
      <c r="B1057" s="24" t="str">
        <f>IFERROR(__xludf.DUMMYFUNCTION("""COMPUTED_VALUE"""),"Claire")</f>
        <v>Claire</v>
      </c>
      <c r="C1057" s="24">
        <f>IFERROR(__xludf.DUMMYFUNCTION("""COMPUTED_VALUE"""),740.0)</f>
        <v>740</v>
      </c>
      <c r="D1057" s="24" t="str">
        <f>IFERROR(__xludf.DUMMYFUNCTION("""COMPUTED_VALUE"""),"Frozen")</f>
        <v>Frozen</v>
      </c>
      <c r="F1057" s="23">
        <f>IFERROR(__xludf.DUMMYFUNCTION("""COMPUTED_VALUE"""),44764.70219747685)</f>
        <v>44764.7022</v>
      </c>
      <c r="G1057" s="24" t="str">
        <f>IFERROR(__xludf.DUMMYFUNCTION("""COMPUTED_VALUE"""),"Lynnette c")</f>
        <v>Lynnette c</v>
      </c>
      <c r="H1057" s="24">
        <f>IFERROR(__xludf.DUMMYFUNCTION("""COMPUTED_VALUE"""),19.0)</f>
        <v>19</v>
      </c>
      <c r="I1057" s="24"/>
    </row>
    <row r="1058">
      <c r="A1058" s="23">
        <f>IFERROR(__xludf.DUMMYFUNCTION("""COMPUTED_VALUE"""),44736.65769037037)</f>
        <v>44736.65769</v>
      </c>
      <c r="B1058" s="24" t="str">
        <f>IFERROR(__xludf.DUMMYFUNCTION("""COMPUTED_VALUE"""),"Claire")</f>
        <v>Claire</v>
      </c>
      <c r="C1058" s="24">
        <f>IFERROR(__xludf.DUMMYFUNCTION("""COMPUTED_VALUE"""),1305.0)</f>
        <v>1305</v>
      </c>
      <c r="D1058" s="24" t="str">
        <f>IFERROR(__xludf.DUMMYFUNCTION("""COMPUTED_VALUE"""),"Frozen")</f>
        <v>Frozen</v>
      </c>
      <c r="F1058" s="23">
        <f>IFERROR(__xludf.DUMMYFUNCTION("""COMPUTED_VALUE"""),44764.70374396991)</f>
        <v>44764.70374</v>
      </c>
      <c r="G1058" s="24" t="str">
        <f>IFERROR(__xludf.DUMMYFUNCTION("""COMPUTED_VALUE"""),"Sunita Pathik")</f>
        <v>Sunita Pathik</v>
      </c>
      <c r="H1058" s="24">
        <f>IFERROR(__xludf.DUMMYFUNCTION("""COMPUTED_VALUE"""),6.0)</f>
        <v>6</v>
      </c>
      <c r="I1058" s="24"/>
    </row>
    <row r="1059">
      <c r="A1059" s="23">
        <f>IFERROR(__xludf.DUMMYFUNCTION("""COMPUTED_VALUE"""),44736.65807942129)</f>
        <v>44736.65808</v>
      </c>
      <c r="B1059" s="24" t="str">
        <f>IFERROR(__xludf.DUMMYFUNCTION("""COMPUTED_VALUE"""),"Claire")</f>
        <v>Claire</v>
      </c>
      <c r="C1059" s="24">
        <f>IFERROR(__xludf.DUMMYFUNCTION("""COMPUTED_VALUE"""),31.0)</f>
        <v>31</v>
      </c>
      <c r="D1059" s="24" t="str">
        <f>IFERROR(__xludf.DUMMYFUNCTION("""COMPUTED_VALUE"""),"Snacks")</f>
        <v>Snacks</v>
      </c>
      <c r="F1059" s="23">
        <f>IFERROR(__xludf.DUMMYFUNCTION("""COMPUTED_VALUE"""),44764.70405829861)</f>
        <v>44764.70406</v>
      </c>
      <c r="G1059" s="24" t="str">
        <f>IFERROR(__xludf.DUMMYFUNCTION("""COMPUTED_VALUE"""),"Elliot Keeley")</f>
        <v>Elliot Keeley</v>
      </c>
      <c r="H1059" s="24">
        <f>IFERROR(__xludf.DUMMYFUNCTION("""COMPUTED_VALUE"""),20.0)</f>
        <v>20</v>
      </c>
      <c r="I1059" s="24"/>
    </row>
    <row r="1060">
      <c r="A1060" s="23">
        <f>IFERROR(__xludf.DUMMYFUNCTION("""COMPUTED_VALUE"""),44736.72199289352)</f>
        <v>44736.72199</v>
      </c>
      <c r="B1060" s="24" t="str">
        <f>IFERROR(__xludf.DUMMYFUNCTION("""COMPUTED_VALUE"""),"Sunita Pathik")</f>
        <v>Sunita Pathik</v>
      </c>
      <c r="C1060" s="24">
        <f>IFERROR(__xludf.DUMMYFUNCTION("""COMPUTED_VALUE"""),89.0)</f>
        <v>89</v>
      </c>
      <c r="D1060" s="24" t="str">
        <f>IFERROR(__xludf.DUMMYFUNCTION("""COMPUTED_VALUE"""),"Produce")</f>
        <v>Produce</v>
      </c>
      <c r="F1060" s="23">
        <f>IFERROR(__xludf.DUMMYFUNCTION("""COMPUTED_VALUE"""),44764.70418173611)</f>
        <v>44764.70418</v>
      </c>
      <c r="G1060" s="24" t="str">
        <f>IFERROR(__xludf.DUMMYFUNCTION("""COMPUTED_VALUE"""),"Elliot Keeley")</f>
        <v>Elliot Keeley</v>
      </c>
      <c r="H1060" s="24">
        <f>IFERROR(__xludf.DUMMYFUNCTION("""COMPUTED_VALUE"""),16.0)</f>
        <v>16</v>
      </c>
      <c r="I1060" s="24"/>
    </row>
    <row r="1061">
      <c r="A1061" s="23">
        <f>IFERROR(__xludf.DUMMYFUNCTION("""COMPUTED_VALUE"""),44737.5461808449)</f>
        <v>44737.54618</v>
      </c>
      <c r="B1061" s="24" t="str">
        <f>IFERROR(__xludf.DUMMYFUNCTION("""COMPUTED_VALUE"""),"Emily")</f>
        <v>Emily</v>
      </c>
      <c r="C1061" s="24">
        <f>IFERROR(__xludf.DUMMYFUNCTION("""COMPUTED_VALUE"""),199.0)</f>
        <v>199</v>
      </c>
      <c r="D1061" s="24" t="str">
        <f>IFERROR(__xludf.DUMMYFUNCTION("""COMPUTED_VALUE"""),"Toilet paper")</f>
        <v>Toilet paper</v>
      </c>
      <c r="F1061" s="23">
        <f>IFERROR(__xludf.DUMMYFUNCTION("""COMPUTED_VALUE"""),44764.70505892361)</f>
        <v>44764.70506</v>
      </c>
      <c r="G1061" s="24" t="str">
        <f>IFERROR(__xludf.DUMMYFUNCTION("""COMPUTED_VALUE"""),"Sunita Pathik")</f>
        <v>Sunita Pathik</v>
      </c>
      <c r="H1061" s="24">
        <f>IFERROR(__xludf.DUMMYFUNCTION("""COMPUTED_VALUE"""),59.0)</f>
        <v>59</v>
      </c>
      <c r="I1061" s="24" t="str">
        <f>IFERROR(__xludf.DUMMYFUNCTION("""COMPUTED_VALUE"""),"Assorted option")</f>
        <v>Assorted option</v>
      </c>
    </row>
    <row r="1062">
      <c r="A1062" s="23">
        <f>IFERROR(__xludf.DUMMYFUNCTION("""COMPUTED_VALUE"""),44737.546720729166)</f>
        <v>44737.54672</v>
      </c>
      <c r="B1062" s="24" t="str">
        <f>IFERROR(__xludf.DUMMYFUNCTION("""COMPUTED_VALUE"""),"Emily")</f>
        <v>Emily</v>
      </c>
      <c r="C1062" s="24">
        <f>IFERROR(__xludf.DUMMYFUNCTION("""COMPUTED_VALUE"""),181.0)</f>
        <v>181</v>
      </c>
      <c r="D1062" s="24" t="str">
        <f>IFERROR(__xludf.DUMMYFUNCTION("""COMPUTED_VALUE"""),"Toilet paper")</f>
        <v>Toilet paper</v>
      </c>
      <c r="F1062" s="23">
        <f>IFERROR(__xludf.DUMMYFUNCTION("""COMPUTED_VALUE"""),44764.70602780092)</f>
        <v>44764.70603</v>
      </c>
      <c r="G1062" s="24" t="str">
        <f>IFERROR(__xludf.DUMMYFUNCTION("""COMPUTED_VALUE"""),"Claire")</f>
        <v>Claire</v>
      </c>
      <c r="H1062" s="24">
        <f>IFERROR(__xludf.DUMMYFUNCTION("""COMPUTED_VALUE"""),613.0)</f>
        <v>613</v>
      </c>
      <c r="I1062" s="24" t="str">
        <f>IFERROR(__xludf.DUMMYFUNCTION("""COMPUTED_VALUE"""),"Produce/meat")</f>
        <v>Produce/meat</v>
      </c>
    </row>
    <row r="1063">
      <c r="A1063" s="23">
        <f>IFERROR(__xludf.DUMMYFUNCTION("""COMPUTED_VALUE"""),44737.54714565972)</f>
        <v>44737.54715</v>
      </c>
      <c r="B1063" s="24" t="str">
        <f>IFERROR(__xludf.DUMMYFUNCTION("""COMPUTED_VALUE"""),"Emily")</f>
        <v>Emily</v>
      </c>
      <c r="C1063" s="24">
        <f>IFERROR(__xludf.DUMMYFUNCTION("""COMPUTED_VALUE"""),372.0)</f>
        <v>372</v>
      </c>
      <c r="D1063" s="24" t="str">
        <f>IFERROR(__xludf.DUMMYFUNCTION("""COMPUTED_VALUE"""),"Dry goods")</f>
        <v>Dry goods</v>
      </c>
      <c r="F1063" s="23">
        <f>IFERROR(__xludf.DUMMYFUNCTION("""COMPUTED_VALUE"""),44764.70631488426)</f>
        <v>44764.70631</v>
      </c>
      <c r="G1063" s="24" t="str">
        <f>IFERROR(__xludf.DUMMYFUNCTION("""COMPUTED_VALUE"""),"Claire")</f>
        <v>Claire</v>
      </c>
      <c r="H1063" s="24">
        <f>IFERROR(__xludf.DUMMYFUNCTION("""COMPUTED_VALUE"""),741.0)</f>
        <v>741</v>
      </c>
      <c r="I1063" s="24" t="str">
        <f>IFERROR(__xludf.DUMMYFUNCTION("""COMPUTED_VALUE"""),"Assorted option")</f>
        <v>Assorted option</v>
      </c>
    </row>
    <row r="1064">
      <c r="A1064" s="23">
        <f>IFERROR(__xludf.DUMMYFUNCTION("""COMPUTED_VALUE"""),44737.54752760417)</f>
        <v>44737.54753</v>
      </c>
      <c r="B1064" s="24" t="str">
        <f>IFERROR(__xludf.DUMMYFUNCTION("""COMPUTED_VALUE"""),"Emily")</f>
        <v>Emily</v>
      </c>
      <c r="C1064" s="24">
        <f>IFERROR(__xludf.DUMMYFUNCTION("""COMPUTED_VALUE"""),596.0)</f>
        <v>596</v>
      </c>
      <c r="D1064" s="24" t="str">
        <f>IFERROR(__xludf.DUMMYFUNCTION("""COMPUTED_VALUE"""),"Dry goods")</f>
        <v>Dry goods</v>
      </c>
      <c r="F1064" s="23">
        <f>IFERROR(__xludf.DUMMYFUNCTION("""COMPUTED_VALUE"""),44764.70722457176)</f>
        <v>44764.70722</v>
      </c>
      <c r="G1064" s="24" t="str">
        <f>IFERROR(__xludf.DUMMYFUNCTION("""COMPUTED_VALUE"""),"Juanita Chandler ")</f>
        <v>Juanita Chandler </v>
      </c>
      <c r="H1064" s="24">
        <f>IFERROR(__xludf.DUMMYFUNCTION("""COMPUTED_VALUE"""),10.0)</f>
        <v>10</v>
      </c>
      <c r="I1064" s="24"/>
    </row>
    <row r="1065">
      <c r="A1065" s="23">
        <f>IFERROR(__xludf.DUMMYFUNCTION("""COMPUTED_VALUE"""),44737.54813292824)</f>
        <v>44737.54813</v>
      </c>
      <c r="B1065" s="24" t="str">
        <f>IFERROR(__xludf.DUMMYFUNCTION("""COMPUTED_VALUE"""),"Emily")</f>
        <v>Emily</v>
      </c>
      <c r="C1065" s="24">
        <f>IFERROR(__xludf.DUMMYFUNCTION("""COMPUTED_VALUE"""),1305.0)</f>
        <v>1305</v>
      </c>
      <c r="D1065" s="24" t="str">
        <f>IFERROR(__xludf.DUMMYFUNCTION("""COMPUTED_VALUE"""),"Pet supply ")</f>
        <v>Pet supply </v>
      </c>
      <c r="F1065" s="23">
        <f>IFERROR(__xludf.DUMMYFUNCTION("""COMPUTED_VALUE"""),44764.71822608796)</f>
        <v>44764.71823</v>
      </c>
      <c r="G1065" s="24" t="str">
        <f>IFERROR(__xludf.DUMMYFUNCTION("""COMPUTED_VALUE"""),"Dorja ")</f>
        <v>Dorja </v>
      </c>
      <c r="H1065" s="24">
        <f>IFERROR(__xludf.DUMMYFUNCTION("""COMPUTED_VALUE"""),26.0)</f>
        <v>26</v>
      </c>
      <c r="I1065" s="24"/>
    </row>
    <row r="1066">
      <c r="A1066" s="23">
        <f>IFERROR(__xludf.DUMMYFUNCTION("""COMPUTED_VALUE"""),44737.54837835648)</f>
        <v>44737.54838</v>
      </c>
      <c r="B1066" s="24" t="str">
        <f>IFERROR(__xludf.DUMMYFUNCTION("""COMPUTED_VALUE"""),"Emily")</f>
        <v>Emily</v>
      </c>
      <c r="C1066" s="24">
        <f>IFERROR(__xludf.DUMMYFUNCTION("""COMPUTED_VALUE"""),580.0)</f>
        <v>580</v>
      </c>
      <c r="D1066" s="24" t="str">
        <f>IFERROR(__xludf.DUMMYFUNCTION("""COMPUTED_VALUE"""),"Snacks")</f>
        <v>Snacks</v>
      </c>
      <c r="F1066" s="23">
        <f>IFERROR(__xludf.DUMMYFUNCTION("""COMPUTED_VALUE"""),44764.72021450231)</f>
        <v>44764.72021</v>
      </c>
      <c r="G1066" s="24" t="str">
        <f>IFERROR(__xludf.DUMMYFUNCTION("""COMPUTED_VALUE"""),"Dorja ")</f>
        <v>Dorja </v>
      </c>
      <c r="H1066" s="24">
        <f>IFERROR(__xludf.DUMMYFUNCTION("""COMPUTED_VALUE"""),24.0)</f>
        <v>24</v>
      </c>
      <c r="I1066" s="24"/>
    </row>
    <row r="1067">
      <c r="A1067" s="23">
        <f>IFERROR(__xludf.DUMMYFUNCTION("""COMPUTED_VALUE"""),44737.54860011574)</f>
        <v>44737.5486</v>
      </c>
      <c r="B1067" s="24" t="str">
        <f>IFERROR(__xludf.DUMMYFUNCTION("""COMPUTED_VALUE"""),"Emily")</f>
        <v>Emily</v>
      </c>
      <c r="C1067" s="24">
        <f>IFERROR(__xludf.DUMMYFUNCTION("""COMPUTED_VALUE"""),296.0)</f>
        <v>296</v>
      </c>
      <c r="D1067" s="24" t="str">
        <f>IFERROR(__xludf.DUMMYFUNCTION("""COMPUTED_VALUE"""),"Snacks")</f>
        <v>Snacks</v>
      </c>
      <c r="F1067" s="23">
        <f>IFERROR(__xludf.DUMMYFUNCTION("""COMPUTED_VALUE"""),44765.0)</f>
        <v>44765</v>
      </c>
      <c r="G1067" s="24" t="str">
        <f>IFERROR(__xludf.DUMMYFUNCTION("""COMPUTED_VALUE"""),"Janet Lomax")</f>
        <v>Janet Lomax</v>
      </c>
      <c r="H1067" s="24">
        <f>IFERROR(__xludf.DUMMYFUNCTION("""COMPUTED_VALUE"""),20.0)</f>
        <v>20</v>
      </c>
      <c r="I1067" s="24"/>
    </row>
    <row r="1068">
      <c r="A1068" s="23">
        <f>IFERROR(__xludf.DUMMYFUNCTION("""COMPUTED_VALUE"""),44737.549061122685)</f>
        <v>44737.54906</v>
      </c>
      <c r="B1068" s="24" t="str">
        <f>IFERROR(__xludf.DUMMYFUNCTION("""COMPUTED_VALUE"""),"Emily")</f>
        <v>Emily</v>
      </c>
      <c r="C1068" s="24">
        <f>IFERROR(__xludf.DUMMYFUNCTION("""COMPUTED_VALUE"""),1485.0)</f>
        <v>1485</v>
      </c>
      <c r="D1068" s="24" t="str">
        <f>IFERROR(__xludf.DUMMYFUNCTION("""COMPUTED_VALUE"""),"Drinks")</f>
        <v>Drinks</v>
      </c>
      <c r="F1068" s="23">
        <f>IFERROR(__xludf.DUMMYFUNCTION("""COMPUTED_VALUE"""),44765.0)</f>
        <v>44765</v>
      </c>
      <c r="G1068" s="24" t="str">
        <f>IFERROR(__xludf.DUMMYFUNCTION("""COMPUTED_VALUE"""),"Angeles")</f>
        <v>Angeles</v>
      </c>
      <c r="H1068" s="24">
        <f>IFERROR(__xludf.DUMMYFUNCTION("""COMPUTED_VALUE"""),21.0)</f>
        <v>21</v>
      </c>
      <c r="I1068" s="24"/>
    </row>
    <row r="1069">
      <c r="A1069" s="23">
        <f>IFERROR(__xludf.DUMMYFUNCTION("""COMPUTED_VALUE"""),44737.549908379624)</f>
        <v>44737.54991</v>
      </c>
      <c r="B1069" s="24" t="str">
        <f>IFERROR(__xludf.DUMMYFUNCTION("""COMPUTED_VALUE"""),"Emily")</f>
        <v>Emily</v>
      </c>
      <c r="C1069" s="24">
        <f>IFERROR(__xludf.DUMMYFUNCTION("""COMPUTED_VALUE"""),1728.0)</f>
        <v>1728</v>
      </c>
      <c r="D1069" s="24" t="str">
        <f>IFERROR(__xludf.DUMMYFUNCTION("""COMPUTED_VALUE"""),"Drinks")</f>
        <v>Drinks</v>
      </c>
      <c r="F1069" s="23">
        <f>IFERROR(__xludf.DUMMYFUNCTION("""COMPUTED_VALUE"""),44765.0)</f>
        <v>44765</v>
      </c>
      <c r="G1069" s="24" t="str">
        <f>IFERROR(__xludf.DUMMYFUNCTION("""COMPUTED_VALUE"""),"Gabriela  cortes ")</f>
        <v>Gabriela  cortes </v>
      </c>
      <c r="H1069" s="24">
        <f>IFERROR(__xludf.DUMMYFUNCTION("""COMPUTED_VALUE"""),17.0)</f>
        <v>17</v>
      </c>
      <c r="I1069" s="24"/>
    </row>
    <row r="1070">
      <c r="A1070" s="23">
        <f>IFERROR(__xludf.DUMMYFUNCTION("""COMPUTED_VALUE"""),44737.55023880787)</f>
        <v>44737.55024</v>
      </c>
      <c r="B1070" s="24" t="str">
        <f>IFERROR(__xludf.DUMMYFUNCTION("""COMPUTED_VALUE"""),"Emily")</f>
        <v>Emily</v>
      </c>
      <c r="C1070" s="24">
        <f>IFERROR(__xludf.DUMMYFUNCTION("""COMPUTED_VALUE"""),1224.0)</f>
        <v>1224</v>
      </c>
      <c r="D1070" s="24" t="str">
        <f>IFERROR(__xludf.DUMMYFUNCTION("""COMPUTED_VALUE"""),"Cleaning")</f>
        <v>Cleaning</v>
      </c>
      <c r="F1070" s="23">
        <f>IFERROR(__xludf.DUMMYFUNCTION("""COMPUTED_VALUE"""),44765.0)</f>
        <v>44765</v>
      </c>
      <c r="G1070" s="24" t="str">
        <f>IFERROR(__xludf.DUMMYFUNCTION("""COMPUTED_VALUE"""),"Lee Little")</f>
        <v>Lee Little</v>
      </c>
      <c r="H1070" s="24">
        <f>IFERROR(__xludf.DUMMYFUNCTION("""COMPUTED_VALUE"""),18.0)</f>
        <v>18</v>
      </c>
      <c r="I1070" s="24"/>
    </row>
    <row r="1071">
      <c r="A1071" s="23">
        <f>IFERROR(__xludf.DUMMYFUNCTION("""COMPUTED_VALUE"""),44737.55061708333)</f>
        <v>44737.55062</v>
      </c>
      <c r="B1071" s="24" t="str">
        <f>IFERROR(__xludf.DUMMYFUNCTION("""COMPUTED_VALUE"""),"Emily")</f>
        <v>Emily</v>
      </c>
      <c r="C1071" s="24">
        <f>IFERROR(__xludf.DUMMYFUNCTION("""COMPUTED_VALUE"""),244.0)</f>
        <v>244</v>
      </c>
      <c r="D1071" s="24" t="str">
        <f>IFERROR(__xludf.DUMMYFUNCTION("""COMPUTED_VALUE"""),"Toilet paper")</f>
        <v>Toilet paper</v>
      </c>
      <c r="F1071" s="23">
        <f>IFERROR(__xludf.DUMMYFUNCTION("""COMPUTED_VALUE"""),44765.0)</f>
        <v>44765</v>
      </c>
      <c r="G1071" s="24" t="str">
        <f>IFERROR(__xludf.DUMMYFUNCTION("""COMPUTED_VALUE"""),"Cybil Bailey")</f>
        <v>Cybil Bailey</v>
      </c>
      <c r="H1071" s="24">
        <f>IFERROR(__xludf.DUMMYFUNCTION("""COMPUTED_VALUE"""),2.0)</f>
        <v>2</v>
      </c>
      <c r="I1071" s="24"/>
    </row>
    <row r="1072">
      <c r="A1072" s="23">
        <f>IFERROR(__xludf.DUMMYFUNCTION("""COMPUTED_VALUE"""),44737.550869942126)</f>
        <v>44737.55087</v>
      </c>
      <c r="B1072" s="24" t="str">
        <f>IFERROR(__xludf.DUMMYFUNCTION("""COMPUTED_VALUE"""),"Emily")</f>
        <v>Emily</v>
      </c>
      <c r="C1072" s="24">
        <f>IFERROR(__xludf.DUMMYFUNCTION("""COMPUTED_VALUE"""),900.0)</f>
        <v>900</v>
      </c>
      <c r="D1072" s="24" t="str">
        <f>IFERROR(__xludf.DUMMYFUNCTION("""COMPUTED_VALUE"""),"Dry goods")</f>
        <v>Dry goods</v>
      </c>
      <c r="F1072" s="23">
        <f>IFERROR(__xludf.DUMMYFUNCTION("""COMPUTED_VALUE"""),44765.49662046296)</f>
        <v>44765.49662</v>
      </c>
      <c r="G1072" s="24" t="str">
        <f>IFERROR(__xludf.DUMMYFUNCTION("""COMPUTED_VALUE"""),"Ausar ")</f>
        <v>Ausar </v>
      </c>
      <c r="H1072" s="24">
        <f>IFERROR(__xludf.DUMMYFUNCTION("""COMPUTED_VALUE"""),271.0)</f>
        <v>271</v>
      </c>
      <c r="I1072" s="24" t="str">
        <f>IFERROR(__xludf.DUMMYFUNCTION("""COMPUTED_VALUE"""),"Assorted option")</f>
        <v>Assorted option</v>
      </c>
    </row>
    <row r="1073">
      <c r="A1073" s="23">
        <f>IFERROR(__xludf.DUMMYFUNCTION("""COMPUTED_VALUE"""),44737.55718783565)</f>
        <v>44737.55719</v>
      </c>
      <c r="B1073" s="24" t="str">
        <f>IFERROR(__xludf.DUMMYFUNCTION("""COMPUTED_VALUE"""),"Emily Stucke")</f>
        <v>Emily Stucke</v>
      </c>
      <c r="C1073" s="24">
        <f>IFERROR(__xludf.DUMMYFUNCTION("""COMPUTED_VALUE"""),788.0)</f>
        <v>788</v>
      </c>
      <c r="D1073" s="24" t="str">
        <f>IFERROR(__xludf.DUMMYFUNCTION("""COMPUTED_VALUE"""),"Frozen")</f>
        <v>Frozen</v>
      </c>
      <c r="F1073" s="23">
        <f>IFERROR(__xludf.DUMMYFUNCTION("""COMPUTED_VALUE"""),44765.49882045139)</f>
        <v>44765.49882</v>
      </c>
      <c r="G1073" s="24" t="str">
        <f>IFERROR(__xludf.DUMMYFUNCTION("""COMPUTED_VALUE"""),"Ausar ")</f>
        <v>Ausar </v>
      </c>
      <c r="H1073" s="24">
        <f>IFERROR(__xludf.DUMMYFUNCTION("""COMPUTED_VALUE"""),87.0)</f>
        <v>87</v>
      </c>
      <c r="I1073" s="24" t="str">
        <f>IFERROR(__xludf.DUMMYFUNCTION("""COMPUTED_VALUE"""),"Oxo")</f>
        <v>Oxo</v>
      </c>
    </row>
    <row r="1074">
      <c r="A1074" s="23">
        <f>IFERROR(__xludf.DUMMYFUNCTION("""COMPUTED_VALUE"""),44737.55743832176)</f>
        <v>44737.55744</v>
      </c>
      <c r="B1074" s="24" t="str">
        <f>IFERROR(__xludf.DUMMYFUNCTION("""COMPUTED_VALUE"""),"Emily Stucke")</f>
        <v>Emily Stucke</v>
      </c>
      <c r="C1074" s="24">
        <f>IFERROR(__xludf.DUMMYFUNCTION("""COMPUTED_VALUE"""),832.0)</f>
        <v>832</v>
      </c>
      <c r="D1074" s="24" t="str">
        <f>IFERROR(__xludf.DUMMYFUNCTION("""COMPUTED_VALUE"""),"Frozen")</f>
        <v>Frozen</v>
      </c>
      <c r="F1074" s="23">
        <f>IFERROR(__xludf.DUMMYFUNCTION("""COMPUTED_VALUE"""),44765.49928373843)</f>
        <v>44765.49928</v>
      </c>
      <c r="G1074" s="24" t="str">
        <f>IFERROR(__xludf.DUMMYFUNCTION("""COMPUTED_VALUE"""),"Ausar ")</f>
        <v>Ausar </v>
      </c>
      <c r="H1074" s="24">
        <f>IFERROR(__xludf.DUMMYFUNCTION("""COMPUTED_VALUE"""),260.0)</f>
        <v>260</v>
      </c>
      <c r="I1074" s="24" t="str">
        <f>IFERROR(__xludf.DUMMYFUNCTION("""COMPUTED_VALUE"""),"Pet ")</f>
        <v>Pet </v>
      </c>
    </row>
    <row r="1075">
      <c r="A1075" s="23">
        <f>IFERROR(__xludf.DUMMYFUNCTION("""COMPUTED_VALUE"""),44737.558014282404)</f>
        <v>44737.55801</v>
      </c>
      <c r="B1075" s="24" t="str">
        <f>IFERROR(__xludf.DUMMYFUNCTION("""COMPUTED_VALUE"""),"Emily Stucke")</f>
        <v>Emily Stucke</v>
      </c>
      <c r="C1075" s="24">
        <f>IFERROR(__xludf.DUMMYFUNCTION("""COMPUTED_VALUE"""),470.0)</f>
        <v>470</v>
      </c>
      <c r="D1075" s="24" t="str">
        <f>IFERROR(__xludf.DUMMYFUNCTION("""COMPUTED_VALUE"""),"Frozen")</f>
        <v>Frozen</v>
      </c>
      <c r="F1075" s="23">
        <f>IFERROR(__xludf.DUMMYFUNCTION("""COMPUTED_VALUE"""),44765.50634810185)</f>
        <v>44765.50635</v>
      </c>
      <c r="G1075" s="24" t="str">
        <f>IFERROR(__xludf.DUMMYFUNCTION("""COMPUTED_VALUE"""),"Claire")</f>
        <v>Claire</v>
      </c>
      <c r="H1075" s="24">
        <f>IFERROR(__xludf.DUMMYFUNCTION("""COMPUTED_VALUE"""),1094.0)</f>
        <v>1094</v>
      </c>
      <c r="I1075" s="24" t="str">
        <f>IFERROR(__xludf.DUMMYFUNCTION("""COMPUTED_VALUE"""),"Pet supplies")</f>
        <v>Pet supplies</v>
      </c>
    </row>
    <row r="1076">
      <c r="A1076" s="23">
        <f>IFERROR(__xludf.DUMMYFUNCTION("""COMPUTED_VALUE"""),44737.55876443287)</f>
        <v>44737.55876</v>
      </c>
      <c r="B1076" s="24" t="str">
        <f>IFERROR(__xludf.DUMMYFUNCTION("""COMPUTED_VALUE"""),"Emily Stucke")</f>
        <v>Emily Stucke</v>
      </c>
      <c r="C1076" s="24">
        <f>IFERROR(__xludf.DUMMYFUNCTION("""COMPUTED_VALUE"""),389.0)</f>
        <v>389</v>
      </c>
      <c r="D1076" s="24" t="str">
        <f>IFERROR(__xludf.DUMMYFUNCTION("""COMPUTED_VALUE"""),"Produce")</f>
        <v>Produce</v>
      </c>
      <c r="F1076" s="23">
        <f>IFERROR(__xludf.DUMMYFUNCTION("""COMPUTED_VALUE"""),44765.50670564815)</f>
        <v>44765.50671</v>
      </c>
      <c r="G1076" s="24" t="str">
        <f>IFERROR(__xludf.DUMMYFUNCTION("""COMPUTED_VALUE"""),"Claire")</f>
        <v>Claire</v>
      </c>
      <c r="H1076" s="24">
        <f>IFERROR(__xludf.DUMMYFUNCTION("""COMPUTED_VALUE"""),390.0)</f>
        <v>390</v>
      </c>
      <c r="I1076" s="24" t="str">
        <f>IFERROR(__xludf.DUMMYFUNCTION("""COMPUTED_VALUE"""),"Baby supplies")</f>
        <v>Baby supplies</v>
      </c>
    </row>
    <row r="1077">
      <c r="A1077" s="23">
        <f>IFERROR(__xludf.DUMMYFUNCTION("""COMPUTED_VALUE"""),44737.559926828704)</f>
        <v>44737.55993</v>
      </c>
      <c r="B1077" s="24" t="str">
        <f>IFERROR(__xludf.DUMMYFUNCTION("""COMPUTED_VALUE"""),"Emily Stucke")</f>
        <v>Emily Stucke</v>
      </c>
      <c r="C1077" s="24">
        <f>IFERROR(__xludf.DUMMYFUNCTION("""COMPUTED_VALUE"""),398.0)</f>
        <v>398</v>
      </c>
      <c r="D1077" s="24" t="str">
        <f>IFERROR(__xludf.DUMMYFUNCTION("""COMPUTED_VALUE"""),"Produce")</f>
        <v>Produce</v>
      </c>
      <c r="F1077" s="23">
        <f>IFERROR(__xludf.DUMMYFUNCTION("""COMPUTED_VALUE"""),44765.50703981482)</f>
        <v>44765.50704</v>
      </c>
      <c r="G1077" s="24" t="str">
        <f>IFERROR(__xludf.DUMMYFUNCTION("""COMPUTED_VALUE"""),"Claire")</f>
        <v>Claire</v>
      </c>
      <c r="H1077" s="24">
        <f>IFERROR(__xludf.DUMMYFUNCTION("""COMPUTED_VALUE"""),1030.0)</f>
        <v>1030</v>
      </c>
      <c r="I1077" s="24" t="str">
        <f>IFERROR(__xludf.DUMMYFUNCTION("""COMPUTED_VALUE"""),"Drinks")</f>
        <v>Drinks</v>
      </c>
    </row>
    <row r="1078">
      <c r="A1078" s="23">
        <f>IFERROR(__xludf.DUMMYFUNCTION("""COMPUTED_VALUE"""),44737.69432971064)</f>
        <v>44737.69433</v>
      </c>
      <c r="B1078" s="24" t="str">
        <f>IFERROR(__xludf.DUMMYFUNCTION("""COMPUTED_VALUE"""),"Claire")</f>
        <v>Claire</v>
      </c>
      <c r="C1078" s="24">
        <f>IFERROR(__xludf.DUMMYFUNCTION("""COMPUTED_VALUE"""),48.0)</f>
        <v>48</v>
      </c>
      <c r="D1078" s="24" t="str">
        <f>IFERROR(__xludf.DUMMYFUNCTION("""COMPUTED_VALUE"""),"Meat")</f>
        <v>Meat</v>
      </c>
      <c r="F1078" s="23">
        <f>IFERROR(__xludf.DUMMYFUNCTION("""COMPUTED_VALUE"""),44765.50730289352)</f>
        <v>44765.5073</v>
      </c>
      <c r="G1078" s="24" t="str">
        <f>IFERROR(__xludf.DUMMYFUNCTION("""COMPUTED_VALUE"""),"Claire")</f>
        <v>Claire</v>
      </c>
      <c r="H1078" s="24">
        <f>IFERROR(__xludf.DUMMYFUNCTION("""COMPUTED_VALUE"""),1614.0)</f>
        <v>1614</v>
      </c>
      <c r="I1078" s="24" t="str">
        <f>IFERROR(__xludf.DUMMYFUNCTION("""COMPUTED_VALUE"""),"Drinks")</f>
        <v>Drinks</v>
      </c>
    </row>
    <row r="1079">
      <c r="A1079" s="23">
        <f>IFERROR(__xludf.DUMMYFUNCTION("""COMPUTED_VALUE"""),44737.69459554398)</f>
        <v>44737.6946</v>
      </c>
      <c r="B1079" s="24" t="str">
        <f>IFERROR(__xludf.DUMMYFUNCTION("""COMPUTED_VALUE"""),"Claire")</f>
        <v>Claire</v>
      </c>
      <c r="C1079" s="24">
        <f>IFERROR(__xludf.DUMMYFUNCTION("""COMPUTED_VALUE"""),-323.0)</f>
        <v>-323</v>
      </c>
      <c r="D1079" s="24" t="str">
        <f>IFERROR(__xludf.DUMMYFUNCTION("""COMPUTED_VALUE"""),"Frozen")</f>
        <v>Frozen</v>
      </c>
      <c r="F1079" s="23">
        <f>IFERROR(__xludf.DUMMYFUNCTION("""COMPUTED_VALUE"""),44765.5076027662)</f>
        <v>44765.5076</v>
      </c>
      <c r="G1079" s="24" t="str">
        <f>IFERROR(__xludf.DUMMYFUNCTION("""COMPUTED_VALUE"""),"Claire")</f>
        <v>Claire</v>
      </c>
      <c r="H1079" s="24">
        <f>IFERROR(__xludf.DUMMYFUNCTION("""COMPUTED_VALUE"""),280.0)</f>
        <v>280</v>
      </c>
      <c r="I1079" s="24" t="str">
        <f>IFERROR(__xludf.DUMMYFUNCTION("""COMPUTED_VALUE"""),"Paper goods")</f>
        <v>Paper goods</v>
      </c>
    </row>
    <row r="1080">
      <c r="A1080" s="23">
        <f>IFERROR(__xludf.DUMMYFUNCTION("""COMPUTED_VALUE"""),44737.694915775464)</f>
        <v>44737.69492</v>
      </c>
      <c r="B1080" s="24" t="str">
        <f>IFERROR(__xludf.DUMMYFUNCTION("""COMPUTED_VALUE"""),"Claire")</f>
        <v>Claire</v>
      </c>
      <c r="C1080" s="24">
        <f>IFERROR(__xludf.DUMMYFUNCTION("""COMPUTED_VALUE"""),254.0)</f>
        <v>254</v>
      </c>
      <c r="D1080" s="24" t="str">
        <f>IFERROR(__xludf.DUMMYFUNCTION("""COMPUTED_VALUE"""),"Meat")</f>
        <v>Meat</v>
      </c>
      <c r="F1080" s="23">
        <f>IFERROR(__xludf.DUMMYFUNCTION("""COMPUTED_VALUE"""),44765.50786552083)</f>
        <v>44765.50787</v>
      </c>
      <c r="G1080" s="24" t="str">
        <f>IFERROR(__xludf.DUMMYFUNCTION("""COMPUTED_VALUE"""),"Claire")</f>
        <v>Claire</v>
      </c>
      <c r="H1080" s="24">
        <f>IFERROR(__xludf.DUMMYFUNCTION("""COMPUTED_VALUE"""),146.0)</f>
        <v>146</v>
      </c>
      <c r="I1080" s="24" t="str">
        <f>IFERROR(__xludf.DUMMYFUNCTION("""COMPUTED_VALUE"""),"Paper goods")</f>
        <v>Paper goods</v>
      </c>
    </row>
    <row r="1081">
      <c r="A1081" s="23">
        <f>IFERROR(__xludf.DUMMYFUNCTION("""COMPUTED_VALUE"""),44737.0)</f>
        <v>44737</v>
      </c>
      <c r="B1081" s="24" t="str">
        <f>IFERROR(__xludf.DUMMYFUNCTION("""COMPUTED_VALUE"""),"Claire")</f>
        <v>Claire</v>
      </c>
      <c r="C1081" s="24">
        <f>IFERROR(__xludf.DUMMYFUNCTION("""COMPUTED_VALUE"""),-227.0)</f>
        <v>-227</v>
      </c>
      <c r="D1081" s="24" t="str">
        <f>IFERROR(__xludf.DUMMYFUNCTION("""COMPUTED_VALUE"""),"Snacks")</f>
        <v>Snacks</v>
      </c>
      <c r="F1081" s="23">
        <f>IFERROR(__xludf.DUMMYFUNCTION("""COMPUTED_VALUE"""),44765.573939606475)</f>
        <v>44765.57394</v>
      </c>
      <c r="G1081" s="24" t="str">
        <f>IFERROR(__xludf.DUMMYFUNCTION("""COMPUTED_VALUE"""),"Emily Stucke")</f>
        <v>Emily Stucke</v>
      </c>
      <c r="H1081" s="24">
        <f>IFERROR(__xludf.DUMMYFUNCTION("""COMPUTED_VALUE"""),306.0)</f>
        <v>306</v>
      </c>
      <c r="I1081" s="24" t="str">
        <f>IFERROR(__xludf.DUMMYFUNCTION("""COMPUTED_VALUE"""),"Dry goods")</f>
        <v>Dry goods</v>
      </c>
    </row>
    <row r="1082">
      <c r="A1082" s="23">
        <f>IFERROR(__xludf.DUMMYFUNCTION("""COMPUTED_VALUE"""),44737.0)</f>
        <v>44737</v>
      </c>
      <c r="B1082" s="24" t="str">
        <f>IFERROR(__xludf.DUMMYFUNCTION("""COMPUTED_VALUE"""),"Claire")</f>
        <v>Claire</v>
      </c>
      <c r="C1082" s="24">
        <f>IFERROR(__xludf.DUMMYFUNCTION("""COMPUTED_VALUE"""),-262.0)</f>
        <v>-262</v>
      </c>
      <c r="D1082" s="24" t="str">
        <f>IFERROR(__xludf.DUMMYFUNCTION("""COMPUTED_VALUE"""),"Snacks")</f>
        <v>Snacks</v>
      </c>
      <c r="F1082" s="23">
        <f>IFERROR(__xludf.DUMMYFUNCTION("""COMPUTED_VALUE"""),44765.574347303234)</f>
        <v>44765.57435</v>
      </c>
      <c r="G1082" s="24" t="str">
        <f>IFERROR(__xludf.DUMMYFUNCTION("""COMPUTED_VALUE"""),"Emily ")</f>
        <v>Emily </v>
      </c>
      <c r="H1082" s="24">
        <f>IFERROR(__xludf.DUMMYFUNCTION("""COMPUTED_VALUE"""),666.0)</f>
        <v>666</v>
      </c>
      <c r="I1082" s="24" t="str">
        <f>IFERROR(__xludf.DUMMYFUNCTION("""COMPUTED_VALUE"""),"Cleaning")</f>
        <v>Cleaning</v>
      </c>
    </row>
    <row r="1083">
      <c r="A1083" s="23">
        <f>IFERROR(__xludf.DUMMYFUNCTION("""COMPUTED_VALUE"""),44737.0)</f>
        <v>44737</v>
      </c>
      <c r="B1083" s="24" t="str">
        <f>IFERROR(__xludf.DUMMYFUNCTION("""COMPUTED_VALUE"""),"Claire")</f>
        <v>Claire</v>
      </c>
      <c r="C1083" s="24">
        <f>IFERROR(__xludf.DUMMYFUNCTION("""COMPUTED_VALUE"""),-446.0)</f>
        <v>-446</v>
      </c>
      <c r="D1083" s="24" t="str">
        <f>IFERROR(__xludf.DUMMYFUNCTION("""COMPUTED_VALUE"""),"Cleaning")</f>
        <v>Cleaning</v>
      </c>
      <c r="F1083" s="23">
        <f>IFERROR(__xludf.DUMMYFUNCTION("""COMPUTED_VALUE"""),44765.574641597224)</f>
        <v>44765.57464</v>
      </c>
      <c r="G1083" s="24" t="str">
        <f>IFERROR(__xludf.DUMMYFUNCTION("""COMPUTED_VALUE"""),"Emily")</f>
        <v>Emily</v>
      </c>
      <c r="H1083" s="24">
        <f>IFERROR(__xludf.DUMMYFUNCTION("""COMPUTED_VALUE"""),578.0)</f>
        <v>578</v>
      </c>
      <c r="I1083" s="24" t="str">
        <f>IFERROR(__xludf.DUMMYFUNCTION("""COMPUTED_VALUE"""),"Cleaning")</f>
        <v>Cleaning</v>
      </c>
    </row>
    <row r="1084">
      <c r="A1084" s="23">
        <f>IFERROR(__xludf.DUMMYFUNCTION("""COMPUTED_VALUE"""),44737.0)</f>
        <v>44737</v>
      </c>
      <c r="B1084" s="24" t="str">
        <f>IFERROR(__xludf.DUMMYFUNCTION("""COMPUTED_VALUE"""),"Claire")</f>
        <v>Claire</v>
      </c>
      <c r="C1084" s="24">
        <f>IFERROR(__xludf.DUMMYFUNCTION("""COMPUTED_VALUE"""),-1278.0)</f>
        <v>-1278</v>
      </c>
      <c r="D1084" s="24" t="str">
        <f>IFERROR(__xludf.DUMMYFUNCTION("""COMPUTED_VALUE"""),"Drinks")</f>
        <v>Drinks</v>
      </c>
      <c r="F1084" s="23">
        <f>IFERROR(__xludf.DUMMYFUNCTION("""COMPUTED_VALUE"""),44765.57498204861)</f>
        <v>44765.57498</v>
      </c>
      <c r="G1084" s="24" t="str">
        <f>IFERROR(__xludf.DUMMYFUNCTION("""COMPUTED_VALUE"""),"Emily")</f>
        <v>Emily</v>
      </c>
      <c r="H1084" s="24">
        <f>IFERROR(__xludf.DUMMYFUNCTION("""COMPUTED_VALUE"""),578.0)</f>
        <v>578</v>
      </c>
      <c r="I1084" s="24" t="str">
        <f>IFERROR(__xludf.DUMMYFUNCTION("""COMPUTED_VALUE"""),"Produce")</f>
        <v>Produce</v>
      </c>
    </row>
    <row r="1085">
      <c r="A1085" s="23">
        <f>IFERROR(__xludf.DUMMYFUNCTION("""COMPUTED_VALUE"""),44737.0)</f>
        <v>44737</v>
      </c>
      <c r="B1085" s="24" t="str">
        <f>IFERROR(__xludf.DUMMYFUNCTION("""COMPUTED_VALUE"""),"Claire")</f>
        <v>Claire</v>
      </c>
      <c r="C1085" s="24">
        <f>IFERROR(__xludf.DUMMYFUNCTION("""COMPUTED_VALUE"""),-428.0)</f>
        <v>-428</v>
      </c>
      <c r="D1085" s="24" t="str">
        <f>IFERROR(__xludf.DUMMYFUNCTION("""COMPUTED_VALUE"""),"Assorted/Unsorted")</f>
        <v>Assorted/Unsorted</v>
      </c>
      <c r="F1085" s="23">
        <f>IFERROR(__xludf.DUMMYFUNCTION("""COMPUTED_VALUE"""),44765.575207546295)</f>
        <v>44765.57521</v>
      </c>
      <c r="G1085" s="24" t="str">
        <f>IFERROR(__xludf.DUMMYFUNCTION("""COMPUTED_VALUE"""),"Emily")</f>
        <v>Emily</v>
      </c>
      <c r="H1085" s="24">
        <f>IFERROR(__xludf.DUMMYFUNCTION("""COMPUTED_VALUE"""),424.0)</f>
        <v>424</v>
      </c>
      <c r="I1085" s="24" t="str">
        <f>IFERROR(__xludf.DUMMYFUNCTION("""COMPUTED_VALUE"""),"Produce")</f>
        <v>Produce</v>
      </c>
    </row>
    <row r="1086">
      <c r="A1086" s="23">
        <f>IFERROR(__xludf.DUMMYFUNCTION("""COMPUTED_VALUE"""),44737.0)</f>
        <v>44737</v>
      </c>
      <c r="B1086" s="24" t="str">
        <f>IFERROR(__xludf.DUMMYFUNCTION("""COMPUTED_VALUE"""),"Claire")</f>
        <v>Claire</v>
      </c>
      <c r="C1086" s="24">
        <f>IFERROR(__xludf.DUMMYFUNCTION("""COMPUTED_VALUE"""),-251.0)</f>
        <v>-251</v>
      </c>
      <c r="D1086" s="24" t="str">
        <f>IFERROR(__xludf.DUMMYFUNCTION("""COMPUTED_VALUE"""),"Pet Supplies")</f>
        <v>Pet Supplies</v>
      </c>
      <c r="F1086" s="23">
        <f>IFERROR(__xludf.DUMMYFUNCTION("""COMPUTED_VALUE"""),44765.57543615741)</f>
        <v>44765.57544</v>
      </c>
      <c r="G1086" s="24" t="str">
        <f>IFERROR(__xludf.DUMMYFUNCTION("""COMPUTED_VALUE"""),"Emily")</f>
        <v>Emily</v>
      </c>
      <c r="H1086" s="24">
        <f>IFERROR(__xludf.DUMMYFUNCTION("""COMPUTED_VALUE"""),707.0)</f>
        <v>707</v>
      </c>
      <c r="I1086" s="24" t="str">
        <f>IFERROR(__xludf.DUMMYFUNCTION("""COMPUTED_VALUE"""),"Frozen")</f>
        <v>Frozen</v>
      </c>
    </row>
    <row r="1087">
      <c r="A1087" s="23">
        <f>IFERROR(__xludf.DUMMYFUNCTION("""COMPUTED_VALUE"""),44738.63691555555)</f>
        <v>44738.63692</v>
      </c>
      <c r="B1087" s="24" t="str">
        <f>IFERROR(__xludf.DUMMYFUNCTION("""COMPUTED_VALUE"""),"Dorja ")</f>
        <v>Dorja </v>
      </c>
      <c r="C1087" s="24">
        <f>IFERROR(__xludf.DUMMYFUNCTION("""COMPUTED_VALUE"""),42.0)</f>
        <v>42</v>
      </c>
      <c r="D1087" s="24" t="str">
        <f>IFERROR(__xludf.DUMMYFUNCTION("""COMPUTED_VALUE"""),"Produce")</f>
        <v>Produce</v>
      </c>
      <c r="F1087" s="23">
        <f>IFERROR(__xludf.DUMMYFUNCTION("""COMPUTED_VALUE"""),44765.575636064816)</f>
        <v>44765.57564</v>
      </c>
      <c r="G1087" s="24" t="str">
        <f>IFERROR(__xludf.DUMMYFUNCTION("""COMPUTED_VALUE"""),"Emily")</f>
        <v>Emily</v>
      </c>
      <c r="H1087" s="24">
        <f>IFERROR(__xludf.DUMMYFUNCTION("""COMPUTED_VALUE"""),552.0)</f>
        <v>552</v>
      </c>
      <c r="I1087" s="24" t="str">
        <f>IFERROR(__xludf.DUMMYFUNCTION("""COMPUTED_VALUE"""),"Frozen")</f>
        <v>Frozen</v>
      </c>
    </row>
    <row r="1088">
      <c r="A1088" s="23">
        <f>IFERROR(__xludf.DUMMYFUNCTION("""COMPUTED_VALUE"""),44738.6382534375)</f>
        <v>44738.63825</v>
      </c>
      <c r="B1088" s="24" t="str">
        <f>IFERROR(__xludf.DUMMYFUNCTION("""COMPUTED_VALUE"""),"Dorja ")</f>
        <v>Dorja </v>
      </c>
      <c r="C1088" s="24">
        <f>IFERROR(__xludf.DUMMYFUNCTION("""COMPUTED_VALUE"""),37.0)</f>
        <v>37</v>
      </c>
      <c r="D1088" s="24" t="str">
        <f>IFERROR(__xludf.DUMMYFUNCTION("""COMPUTED_VALUE"""),"Produce")</f>
        <v>Produce</v>
      </c>
      <c r="F1088" s="23">
        <f>IFERROR(__xludf.DUMMYFUNCTION("""COMPUTED_VALUE"""),44765.63052797454)</f>
        <v>44765.63053</v>
      </c>
      <c r="G1088" s="24" t="str">
        <f>IFERROR(__xludf.DUMMYFUNCTION("""COMPUTED_VALUE"""),"Ausar ")</f>
        <v>Ausar </v>
      </c>
      <c r="H1088" s="24">
        <f>IFERROR(__xludf.DUMMYFUNCTION("""COMPUTED_VALUE"""),475.0)</f>
        <v>475</v>
      </c>
      <c r="I1088" s="24" t="str">
        <f>IFERROR(__xludf.DUMMYFUNCTION("""COMPUTED_VALUE"""),"Paper products ")</f>
        <v>Paper products </v>
      </c>
    </row>
    <row r="1089">
      <c r="A1089" s="23">
        <f>IFERROR(__xludf.DUMMYFUNCTION("""COMPUTED_VALUE"""),44738.7195859375)</f>
        <v>44738.71959</v>
      </c>
      <c r="B1089" s="24" t="str">
        <f>IFERROR(__xludf.DUMMYFUNCTION("""COMPUTED_VALUE"""),"Ausar ")</f>
        <v>Ausar </v>
      </c>
      <c r="C1089" s="24">
        <f>IFERROR(__xludf.DUMMYFUNCTION("""COMPUTED_VALUE"""),227.0)</f>
        <v>227</v>
      </c>
      <c r="D1089" s="24" t="str">
        <f>IFERROR(__xludf.DUMMYFUNCTION("""COMPUTED_VALUE"""),"Snacks")</f>
        <v>Snacks</v>
      </c>
      <c r="F1089" s="23">
        <f>IFERROR(__xludf.DUMMYFUNCTION("""COMPUTED_VALUE"""),44765.64254872685)</f>
        <v>44765.64255</v>
      </c>
      <c r="G1089" s="24" t="str">
        <f>IFERROR(__xludf.DUMMYFUNCTION("""COMPUTED_VALUE"""),"Ausar ")</f>
        <v>Ausar </v>
      </c>
      <c r="H1089" s="24">
        <f>IFERROR(__xludf.DUMMYFUNCTION("""COMPUTED_VALUE"""),944.0)</f>
        <v>944</v>
      </c>
      <c r="I1089" s="24" t="str">
        <f>IFERROR(__xludf.DUMMYFUNCTION("""COMPUTED_VALUE"""),"Drinks ")</f>
        <v>Drinks </v>
      </c>
    </row>
    <row r="1090">
      <c r="A1090" s="23">
        <f>IFERROR(__xludf.DUMMYFUNCTION("""COMPUTED_VALUE"""),44738.71993225694)</f>
        <v>44738.71993</v>
      </c>
      <c r="B1090" s="24" t="str">
        <f>IFERROR(__xludf.DUMMYFUNCTION("""COMPUTED_VALUE"""),"Ausar ")</f>
        <v>Ausar </v>
      </c>
      <c r="C1090" s="24">
        <f>IFERROR(__xludf.DUMMYFUNCTION("""COMPUTED_VALUE"""),323.0)</f>
        <v>323</v>
      </c>
      <c r="D1090" s="24" t="str">
        <f>IFERROR(__xludf.DUMMYFUNCTION("""COMPUTED_VALUE"""),"Frozen")</f>
        <v>Frozen</v>
      </c>
      <c r="F1090" s="23">
        <f>IFERROR(__xludf.DUMMYFUNCTION("""COMPUTED_VALUE"""),44765.66388168981)</f>
        <v>44765.66388</v>
      </c>
      <c r="G1090" s="24" t="str">
        <f>IFERROR(__xludf.DUMMYFUNCTION("""COMPUTED_VALUE"""),"Ausar ")</f>
        <v>Ausar </v>
      </c>
      <c r="H1090" s="24">
        <f>IFERROR(__xludf.DUMMYFUNCTION("""COMPUTED_VALUE"""),122.0)</f>
        <v>122</v>
      </c>
      <c r="I1090" s="24" t="str">
        <f>IFERROR(__xludf.DUMMYFUNCTION("""COMPUTED_VALUE"""),"Meat")</f>
        <v>Meat</v>
      </c>
    </row>
    <row r="1091">
      <c r="A1091" s="23">
        <f>IFERROR(__xludf.DUMMYFUNCTION("""COMPUTED_VALUE"""),44738.72035094907)</f>
        <v>44738.72035</v>
      </c>
      <c r="B1091" s="24" t="str">
        <f>IFERROR(__xludf.DUMMYFUNCTION("""COMPUTED_VALUE"""),"Ausar ")</f>
        <v>Ausar </v>
      </c>
      <c r="C1091" s="24">
        <f>IFERROR(__xludf.DUMMYFUNCTION("""COMPUTED_VALUE"""),120.0)</f>
        <v>120</v>
      </c>
      <c r="D1091" s="24" t="str">
        <f>IFERROR(__xludf.DUMMYFUNCTION("""COMPUTED_VALUE"""),"Frozen")</f>
        <v>Frozen</v>
      </c>
      <c r="F1091" s="23">
        <f>IFERROR(__xludf.DUMMYFUNCTION("""COMPUTED_VALUE"""),44765.68642366899)</f>
        <v>44765.68642</v>
      </c>
      <c r="G1091" s="24" t="str">
        <f>IFERROR(__xludf.DUMMYFUNCTION("""COMPUTED_VALUE"""),"Ausar ")</f>
        <v>Ausar </v>
      </c>
      <c r="H1091" s="24">
        <f>IFERROR(__xludf.DUMMYFUNCTION("""COMPUTED_VALUE"""),200.0)</f>
        <v>200</v>
      </c>
      <c r="I1091" s="24" t="str">
        <f>IFERROR(__xludf.DUMMYFUNCTION("""COMPUTED_VALUE"""),"Water")</f>
        <v>Water</v>
      </c>
    </row>
    <row r="1092">
      <c r="A1092" s="23">
        <f>IFERROR(__xludf.DUMMYFUNCTION("""COMPUTED_VALUE"""),44738.72081878472)</f>
        <v>44738.72082</v>
      </c>
      <c r="B1092" s="24" t="str">
        <f>IFERROR(__xludf.DUMMYFUNCTION("""COMPUTED_VALUE"""),"Ausar ")</f>
        <v>Ausar </v>
      </c>
      <c r="C1092" s="24">
        <f>IFERROR(__xludf.DUMMYFUNCTION("""COMPUTED_VALUE"""),444.0)</f>
        <v>444</v>
      </c>
      <c r="D1092" s="24" t="str">
        <f>IFERROR(__xludf.DUMMYFUNCTION("""COMPUTED_VALUE"""),"Cleaning products ")</f>
        <v>Cleaning products </v>
      </c>
      <c r="F1092" s="23">
        <f>IFERROR(__xludf.DUMMYFUNCTION("""COMPUTED_VALUE"""),44765.70138665509)</f>
        <v>44765.70139</v>
      </c>
      <c r="G1092" s="24" t="str">
        <f>IFERROR(__xludf.DUMMYFUNCTION("""COMPUTED_VALUE"""),"Ausar ")</f>
        <v>Ausar </v>
      </c>
      <c r="H1092" s="24">
        <f>IFERROR(__xludf.DUMMYFUNCTION("""COMPUTED_VALUE"""),-42.0)</f>
        <v>-42</v>
      </c>
      <c r="I1092" s="24" t="str">
        <f>IFERROR(__xludf.DUMMYFUNCTION("""COMPUTED_VALUE"""),"Water")</f>
        <v>Water</v>
      </c>
    </row>
    <row r="1093">
      <c r="A1093" s="23">
        <f>IFERROR(__xludf.DUMMYFUNCTION("""COMPUTED_VALUE"""),44738.72122546296)</f>
        <v>44738.72123</v>
      </c>
      <c r="B1093" s="24" t="str">
        <f>IFERROR(__xludf.DUMMYFUNCTION("""COMPUTED_VALUE"""),"Ausar ")</f>
        <v>Ausar </v>
      </c>
      <c r="C1093" s="24">
        <f>IFERROR(__xludf.DUMMYFUNCTION("""COMPUTED_VALUE"""),439.0)</f>
        <v>439</v>
      </c>
      <c r="D1093" s="24" t="str">
        <f>IFERROR(__xludf.DUMMYFUNCTION("""COMPUTED_VALUE"""),"Assorted option")</f>
        <v>Assorted option</v>
      </c>
      <c r="F1093" s="23">
        <f>IFERROR(__xludf.DUMMYFUNCTION("""COMPUTED_VALUE"""),44765.70333032407)</f>
        <v>44765.70333</v>
      </c>
      <c r="G1093" s="24" t="str">
        <f>IFERROR(__xludf.DUMMYFUNCTION("""COMPUTED_VALUE"""),"Ausar ")</f>
        <v>Ausar </v>
      </c>
      <c r="H1093" s="24">
        <f>IFERROR(__xludf.DUMMYFUNCTION("""COMPUTED_VALUE"""),-129.0)</f>
        <v>-129</v>
      </c>
      <c r="I1093" s="24" t="str">
        <f>IFERROR(__xludf.DUMMYFUNCTION("""COMPUTED_VALUE"""),"Paper ")</f>
        <v>Paper </v>
      </c>
    </row>
    <row r="1094">
      <c r="A1094" s="23">
        <f>IFERROR(__xludf.DUMMYFUNCTION("""COMPUTED_VALUE"""),44738.7217103125)</f>
        <v>44738.72171</v>
      </c>
      <c r="B1094" s="24" t="str">
        <f>IFERROR(__xludf.DUMMYFUNCTION("""COMPUTED_VALUE"""),"Ausar ")</f>
        <v>Ausar </v>
      </c>
      <c r="C1094" s="24">
        <f>IFERROR(__xludf.DUMMYFUNCTION("""COMPUTED_VALUE"""),262.0)</f>
        <v>262</v>
      </c>
      <c r="D1094" s="24" t="str">
        <f>IFERROR(__xludf.DUMMYFUNCTION("""COMPUTED_VALUE"""),"Snacks")</f>
        <v>Snacks</v>
      </c>
      <c r="F1094" s="23">
        <f>IFERROR(__xludf.DUMMYFUNCTION("""COMPUTED_VALUE"""),44765.70750953704)</f>
        <v>44765.70751</v>
      </c>
      <c r="G1094" s="24" t="str">
        <f>IFERROR(__xludf.DUMMYFUNCTION("""COMPUTED_VALUE"""),"Ausar ")</f>
        <v>Ausar </v>
      </c>
      <c r="H1094" s="24">
        <f>IFERROR(__xludf.DUMMYFUNCTION("""COMPUTED_VALUE"""),-123.0)</f>
        <v>-123</v>
      </c>
      <c r="I1094" s="24" t="str">
        <f>IFERROR(__xludf.DUMMYFUNCTION("""COMPUTED_VALUE"""),"Protein powders ")</f>
        <v>Protein powders </v>
      </c>
    </row>
    <row r="1095">
      <c r="A1095" s="23">
        <f>IFERROR(__xludf.DUMMYFUNCTION("""COMPUTED_VALUE"""),44738.72445166667)</f>
        <v>44738.72445</v>
      </c>
      <c r="B1095" s="24" t="str">
        <f>IFERROR(__xludf.DUMMYFUNCTION("""COMPUTED_VALUE"""),"Zoe")</f>
        <v>Zoe</v>
      </c>
      <c r="C1095" s="24">
        <f>IFERROR(__xludf.DUMMYFUNCTION("""COMPUTED_VALUE"""),86.0)</f>
        <v>86</v>
      </c>
      <c r="D1095" s="24" t="str">
        <f>IFERROR(__xludf.DUMMYFUNCTION("""COMPUTED_VALUE"""),"Produce")</f>
        <v>Produce</v>
      </c>
      <c r="F1095" s="23">
        <f>IFERROR(__xludf.DUMMYFUNCTION("""COMPUTED_VALUE"""),44765.712440462965)</f>
        <v>44765.71244</v>
      </c>
      <c r="G1095" s="24" t="str">
        <f>IFERROR(__xludf.DUMMYFUNCTION("""COMPUTED_VALUE"""),"Ausar ")</f>
        <v>Ausar </v>
      </c>
      <c r="H1095" s="24">
        <f>IFERROR(__xludf.DUMMYFUNCTION("""COMPUTED_VALUE"""),-103.0)</f>
        <v>-103</v>
      </c>
      <c r="I1095" s="24" t="str">
        <f>IFERROR(__xludf.DUMMYFUNCTION("""COMPUTED_VALUE"""),"Produce")</f>
        <v>Produce</v>
      </c>
    </row>
    <row r="1096">
      <c r="A1096" s="23">
        <f>IFERROR(__xludf.DUMMYFUNCTION("""COMPUTED_VALUE"""),44738.72501795139)</f>
        <v>44738.72502</v>
      </c>
      <c r="B1096" s="24" t="str">
        <f>IFERROR(__xludf.DUMMYFUNCTION("""COMPUTED_VALUE"""),"Zoe")</f>
        <v>Zoe</v>
      </c>
      <c r="C1096" s="24">
        <f>IFERROR(__xludf.DUMMYFUNCTION("""COMPUTED_VALUE"""),163.0)</f>
        <v>163</v>
      </c>
      <c r="D1096" s="24" t="str">
        <f>IFERROR(__xludf.DUMMYFUNCTION("""COMPUTED_VALUE"""),"Shampoo")</f>
        <v>Shampoo</v>
      </c>
      <c r="F1096" s="23">
        <f>IFERROR(__xludf.DUMMYFUNCTION("""COMPUTED_VALUE"""),44765.728424201385)</f>
        <v>44765.72842</v>
      </c>
      <c r="G1096" s="24" t="str">
        <f>IFERROR(__xludf.DUMMYFUNCTION("""COMPUTED_VALUE"""),"Claire")</f>
        <v>Claire</v>
      </c>
      <c r="H1096" s="24">
        <f>IFERROR(__xludf.DUMMYFUNCTION("""COMPUTED_VALUE"""),-122.0)</f>
        <v>-122</v>
      </c>
      <c r="I1096" s="24" t="str">
        <f>IFERROR(__xludf.DUMMYFUNCTION("""COMPUTED_VALUE"""),"Cleaning")</f>
        <v>Cleaning</v>
      </c>
    </row>
    <row r="1097">
      <c r="A1097" s="23">
        <f>IFERROR(__xludf.DUMMYFUNCTION("""COMPUTED_VALUE"""),44738.725258425926)</f>
        <v>44738.72526</v>
      </c>
      <c r="B1097" s="24" t="str">
        <f>IFERROR(__xludf.DUMMYFUNCTION("""COMPUTED_VALUE"""),"Ausar")</f>
        <v>Ausar</v>
      </c>
      <c r="C1097" s="24">
        <f>IFERROR(__xludf.DUMMYFUNCTION("""COMPUTED_VALUE"""),527.0)</f>
        <v>527</v>
      </c>
      <c r="D1097" s="24" t="str">
        <f>IFERROR(__xludf.DUMMYFUNCTION("""COMPUTED_VALUE"""),"Produce")</f>
        <v>Produce</v>
      </c>
      <c r="F1097" s="23">
        <f>IFERROR(__xludf.DUMMYFUNCTION("""COMPUTED_VALUE"""),44765.729140451396)</f>
        <v>44765.72914</v>
      </c>
      <c r="G1097" s="24" t="str">
        <f>IFERROR(__xludf.DUMMYFUNCTION("""COMPUTED_VALUE"""),"Cybil Bailey")</f>
        <v>Cybil Bailey</v>
      </c>
      <c r="H1097" s="24">
        <f>IFERROR(__xludf.DUMMYFUNCTION("""COMPUTED_VALUE"""),20.0)</f>
        <v>20</v>
      </c>
      <c r="I1097" s="24"/>
    </row>
    <row r="1098">
      <c r="A1098" s="23">
        <f>IFERROR(__xludf.DUMMYFUNCTION("""COMPUTED_VALUE"""),44738.72567846065)</f>
        <v>44738.72568</v>
      </c>
      <c r="B1098" s="24" t="str">
        <f>IFERROR(__xludf.DUMMYFUNCTION("""COMPUTED_VALUE"""),"Zoe")</f>
        <v>Zoe</v>
      </c>
      <c r="C1098" s="24">
        <f>IFERROR(__xludf.DUMMYFUNCTION("""COMPUTED_VALUE"""),494.0)</f>
        <v>494</v>
      </c>
      <c r="D1098" s="24" t="str">
        <f>IFERROR(__xludf.DUMMYFUNCTION("""COMPUTED_VALUE"""),"Produce")</f>
        <v>Produce</v>
      </c>
      <c r="F1098" s="23">
        <f>IFERROR(__xludf.DUMMYFUNCTION("""COMPUTED_VALUE"""),44765.73019980324)</f>
        <v>44765.7302</v>
      </c>
      <c r="G1098" s="24" t="str">
        <f>IFERROR(__xludf.DUMMYFUNCTION("""COMPUTED_VALUE"""),"Claire")</f>
        <v>Claire</v>
      </c>
      <c r="H1098" s="24">
        <f>IFERROR(__xludf.DUMMYFUNCTION("""COMPUTED_VALUE"""),-37.0)</f>
        <v>-37</v>
      </c>
      <c r="I1098" s="24" t="str">
        <f>IFERROR(__xludf.DUMMYFUNCTION("""COMPUTED_VALUE"""),"Assorted option")</f>
        <v>Assorted option</v>
      </c>
    </row>
    <row r="1099">
      <c r="A1099" s="23">
        <f>IFERROR(__xludf.DUMMYFUNCTION("""COMPUTED_VALUE"""),44738.725813854166)</f>
        <v>44738.72581</v>
      </c>
      <c r="B1099" s="24" t="str">
        <f>IFERROR(__xludf.DUMMYFUNCTION("""COMPUTED_VALUE"""),"Ausar")</f>
        <v>Ausar</v>
      </c>
      <c r="C1099" s="24">
        <f>IFERROR(__xludf.DUMMYFUNCTION("""COMPUTED_VALUE"""),216.0)</f>
        <v>216</v>
      </c>
      <c r="D1099" s="24" t="str">
        <f>IFERROR(__xludf.DUMMYFUNCTION("""COMPUTED_VALUE"""),"Produce")</f>
        <v>Produce</v>
      </c>
      <c r="F1099" s="23">
        <f>IFERROR(__xludf.DUMMYFUNCTION("""COMPUTED_VALUE"""),44765.73116909722)</f>
        <v>44765.73117</v>
      </c>
      <c r="G1099" s="24" t="str">
        <f>IFERROR(__xludf.DUMMYFUNCTION("""COMPUTED_VALUE"""),"Beverly Pinn")</f>
        <v>Beverly Pinn</v>
      </c>
      <c r="H1099" s="24">
        <f>IFERROR(__xludf.DUMMYFUNCTION("""COMPUTED_VALUE"""),17.0)</f>
        <v>17</v>
      </c>
      <c r="I1099" s="24"/>
    </row>
    <row r="1100">
      <c r="A1100" s="23">
        <f>IFERROR(__xludf.DUMMYFUNCTION("""COMPUTED_VALUE"""),44738.73109068287)</f>
        <v>44738.73109</v>
      </c>
      <c r="B1100" s="24" t="str">
        <f>IFERROR(__xludf.DUMMYFUNCTION("""COMPUTED_VALUE"""),"Ausar")</f>
        <v>Ausar</v>
      </c>
      <c r="C1100" s="24">
        <f>IFERROR(__xludf.DUMMYFUNCTION("""COMPUTED_VALUE"""),13.0)</f>
        <v>13</v>
      </c>
      <c r="D1100" s="24" t="str">
        <f>IFERROR(__xludf.DUMMYFUNCTION("""COMPUTED_VALUE"""),"Assorted option")</f>
        <v>Assorted option</v>
      </c>
      <c r="F1100" s="23">
        <f>IFERROR(__xludf.DUMMYFUNCTION("""COMPUTED_VALUE"""),44765.73140369212)</f>
        <v>44765.7314</v>
      </c>
      <c r="G1100" s="24" t="str">
        <f>IFERROR(__xludf.DUMMYFUNCTION("""COMPUTED_VALUE"""),"Beverly Pinn")</f>
        <v>Beverly Pinn</v>
      </c>
      <c r="H1100" s="24">
        <f>IFERROR(__xludf.DUMMYFUNCTION("""COMPUTED_VALUE"""),5.0)</f>
        <v>5</v>
      </c>
      <c r="I1100" s="24"/>
    </row>
    <row r="1101">
      <c r="A1101" s="23">
        <f>IFERROR(__xludf.DUMMYFUNCTION("""COMPUTED_VALUE"""),44741.64284515046)</f>
        <v>44741.64285</v>
      </c>
      <c r="B1101" s="24" t="str">
        <f>IFERROR(__xludf.DUMMYFUNCTION("""COMPUTED_VALUE"""),"Karen")</f>
        <v>Karen</v>
      </c>
      <c r="C1101" s="24">
        <f>IFERROR(__xludf.DUMMYFUNCTION("""COMPUTED_VALUE"""),276.0)</f>
        <v>276</v>
      </c>
      <c r="D1101" s="24" t="str">
        <f>IFERROR(__xludf.DUMMYFUNCTION("""COMPUTED_VALUE"""),"Frozen")</f>
        <v>Frozen</v>
      </c>
      <c r="F1101" s="23">
        <f>IFERROR(__xludf.DUMMYFUNCTION("""COMPUTED_VALUE"""),44765.73665284722)</f>
        <v>44765.73665</v>
      </c>
      <c r="G1101" s="24" t="str">
        <f>IFERROR(__xludf.DUMMYFUNCTION("""COMPUTED_VALUE"""),"Emily")</f>
        <v>Emily</v>
      </c>
      <c r="H1101" s="24">
        <f>IFERROR(__xludf.DUMMYFUNCTION("""COMPUTED_VALUE"""),14.0)</f>
        <v>14</v>
      </c>
      <c r="I1101" s="24"/>
    </row>
    <row r="1102">
      <c r="A1102" s="23">
        <f>IFERROR(__xludf.DUMMYFUNCTION("""COMPUTED_VALUE"""),44741.644681377315)</f>
        <v>44741.64468</v>
      </c>
      <c r="B1102" s="24" t="str">
        <f>IFERROR(__xludf.DUMMYFUNCTION("""COMPUTED_VALUE"""),"Karen ")</f>
        <v>Karen </v>
      </c>
      <c r="C1102" s="24">
        <f>IFERROR(__xludf.DUMMYFUNCTION("""COMPUTED_VALUE"""),1042.0)</f>
        <v>1042</v>
      </c>
      <c r="D1102" s="24" t="str">
        <f>IFERROR(__xludf.DUMMYFUNCTION("""COMPUTED_VALUE"""),"Frozen")</f>
        <v>Frozen</v>
      </c>
      <c r="F1102" s="23">
        <f>IFERROR(__xludf.DUMMYFUNCTION("""COMPUTED_VALUE"""),44765.75448112268)</f>
        <v>44765.75448</v>
      </c>
      <c r="G1102" s="24" t="str">
        <f>IFERROR(__xludf.DUMMYFUNCTION("""COMPUTED_VALUE"""),"Lynnette")</f>
        <v>Lynnette</v>
      </c>
      <c r="H1102" s="24">
        <f>IFERROR(__xludf.DUMMYFUNCTION("""COMPUTED_VALUE"""),4.0)</f>
        <v>4</v>
      </c>
      <c r="I1102" s="24"/>
    </row>
    <row r="1103">
      <c r="A1103" s="23">
        <f>IFERROR(__xludf.DUMMYFUNCTION("""COMPUTED_VALUE"""),44741.64527366898)</f>
        <v>44741.64527</v>
      </c>
      <c r="B1103" s="24" t="str">
        <f>IFERROR(__xludf.DUMMYFUNCTION("""COMPUTED_VALUE"""),"Karen ")</f>
        <v>Karen </v>
      </c>
      <c r="C1103" s="24">
        <f>IFERROR(__xludf.DUMMYFUNCTION("""COMPUTED_VALUE"""),790.0)</f>
        <v>790</v>
      </c>
      <c r="D1103" s="24" t="str">
        <f>IFERROR(__xludf.DUMMYFUNCTION("""COMPUTED_VALUE"""),"Frozen")</f>
        <v>Frozen</v>
      </c>
      <c r="F1103" s="23">
        <f>IFERROR(__xludf.DUMMYFUNCTION("""COMPUTED_VALUE"""),44765.75619939815)</f>
        <v>44765.7562</v>
      </c>
      <c r="G1103" s="24" t="str">
        <f>IFERROR(__xludf.DUMMYFUNCTION("""COMPUTED_VALUE"""),"Lynnette  ")</f>
        <v>Lynnette  </v>
      </c>
      <c r="H1103" s="24">
        <f>IFERROR(__xludf.DUMMYFUNCTION("""COMPUTED_VALUE"""),5.0)</f>
        <v>5</v>
      </c>
      <c r="I1103" s="24" t="str">
        <f>IFERROR(__xludf.DUMMYFUNCTION("""COMPUTED_VALUE"""),"Meat")</f>
        <v>Meat</v>
      </c>
    </row>
    <row r="1104">
      <c r="A1104" s="23">
        <f>IFERROR(__xludf.DUMMYFUNCTION("""COMPUTED_VALUE"""),44741.67075453704)</f>
        <v>44741.67075</v>
      </c>
      <c r="B1104" s="24" t="str">
        <f>IFERROR(__xludf.DUMMYFUNCTION("""COMPUTED_VALUE"""),"Karen")</f>
        <v>Karen</v>
      </c>
      <c r="C1104" s="24">
        <f>IFERROR(__xludf.DUMMYFUNCTION("""COMPUTED_VALUE"""),750.0)</f>
        <v>750</v>
      </c>
      <c r="D1104" s="24" t="str">
        <f>IFERROR(__xludf.DUMMYFUNCTION("""COMPUTED_VALUE"""),"Frozen")</f>
        <v>Frozen</v>
      </c>
      <c r="F1104" s="23">
        <f>IFERROR(__xludf.DUMMYFUNCTION("""COMPUTED_VALUE"""),44766.0)</f>
        <v>44766</v>
      </c>
      <c r="G1104" s="24" t="str">
        <f>IFERROR(__xludf.DUMMYFUNCTION("""COMPUTED_VALUE"""),"Travis James")</f>
        <v>Travis James</v>
      </c>
      <c r="H1104" s="24">
        <f>IFERROR(__xludf.DUMMYFUNCTION("""COMPUTED_VALUE"""),20.0)</f>
        <v>20</v>
      </c>
      <c r="I1104" s="24"/>
    </row>
    <row r="1105">
      <c r="A1105" s="23">
        <f>IFERROR(__xludf.DUMMYFUNCTION("""COMPUTED_VALUE"""),44741.67299027777)</f>
        <v>44741.67299</v>
      </c>
      <c r="B1105" s="24" t="str">
        <f>IFERROR(__xludf.DUMMYFUNCTION("""COMPUTED_VALUE"""),"Karen")</f>
        <v>Karen</v>
      </c>
      <c r="C1105" s="24">
        <f>IFERROR(__xludf.DUMMYFUNCTION("""COMPUTED_VALUE"""),188.0)</f>
        <v>188</v>
      </c>
      <c r="D1105" s="24" t="str">
        <f>IFERROR(__xludf.DUMMYFUNCTION("""COMPUTED_VALUE"""),"Frozen")</f>
        <v>Frozen</v>
      </c>
      <c r="F1105" s="23">
        <f>IFERROR(__xludf.DUMMYFUNCTION("""COMPUTED_VALUE"""),44766.0)</f>
        <v>44766</v>
      </c>
      <c r="G1105" s="24" t="str">
        <f>IFERROR(__xludf.DUMMYFUNCTION("""COMPUTED_VALUE"""),"Travis James")</f>
        <v>Travis James</v>
      </c>
      <c r="H1105" s="24">
        <f>IFERROR(__xludf.DUMMYFUNCTION("""COMPUTED_VALUE"""),2.0)</f>
        <v>2</v>
      </c>
      <c r="I1105" s="24"/>
    </row>
    <row r="1106">
      <c r="A1106" s="23">
        <f>IFERROR(__xludf.DUMMYFUNCTION("""COMPUTED_VALUE"""),44741.84489679398)</f>
        <v>44741.8449</v>
      </c>
      <c r="B1106" s="24" t="str">
        <f>IFERROR(__xludf.DUMMYFUNCTION("""COMPUTED_VALUE"""),"Ausar")</f>
        <v>Ausar</v>
      </c>
      <c r="C1106" s="24">
        <f>IFERROR(__xludf.DUMMYFUNCTION("""COMPUTED_VALUE"""),129.0)</f>
        <v>129</v>
      </c>
      <c r="D1106" s="24" t="str">
        <f>IFERROR(__xludf.DUMMYFUNCTION("""COMPUTED_VALUE"""),"Assorted option")</f>
        <v>Assorted option</v>
      </c>
      <c r="F1106" s="23">
        <f>IFERROR(__xludf.DUMMYFUNCTION("""COMPUTED_VALUE"""),44766.0)</f>
        <v>44766</v>
      </c>
      <c r="G1106" s="24" t="str">
        <f>IFERROR(__xludf.DUMMYFUNCTION("""COMPUTED_VALUE"""),"Alex Wang")</f>
        <v>Alex Wang</v>
      </c>
      <c r="H1106" s="24">
        <f>IFERROR(__xludf.DUMMYFUNCTION("""COMPUTED_VALUE"""),9.0)</f>
        <v>9</v>
      </c>
      <c r="I1106" s="24"/>
    </row>
    <row r="1107">
      <c r="A1107" s="23">
        <f>IFERROR(__xludf.DUMMYFUNCTION("""COMPUTED_VALUE"""),44742.55933505787)</f>
        <v>44742.55934</v>
      </c>
      <c r="B1107" s="24" t="str">
        <f>IFERROR(__xludf.DUMMYFUNCTION("""COMPUTED_VALUE"""),"Jilleien Franquelli")</f>
        <v>Jilleien Franquelli</v>
      </c>
      <c r="C1107" s="24">
        <f>IFERROR(__xludf.DUMMYFUNCTION("""COMPUTED_VALUE"""),152.0)</f>
        <v>152</v>
      </c>
      <c r="D1107" s="24" t="str">
        <f>IFERROR(__xludf.DUMMYFUNCTION("""COMPUTED_VALUE"""),"Assorted option")</f>
        <v>Assorted option</v>
      </c>
      <c r="F1107" s="23">
        <f>IFERROR(__xludf.DUMMYFUNCTION("""COMPUTED_VALUE"""),44766.0)</f>
        <v>44766</v>
      </c>
      <c r="G1107" s="24" t="str">
        <f>IFERROR(__xludf.DUMMYFUNCTION("""COMPUTED_VALUE"""),"Marci")</f>
        <v>Marci</v>
      </c>
      <c r="H1107" s="24">
        <f>IFERROR(__xludf.DUMMYFUNCTION("""COMPUTED_VALUE"""),20.0)</f>
        <v>20</v>
      </c>
      <c r="I1107" s="24"/>
    </row>
    <row r="1108">
      <c r="A1108" s="23">
        <f>IFERROR(__xludf.DUMMYFUNCTION("""COMPUTED_VALUE"""),44742.59950762731)</f>
        <v>44742.59951</v>
      </c>
      <c r="B1108" s="24" t="str">
        <f>IFERROR(__xludf.DUMMYFUNCTION("""COMPUTED_VALUE"""),"Jean")</f>
        <v>Jean</v>
      </c>
      <c r="C1108" s="24">
        <f>IFERROR(__xludf.DUMMYFUNCTION("""COMPUTED_VALUE"""),385.0)</f>
        <v>385</v>
      </c>
      <c r="D1108" s="24" t="str">
        <f>IFERROR(__xludf.DUMMYFUNCTION("""COMPUTED_VALUE"""),"Frozen")</f>
        <v>Frozen</v>
      </c>
      <c r="F1108" s="23">
        <f>IFERROR(__xludf.DUMMYFUNCTION("""COMPUTED_VALUE"""),44766.0)</f>
        <v>44766</v>
      </c>
      <c r="G1108" s="24" t="str">
        <f>IFERROR(__xludf.DUMMYFUNCTION("""COMPUTED_VALUE"""),"Marci")</f>
        <v>Marci</v>
      </c>
      <c r="H1108" s="24">
        <f>IFERROR(__xludf.DUMMYFUNCTION("""COMPUTED_VALUE"""),22.0)</f>
        <v>22</v>
      </c>
      <c r="I1108" s="24"/>
    </row>
    <row r="1109">
      <c r="A1109" s="23">
        <f>IFERROR(__xludf.DUMMYFUNCTION("""COMPUTED_VALUE"""),44742.60084402777)</f>
        <v>44742.60084</v>
      </c>
      <c r="B1109" s="24" t="str">
        <f>IFERROR(__xludf.DUMMYFUNCTION("""COMPUTED_VALUE"""),"Jean")</f>
        <v>Jean</v>
      </c>
      <c r="C1109" s="24">
        <f>IFERROR(__xludf.DUMMYFUNCTION("""COMPUTED_VALUE"""),329.0)</f>
        <v>329</v>
      </c>
      <c r="D1109" s="24" t="str">
        <f>IFERROR(__xludf.DUMMYFUNCTION("""COMPUTED_VALUE"""),"Produce")</f>
        <v>Produce</v>
      </c>
      <c r="F1109" s="23">
        <f>IFERROR(__xludf.DUMMYFUNCTION("""COMPUTED_VALUE"""),44766.51157003472)</f>
        <v>44766.51157</v>
      </c>
      <c r="G1109" s="24" t="str">
        <f>IFERROR(__xludf.DUMMYFUNCTION("""COMPUTED_VALUE"""),"Alex")</f>
        <v>Alex</v>
      </c>
      <c r="H1109" s="24">
        <f>IFERROR(__xludf.DUMMYFUNCTION("""COMPUTED_VALUE"""),181.0)</f>
        <v>181</v>
      </c>
      <c r="I1109" s="24" t="str">
        <f>IFERROR(__xludf.DUMMYFUNCTION("""COMPUTED_VALUE"""),"Assorted option")</f>
        <v>Assorted option</v>
      </c>
    </row>
    <row r="1110">
      <c r="A1110" s="23">
        <f>IFERROR(__xludf.DUMMYFUNCTION("""COMPUTED_VALUE"""),44742.60197390046)</f>
        <v>44742.60197</v>
      </c>
      <c r="B1110" s="24" t="str">
        <f>IFERROR(__xludf.DUMMYFUNCTION("""COMPUTED_VALUE"""),"Jean")</f>
        <v>Jean</v>
      </c>
      <c r="C1110" s="24">
        <f>IFERROR(__xludf.DUMMYFUNCTION("""COMPUTED_VALUE"""),630.0)</f>
        <v>630</v>
      </c>
      <c r="D1110" s="24" t="str">
        <f>IFERROR(__xludf.DUMMYFUNCTION("""COMPUTED_VALUE"""),"Drinks")</f>
        <v>Drinks</v>
      </c>
      <c r="F1110" s="23">
        <f>IFERROR(__xludf.DUMMYFUNCTION("""COMPUTED_VALUE"""),44766.51183336806)</f>
        <v>44766.51183</v>
      </c>
      <c r="G1110" s="24" t="str">
        <f>IFERROR(__xludf.DUMMYFUNCTION("""COMPUTED_VALUE"""),"Alex")</f>
        <v>Alex</v>
      </c>
      <c r="H1110" s="24">
        <f>IFERROR(__xludf.DUMMYFUNCTION("""COMPUTED_VALUE"""),427.0)</f>
        <v>427</v>
      </c>
      <c r="I1110" s="24" t="str">
        <f>IFERROR(__xludf.DUMMYFUNCTION("""COMPUTED_VALUE"""),"Assorted option")</f>
        <v>Assorted option</v>
      </c>
    </row>
    <row r="1111">
      <c r="A1111" s="23">
        <f>IFERROR(__xludf.DUMMYFUNCTION("""COMPUTED_VALUE"""),44742.60295719908)</f>
        <v>44742.60296</v>
      </c>
      <c r="B1111" s="24" t="str">
        <f>IFERROR(__xludf.DUMMYFUNCTION("""COMPUTED_VALUE"""),"Jean")</f>
        <v>Jean</v>
      </c>
      <c r="C1111" s="24">
        <f>IFERROR(__xludf.DUMMYFUNCTION("""COMPUTED_VALUE"""),358.0)</f>
        <v>358</v>
      </c>
      <c r="D1111" s="24" t="str">
        <f>IFERROR(__xludf.DUMMYFUNCTION("""COMPUTED_VALUE"""),"Produce")</f>
        <v>Produce</v>
      </c>
      <c r="F1111" s="23">
        <f>IFERROR(__xludf.DUMMYFUNCTION("""COMPUTED_VALUE"""),44766.51389815973)</f>
        <v>44766.5139</v>
      </c>
      <c r="G1111" s="24" t="str">
        <f>IFERROR(__xludf.DUMMYFUNCTION("""COMPUTED_VALUE"""),"Alex")</f>
        <v>Alex</v>
      </c>
      <c r="H1111" s="24">
        <f>IFERROR(__xludf.DUMMYFUNCTION("""COMPUTED_VALUE"""),406.0)</f>
        <v>406</v>
      </c>
      <c r="I1111" s="24" t="str">
        <f>IFERROR(__xludf.DUMMYFUNCTION("""COMPUTED_VALUE"""),"Produce")</f>
        <v>Produce</v>
      </c>
    </row>
    <row r="1112">
      <c r="A1112" s="23">
        <f>IFERROR(__xludf.DUMMYFUNCTION("""COMPUTED_VALUE"""),44742.603663912036)</f>
        <v>44742.60366</v>
      </c>
      <c r="B1112" s="24" t="str">
        <f>IFERROR(__xludf.DUMMYFUNCTION("""COMPUTED_VALUE"""),"Jean")</f>
        <v>Jean</v>
      </c>
      <c r="C1112" s="24">
        <f>IFERROR(__xludf.DUMMYFUNCTION("""COMPUTED_VALUE"""),1015.0)</f>
        <v>1015</v>
      </c>
      <c r="D1112" s="24" t="str">
        <f>IFERROR(__xludf.DUMMYFUNCTION("""COMPUTED_VALUE"""),"Frozen")</f>
        <v>Frozen</v>
      </c>
      <c r="F1112" s="23">
        <f>IFERROR(__xludf.DUMMYFUNCTION("""COMPUTED_VALUE"""),44766.54272017361)</f>
        <v>44766.54272</v>
      </c>
      <c r="G1112" s="24" t="str">
        <f>IFERROR(__xludf.DUMMYFUNCTION("""COMPUTED_VALUE"""),"Ausar ")</f>
        <v>Ausar </v>
      </c>
      <c r="H1112" s="24">
        <f>IFERROR(__xludf.DUMMYFUNCTION("""COMPUTED_VALUE"""),220.0)</f>
        <v>220</v>
      </c>
      <c r="I1112" s="24" t="str">
        <f>IFERROR(__xludf.DUMMYFUNCTION("""COMPUTED_VALUE"""),"Ausar’s Food donations")</f>
        <v>Ausar’s Food donations</v>
      </c>
    </row>
    <row r="1113">
      <c r="A1113" s="23">
        <f>IFERROR(__xludf.DUMMYFUNCTION("""COMPUTED_VALUE"""),44742.604380914345)</f>
        <v>44742.60438</v>
      </c>
      <c r="B1113" s="24" t="str">
        <f>IFERROR(__xludf.DUMMYFUNCTION("""COMPUTED_VALUE"""),"Jean")</f>
        <v>Jean</v>
      </c>
      <c r="C1113" s="24">
        <f>IFERROR(__xludf.DUMMYFUNCTION("""COMPUTED_VALUE"""),590.0)</f>
        <v>590</v>
      </c>
      <c r="D1113" s="24" t="str">
        <f>IFERROR(__xludf.DUMMYFUNCTION("""COMPUTED_VALUE"""),"Frozen")</f>
        <v>Frozen</v>
      </c>
      <c r="F1113" s="23">
        <f>IFERROR(__xludf.DUMMYFUNCTION("""COMPUTED_VALUE"""),44766.54327577546)</f>
        <v>44766.54328</v>
      </c>
      <c r="G1113" s="24" t="str">
        <f>IFERROR(__xludf.DUMMYFUNCTION("""COMPUTED_VALUE"""),"Ausar ")</f>
        <v>Ausar </v>
      </c>
      <c r="H1113" s="24">
        <f>IFERROR(__xludf.DUMMYFUNCTION("""COMPUTED_VALUE"""),50.0)</f>
        <v>50</v>
      </c>
      <c r="I1113" s="24" t="str">
        <f>IFERROR(__xludf.DUMMYFUNCTION("""COMPUTED_VALUE"""),"Meat")</f>
        <v>Meat</v>
      </c>
    </row>
    <row r="1114">
      <c r="A1114" s="23">
        <f>IFERROR(__xludf.DUMMYFUNCTION("""COMPUTED_VALUE"""),44742.61379880787)</f>
        <v>44742.6138</v>
      </c>
      <c r="B1114" s="24" t="str">
        <f>IFERROR(__xludf.DUMMYFUNCTION("""COMPUTED_VALUE"""),"Jean")</f>
        <v>Jean</v>
      </c>
      <c r="C1114" s="24">
        <f>IFERROR(__xludf.DUMMYFUNCTION("""COMPUTED_VALUE"""),733.0)</f>
        <v>733</v>
      </c>
      <c r="D1114" s="24" t="str">
        <f>IFERROR(__xludf.DUMMYFUNCTION("""COMPUTED_VALUE"""),"Frozen")</f>
        <v>Frozen</v>
      </c>
      <c r="F1114" s="23">
        <f>IFERROR(__xludf.DUMMYFUNCTION("""COMPUTED_VALUE"""),44766.550497233795)</f>
        <v>44766.5505</v>
      </c>
      <c r="G1114" s="24" t="str">
        <f>IFERROR(__xludf.DUMMYFUNCTION("""COMPUTED_VALUE"""),"Kaneesha ")</f>
        <v>Kaneesha </v>
      </c>
      <c r="H1114" s="24">
        <f>IFERROR(__xludf.DUMMYFUNCTION("""COMPUTED_VALUE"""),130.0)</f>
        <v>130</v>
      </c>
      <c r="I1114" s="24" t="str">
        <f>IFERROR(__xludf.DUMMYFUNCTION("""COMPUTED_VALUE"""),"Assorted option")</f>
        <v>Assorted option</v>
      </c>
    </row>
    <row r="1115">
      <c r="A1115" s="23">
        <f>IFERROR(__xludf.DUMMYFUNCTION("""COMPUTED_VALUE"""),44742.61456791667)</f>
        <v>44742.61457</v>
      </c>
      <c r="B1115" s="24" t="str">
        <f>IFERROR(__xludf.DUMMYFUNCTION("""COMPUTED_VALUE"""),"Jean")</f>
        <v>Jean</v>
      </c>
      <c r="C1115" s="24">
        <f>IFERROR(__xludf.DUMMYFUNCTION("""COMPUTED_VALUE"""),632.0)</f>
        <v>632</v>
      </c>
      <c r="D1115" s="24" t="str">
        <f>IFERROR(__xludf.DUMMYFUNCTION("""COMPUTED_VALUE"""),"Frozen")</f>
        <v>Frozen</v>
      </c>
      <c r="F1115" s="23">
        <f>IFERROR(__xludf.DUMMYFUNCTION("""COMPUTED_VALUE"""),44766.63473915509)</f>
        <v>44766.63474</v>
      </c>
      <c r="G1115" s="24" t="str">
        <f>IFERROR(__xludf.DUMMYFUNCTION("""COMPUTED_VALUE"""),"Ausar ")</f>
        <v>Ausar </v>
      </c>
      <c r="H1115" s="24">
        <f>IFERROR(__xludf.DUMMYFUNCTION("""COMPUTED_VALUE"""),51.0)</f>
        <v>51</v>
      </c>
      <c r="I1115" s="24" t="str">
        <f>IFERROR(__xludf.DUMMYFUNCTION("""COMPUTED_VALUE"""),"Assorted option")</f>
        <v>Assorted option</v>
      </c>
    </row>
    <row r="1116">
      <c r="A1116" s="23">
        <f>IFERROR(__xludf.DUMMYFUNCTION("""COMPUTED_VALUE"""),44743.69914131945)</f>
        <v>44743.69914</v>
      </c>
      <c r="B1116" s="24" t="str">
        <f>IFERROR(__xludf.DUMMYFUNCTION("""COMPUTED_VALUE"""),"Claire")</f>
        <v>Claire</v>
      </c>
      <c r="C1116" s="24">
        <f>IFERROR(__xludf.DUMMYFUNCTION("""COMPUTED_VALUE"""),371.0)</f>
        <v>371</v>
      </c>
      <c r="D1116" s="24" t="str">
        <f>IFERROR(__xludf.DUMMYFUNCTION("""COMPUTED_VALUE"""),"Dry goods")</f>
        <v>Dry goods</v>
      </c>
      <c r="F1116" s="23">
        <f>IFERROR(__xludf.DUMMYFUNCTION("""COMPUTED_VALUE"""),44766.655565497684)</f>
        <v>44766.65557</v>
      </c>
      <c r="G1116" s="24" t="str">
        <f>IFERROR(__xludf.DUMMYFUNCTION("""COMPUTED_VALUE"""),"Kaneesha ")</f>
        <v>Kaneesha </v>
      </c>
      <c r="H1116" s="24">
        <f>IFERROR(__xludf.DUMMYFUNCTION("""COMPUTED_VALUE"""),457.0)</f>
        <v>457</v>
      </c>
      <c r="I1116" s="24" t="str">
        <f>IFERROR(__xludf.DUMMYFUNCTION("""COMPUTED_VALUE"""),"Amazon")</f>
        <v>Amazon</v>
      </c>
    </row>
    <row r="1117">
      <c r="A1117" s="23">
        <f>IFERROR(__xludf.DUMMYFUNCTION("""COMPUTED_VALUE"""),44743.699368692134)</f>
        <v>44743.69937</v>
      </c>
      <c r="B1117" s="24" t="str">
        <f>IFERROR(__xludf.DUMMYFUNCTION("""COMPUTED_VALUE"""),"Claire")</f>
        <v>Claire</v>
      </c>
      <c r="C1117" s="24">
        <f>IFERROR(__xludf.DUMMYFUNCTION("""COMPUTED_VALUE"""),511.0)</f>
        <v>511</v>
      </c>
      <c r="D1117" s="24" t="str">
        <f>IFERROR(__xludf.DUMMYFUNCTION("""COMPUTED_VALUE"""),"Dairy")</f>
        <v>Dairy</v>
      </c>
      <c r="F1117" s="23">
        <f>IFERROR(__xludf.DUMMYFUNCTION("""COMPUTED_VALUE"""),44766.657362743055)</f>
        <v>44766.65736</v>
      </c>
      <c r="G1117" s="24" t="str">
        <f>IFERROR(__xludf.DUMMYFUNCTION("""COMPUTED_VALUE"""),"Kaneesha ")</f>
        <v>Kaneesha </v>
      </c>
      <c r="H1117" s="24">
        <f>IFERROR(__xludf.DUMMYFUNCTION("""COMPUTED_VALUE"""),473.0)</f>
        <v>473</v>
      </c>
      <c r="I1117" s="24" t="str">
        <f>IFERROR(__xludf.DUMMYFUNCTION("""COMPUTED_VALUE"""),"Amazon")</f>
        <v>Amazon</v>
      </c>
    </row>
    <row r="1118">
      <c r="A1118" s="23">
        <f>IFERROR(__xludf.DUMMYFUNCTION("""COMPUTED_VALUE"""),44744.75243797454)</f>
        <v>44744.75244</v>
      </c>
      <c r="B1118" s="24" t="str">
        <f>IFERROR(__xludf.DUMMYFUNCTION("""COMPUTED_VALUE"""),"Claire")</f>
        <v>Claire</v>
      </c>
      <c r="C1118" s="24">
        <f>IFERROR(__xludf.DUMMYFUNCTION("""COMPUTED_VALUE"""),384.0)</f>
        <v>384</v>
      </c>
      <c r="D1118" s="24" t="str">
        <f>IFERROR(__xludf.DUMMYFUNCTION("""COMPUTED_VALUE"""),"Frozen")</f>
        <v>Frozen</v>
      </c>
      <c r="F1118" s="23">
        <f>IFERROR(__xludf.DUMMYFUNCTION("""COMPUTED_VALUE"""),44766.65937538195)</f>
        <v>44766.65938</v>
      </c>
      <c r="G1118" s="24" t="str">
        <f>IFERROR(__xludf.DUMMYFUNCTION("""COMPUTED_VALUE"""),"Kaneesha ")</f>
        <v>Kaneesha </v>
      </c>
      <c r="H1118" s="24">
        <f>IFERROR(__xludf.DUMMYFUNCTION("""COMPUTED_VALUE"""),582.0)</f>
        <v>582</v>
      </c>
      <c r="I1118" s="24" t="str">
        <f>IFERROR(__xludf.DUMMYFUNCTION("""COMPUTED_VALUE"""),"Amazon")</f>
        <v>Amazon</v>
      </c>
    </row>
    <row r="1119">
      <c r="A1119" s="23">
        <f>IFERROR(__xludf.DUMMYFUNCTION("""COMPUTED_VALUE"""),44744.75286047454)</f>
        <v>44744.75286</v>
      </c>
      <c r="B1119" s="24" t="str">
        <f>IFERROR(__xludf.DUMMYFUNCTION("""COMPUTED_VALUE"""),"Claire")</f>
        <v>Claire</v>
      </c>
      <c r="C1119" s="24">
        <f>IFERROR(__xludf.DUMMYFUNCTION("""COMPUTED_VALUE"""),456.0)</f>
        <v>456</v>
      </c>
      <c r="D1119" s="24" t="str">
        <f>IFERROR(__xludf.DUMMYFUNCTION("""COMPUTED_VALUE"""),"Produce")</f>
        <v>Produce</v>
      </c>
      <c r="F1119" s="23">
        <f>IFERROR(__xludf.DUMMYFUNCTION("""COMPUTED_VALUE"""),44766.661639467595)</f>
        <v>44766.66164</v>
      </c>
      <c r="G1119" s="24" t="str">
        <f>IFERROR(__xludf.DUMMYFUNCTION("""COMPUTED_VALUE"""),"Kaneesha ")</f>
        <v>Kaneesha </v>
      </c>
      <c r="H1119" s="24">
        <f>IFERROR(__xludf.DUMMYFUNCTION("""COMPUTED_VALUE"""),860.0)</f>
        <v>860</v>
      </c>
      <c r="I1119" s="24" t="str">
        <f>IFERROR(__xludf.DUMMYFUNCTION("""COMPUTED_VALUE"""),"Amazon")</f>
        <v>Amazon</v>
      </c>
    </row>
    <row r="1120">
      <c r="A1120" s="23">
        <f>IFERROR(__xludf.DUMMYFUNCTION("""COMPUTED_VALUE"""),44744.75898467593)</f>
        <v>44744.75898</v>
      </c>
      <c r="B1120" s="24" t="str">
        <f>IFERROR(__xludf.DUMMYFUNCTION("""COMPUTED_VALUE"""),"Claire")</f>
        <v>Claire</v>
      </c>
      <c r="C1120" s="24">
        <f>IFERROR(__xludf.DUMMYFUNCTION("""COMPUTED_VALUE"""),221.0)</f>
        <v>221</v>
      </c>
      <c r="D1120" s="24" t="str">
        <f>IFERROR(__xludf.DUMMYFUNCTION("""COMPUTED_VALUE"""),"Paper products")</f>
        <v>Paper products</v>
      </c>
      <c r="F1120" s="23">
        <f>IFERROR(__xludf.DUMMYFUNCTION("""COMPUTED_VALUE"""),44766.67847775463)</f>
        <v>44766.67848</v>
      </c>
      <c r="G1120" s="24" t="str">
        <f>IFERROR(__xludf.DUMMYFUNCTION("""COMPUTED_VALUE"""),"Travis")</f>
        <v>Travis</v>
      </c>
      <c r="H1120" s="24">
        <f>IFERROR(__xludf.DUMMYFUNCTION("""COMPUTED_VALUE"""),22.0)</f>
        <v>22</v>
      </c>
      <c r="I1120" s="24" t="str">
        <f>IFERROR(__xludf.DUMMYFUNCTION("""COMPUTED_VALUE"""),"Assorted option")</f>
        <v>Assorted option</v>
      </c>
    </row>
    <row r="1121">
      <c r="A1121" s="23">
        <f>IFERROR(__xludf.DUMMYFUNCTION("""COMPUTED_VALUE"""),44744.75942453704)</f>
        <v>44744.75942</v>
      </c>
      <c r="B1121" s="24" t="str">
        <f>IFERROR(__xludf.DUMMYFUNCTION("""COMPUTED_VALUE"""),"Claire")</f>
        <v>Claire</v>
      </c>
      <c r="C1121" s="24">
        <f>IFERROR(__xludf.DUMMYFUNCTION("""COMPUTED_VALUE"""),1379.0)</f>
        <v>1379</v>
      </c>
      <c r="D1121" s="24" t="str">
        <f>IFERROR(__xludf.DUMMYFUNCTION("""COMPUTED_VALUE"""),"Pet supplies")</f>
        <v>Pet supplies</v>
      </c>
      <c r="F1121" s="23">
        <f>IFERROR(__xludf.DUMMYFUNCTION("""COMPUTED_VALUE"""),44766.68049740741)</f>
        <v>44766.6805</v>
      </c>
      <c r="G1121" s="24" t="str">
        <f>IFERROR(__xludf.DUMMYFUNCTION("""COMPUTED_VALUE"""),"Kaneesha ")</f>
        <v>Kaneesha </v>
      </c>
      <c r="H1121" s="24">
        <f>IFERROR(__xludf.DUMMYFUNCTION("""COMPUTED_VALUE"""),20.0)</f>
        <v>20</v>
      </c>
      <c r="I1121" s="24"/>
    </row>
    <row r="1122">
      <c r="A1122" s="23">
        <f>IFERROR(__xludf.DUMMYFUNCTION("""COMPUTED_VALUE"""),44744.759961041666)</f>
        <v>44744.75996</v>
      </c>
      <c r="B1122" s="24" t="str">
        <f>IFERROR(__xludf.DUMMYFUNCTION("""COMPUTED_VALUE"""),"Claire")</f>
        <v>Claire</v>
      </c>
      <c r="C1122" s="24">
        <f>IFERROR(__xludf.DUMMYFUNCTION("""COMPUTED_VALUE"""),1210.0)</f>
        <v>1210</v>
      </c>
      <c r="D1122" s="24" t="str">
        <f>IFERROR(__xludf.DUMMYFUNCTION("""COMPUTED_VALUE"""),"Cleaning")</f>
        <v>Cleaning</v>
      </c>
      <c r="F1122" s="23">
        <f>IFERROR(__xludf.DUMMYFUNCTION("""COMPUTED_VALUE"""),44766.680631574076)</f>
        <v>44766.68063</v>
      </c>
      <c r="G1122" s="24" t="str">
        <f>IFERROR(__xludf.DUMMYFUNCTION("""COMPUTED_VALUE"""),"Kaneesha ")</f>
        <v>Kaneesha </v>
      </c>
      <c r="H1122" s="24">
        <f>IFERROR(__xludf.DUMMYFUNCTION("""COMPUTED_VALUE"""),30.0)</f>
        <v>30</v>
      </c>
      <c r="I1122" s="24"/>
    </row>
    <row r="1123">
      <c r="A1123" s="23">
        <f>IFERROR(__xludf.DUMMYFUNCTION("""COMPUTED_VALUE"""),44744.760634652775)</f>
        <v>44744.76063</v>
      </c>
      <c r="B1123" s="24" t="str">
        <f>IFERROR(__xludf.DUMMYFUNCTION("""COMPUTED_VALUE"""),"Claire")</f>
        <v>Claire</v>
      </c>
      <c r="C1123" s="24">
        <f>IFERROR(__xludf.DUMMYFUNCTION("""COMPUTED_VALUE"""),1666.0)</f>
        <v>1666</v>
      </c>
      <c r="D1123" s="24" t="str">
        <f>IFERROR(__xludf.DUMMYFUNCTION("""COMPUTED_VALUE"""),"Drinks")</f>
        <v>Drinks</v>
      </c>
      <c r="F1123" s="23">
        <f>IFERROR(__xludf.DUMMYFUNCTION("""COMPUTED_VALUE"""),44766.690065625)</f>
        <v>44766.69007</v>
      </c>
      <c r="G1123" s="24" t="str">
        <f>IFERROR(__xludf.DUMMYFUNCTION("""COMPUTED_VALUE"""),"Shaneen ")</f>
        <v>Shaneen </v>
      </c>
      <c r="H1123" s="24">
        <f>IFERROR(__xludf.DUMMYFUNCTION("""COMPUTED_VALUE"""),20.0)</f>
        <v>20</v>
      </c>
      <c r="I1123" s="24"/>
    </row>
    <row r="1124">
      <c r="A1124" s="23">
        <f>IFERROR(__xludf.DUMMYFUNCTION("""COMPUTED_VALUE"""),44744.76100010416)</f>
        <v>44744.761</v>
      </c>
      <c r="B1124" s="24" t="str">
        <f>IFERROR(__xludf.DUMMYFUNCTION("""COMPUTED_VALUE"""),"Claire")</f>
        <v>Claire</v>
      </c>
      <c r="C1124" s="24">
        <f>IFERROR(__xludf.DUMMYFUNCTION("""COMPUTED_VALUE"""),1238.0)</f>
        <v>1238</v>
      </c>
      <c r="D1124" s="24" t="str">
        <f>IFERROR(__xludf.DUMMYFUNCTION("""COMPUTED_VALUE"""),"Drinks")</f>
        <v>Drinks</v>
      </c>
      <c r="F1124" s="23">
        <f>IFERROR(__xludf.DUMMYFUNCTION("""COMPUTED_VALUE"""),44766.69021479167)</f>
        <v>44766.69021</v>
      </c>
      <c r="G1124" s="24" t="str">
        <f>IFERROR(__xludf.DUMMYFUNCTION("""COMPUTED_VALUE"""),"Shaneen Expired")</f>
        <v>Shaneen Expired</v>
      </c>
      <c r="H1124" s="24">
        <f>IFERROR(__xludf.DUMMYFUNCTION("""COMPUTED_VALUE"""),32.0)</f>
        <v>32</v>
      </c>
      <c r="I1124" s="24"/>
    </row>
    <row r="1125">
      <c r="A1125" s="23">
        <f>IFERROR(__xludf.DUMMYFUNCTION("""COMPUTED_VALUE"""),44744.761409224535)</f>
        <v>44744.76141</v>
      </c>
      <c r="B1125" s="24" t="str">
        <f>IFERROR(__xludf.DUMMYFUNCTION("""COMPUTED_VALUE"""),"Claire")</f>
        <v>Claire</v>
      </c>
      <c r="C1125" s="24">
        <f>IFERROR(__xludf.DUMMYFUNCTION("""COMPUTED_VALUE"""),164.0)</f>
        <v>164</v>
      </c>
      <c r="D1125" s="24" t="str">
        <f>IFERROR(__xludf.DUMMYFUNCTION("""COMPUTED_VALUE"""),"Paper products")</f>
        <v>Paper products</v>
      </c>
      <c r="F1125" s="23">
        <f>IFERROR(__xludf.DUMMYFUNCTION("""COMPUTED_VALUE"""),44768.0)</f>
        <v>44768</v>
      </c>
      <c r="G1125" s="24" t="str">
        <f>IFERROR(__xludf.DUMMYFUNCTION("""COMPUTED_VALUE"""),"Doris Parker Tuggle")</f>
        <v>Doris Parker Tuggle</v>
      </c>
      <c r="H1125" s="24">
        <f>IFERROR(__xludf.DUMMYFUNCTION("""COMPUTED_VALUE"""),16.0)</f>
        <v>16</v>
      </c>
      <c r="I1125" s="24"/>
    </row>
    <row r="1126">
      <c r="A1126" s="23">
        <f>IFERROR(__xludf.DUMMYFUNCTION("""COMPUTED_VALUE"""),44744.76251921296)</f>
        <v>44744.76252</v>
      </c>
      <c r="B1126" s="24" t="str">
        <f>IFERROR(__xludf.DUMMYFUNCTION("""COMPUTED_VALUE"""),"Claire")</f>
        <v>Claire</v>
      </c>
      <c r="C1126" s="24">
        <f>IFERROR(__xludf.DUMMYFUNCTION("""COMPUTED_VALUE"""),502.0)</f>
        <v>502</v>
      </c>
      <c r="D1126" s="24" t="str">
        <f>IFERROR(__xludf.DUMMYFUNCTION("""COMPUTED_VALUE"""),"Grains (rice, pasta, etc.)")</f>
        <v>Grains (rice, pasta, etc.)</v>
      </c>
      <c r="F1126" s="23">
        <f>IFERROR(__xludf.DUMMYFUNCTION("""COMPUTED_VALUE"""),44768.0)</f>
        <v>44768</v>
      </c>
      <c r="G1126" s="24" t="str">
        <f>IFERROR(__xludf.DUMMYFUNCTION("""COMPUTED_VALUE"""),"Doris Parker Tuggle")</f>
        <v>Doris Parker Tuggle</v>
      </c>
      <c r="H1126" s="24">
        <f>IFERROR(__xludf.DUMMYFUNCTION("""COMPUTED_VALUE"""),4.0)</f>
        <v>4</v>
      </c>
      <c r="I1126" s="24"/>
    </row>
    <row r="1127">
      <c r="A1127" s="23">
        <f>IFERROR(__xludf.DUMMYFUNCTION("""COMPUTED_VALUE"""),44744.76225811343)</f>
        <v>44744.76226</v>
      </c>
      <c r="B1127" s="24" t="str">
        <f>IFERROR(__xludf.DUMMYFUNCTION("""COMPUTED_VALUE"""),"Claire")</f>
        <v>Claire</v>
      </c>
      <c r="C1127" s="24">
        <f>IFERROR(__xludf.DUMMYFUNCTION("""COMPUTED_VALUE"""),371.0)</f>
        <v>371</v>
      </c>
      <c r="D1127" s="24" t="str">
        <f>IFERROR(__xludf.DUMMYFUNCTION("""COMPUTED_VALUE"""),"Baby products")</f>
        <v>Baby products</v>
      </c>
      <c r="F1127" s="23">
        <f>IFERROR(__xludf.DUMMYFUNCTION("""COMPUTED_VALUE"""),44768.0)</f>
        <v>44768</v>
      </c>
      <c r="G1127" s="24" t="str">
        <f>IFERROR(__xludf.DUMMYFUNCTION("""COMPUTED_VALUE"""),"Hong Xue")</f>
        <v>Hong Xue</v>
      </c>
      <c r="H1127" s="24">
        <f>IFERROR(__xludf.DUMMYFUNCTION("""COMPUTED_VALUE"""),20.5)</f>
        <v>20.5</v>
      </c>
      <c r="I1127" s="24"/>
    </row>
    <row r="1128">
      <c r="A1128" s="23">
        <f>IFERROR(__xludf.DUMMYFUNCTION("""COMPUTED_VALUE"""),44744.76196413195)</f>
        <v>44744.76196</v>
      </c>
      <c r="B1128" s="24" t="str">
        <f>IFERROR(__xludf.DUMMYFUNCTION("""COMPUTED_VALUE"""),"Claire")</f>
        <v>Claire</v>
      </c>
      <c r="C1128" s="24">
        <f>IFERROR(__xludf.DUMMYFUNCTION("""COMPUTED_VALUE"""),600.0)</f>
        <v>600</v>
      </c>
      <c r="D1128" s="24" t="str">
        <f>IFERROR(__xludf.DUMMYFUNCTION("""COMPUTED_VALUE"""),"Snacks")</f>
        <v>Snacks</v>
      </c>
      <c r="F1128" s="23">
        <f>IFERROR(__xludf.DUMMYFUNCTION("""COMPUTED_VALUE"""),44768.0)</f>
        <v>44768</v>
      </c>
      <c r="G1128" s="24" t="str">
        <f>IFERROR(__xludf.DUMMYFUNCTION("""COMPUTED_VALUE"""),"Hong Xue")</f>
        <v>Hong Xue</v>
      </c>
      <c r="H1128" s="24">
        <f>IFERROR(__xludf.DUMMYFUNCTION("""COMPUTED_VALUE"""),17.0)</f>
        <v>17</v>
      </c>
      <c r="I1128" s="24"/>
    </row>
    <row r="1129">
      <c r="A1129" s="23">
        <f>IFERROR(__xludf.DUMMYFUNCTION("""COMPUTED_VALUE"""),44744.762745081025)</f>
        <v>44744.76275</v>
      </c>
      <c r="B1129" s="24" t="str">
        <f>IFERROR(__xludf.DUMMYFUNCTION("""COMPUTED_VALUE"""),"Claire")</f>
        <v>Claire</v>
      </c>
      <c r="C1129" s="24">
        <f>IFERROR(__xludf.DUMMYFUNCTION("""COMPUTED_VALUE"""),866.0)</f>
        <v>866</v>
      </c>
      <c r="D1129" s="24" t="str">
        <f>IFERROR(__xludf.DUMMYFUNCTION("""COMPUTED_VALUE"""),"Produce")</f>
        <v>Produce</v>
      </c>
      <c r="F1129" s="23">
        <f>IFERROR(__xludf.DUMMYFUNCTION("""COMPUTED_VALUE"""),44768.0)</f>
        <v>44768</v>
      </c>
      <c r="G1129" s="24" t="str">
        <f>IFERROR(__xludf.DUMMYFUNCTION("""COMPUTED_VALUE"""),"Marci")</f>
        <v>Marci</v>
      </c>
      <c r="H1129" s="24">
        <f>IFERROR(__xludf.DUMMYFUNCTION("""COMPUTED_VALUE"""),20.0)</f>
        <v>20</v>
      </c>
      <c r="I1129" s="24"/>
    </row>
    <row r="1130">
      <c r="A1130" s="23">
        <f>IFERROR(__xludf.DUMMYFUNCTION("""COMPUTED_VALUE"""),44744.76299180555)</f>
        <v>44744.76299</v>
      </c>
      <c r="B1130" s="24" t="str">
        <f>IFERROR(__xludf.DUMMYFUNCTION("""COMPUTED_VALUE"""),"Claire")</f>
        <v>Claire</v>
      </c>
      <c r="C1130" s="24">
        <f>IFERROR(__xludf.DUMMYFUNCTION("""COMPUTED_VALUE"""),197.0)</f>
        <v>197</v>
      </c>
      <c r="D1130" s="24" t="str">
        <f>IFERROR(__xludf.DUMMYFUNCTION("""COMPUTED_VALUE"""),"Meat")</f>
        <v>Meat</v>
      </c>
      <c r="F1130" s="23">
        <f>IFERROR(__xludf.DUMMYFUNCTION("""COMPUTED_VALUE"""),44768.0)</f>
        <v>44768</v>
      </c>
      <c r="G1130" s="24" t="str">
        <f>IFERROR(__xludf.DUMMYFUNCTION("""COMPUTED_VALUE"""),"Marci")</f>
        <v>Marci</v>
      </c>
      <c r="H1130" s="24">
        <f>IFERROR(__xludf.DUMMYFUNCTION("""COMPUTED_VALUE"""),24.0)</f>
        <v>24</v>
      </c>
      <c r="I1130" s="24"/>
    </row>
    <row r="1131">
      <c r="A1131" s="23">
        <f>IFERROR(__xludf.DUMMYFUNCTION("""COMPUTED_VALUE"""),44744.76334760417)</f>
        <v>44744.76335</v>
      </c>
      <c r="B1131" s="24" t="str">
        <f>IFERROR(__xludf.DUMMYFUNCTION("""COMPUTED_VALUE"""),"Claire")</f>
        <v>Claire</v>
      </c>
      <c r="C1131" s="24">
        <f>IFERROR(__xludf.DUMMYFUNCTION("""COMPUTED_VALUE"""),853.0)</f>
        <v>853</v>
      </c>
      <c r="D1131" s="24" t="str">
        <f>IFERROR(__xludf.DUMMYFUNCTION("""COMPUTED_VALUE"""),"Produce")</f>
        <v>Produce</v>
      </c>
      <c r="F1131" s="23">
        <f>IFERROR(__xludf.DUMMYFUNCTION("""COMPUTED_VALUE"""),44768.64420043982)</f>
        <v>44768.6442</v>
      </c>
      <c r="G1131" s="24" t="str">
        <f>IFERROR(__xludf.DUMMYFUNCTION("""COMPUTED_VALUE"""),"Kaneesha ")</f>
        <v>Kaneesha </v>
      </c>
      <c r="H1131" s="24">
        <f>IFERROR(__xludf.DUMMYFUNCTION("""COMPUTED_VALUE"""),20.0)</f>
        <v>20</v>
      </c>
      <c r="I1131" s="24"/>
    </row>
    <row r="1132">
      <c r="A1132" s="23">
        <f>IFERROR(__xludf.DUMMYFUNCTION("""COMPUTED_VALUE"""),44744.763562418986)</f>
        <v>44744.76356</v>
      </c>
      <c r="B1132" s="24" t="str">
        <f>IFERROR(__xludf.DUMMYFUNCTION("""COMPUTED_VALUE"""),"Claire")</f>
        <v>Claire</v>
      </c>
      <c r="C1132" s="24">
        <f>IFERROR(__xludf.DUMMYFUNCTION("""COMPUTED_VALUE"""),639.0)</f>
        <v>639</v>
      </c>
      <c r="D1132" s="24" t="str">
        <f>IFERROR(__xludf.DUMMYFUNCTION("""COMPUTED_VALUE"""),"Frozen")</f>
        <v>Frozen</v>
      </c>
      <c r="F1132" s="23">
        <f>IFERROR(__xludf.DUMMYFUNCTION("""COMPUTED_VALUE"""),44768.64452508102)</f>
        <v>44768.64453</v>
      </c>
      <c r="G1132" s="24" t="str">
        <f>IFERROR(__xludf.DUMMYFUNCTION("""COMPUTED_VALUE"""),"Kaneesha ")</f>
        <v>Kaneesha </v>
      </c>
      <c r="H1132" s="24">
        <f>IFERROR(__xludf.DUMMYFUNCTION("""COMPUTED_VALUE"""),13.0)</f>
        <v>13</v>
      </c>
      <c r="I1132" s="24"/>
    </row>
    <row r="1133">
      <c r="A1133" s="23">
        <f>IFERROR(__xludf.DUMMYFUNCTION("""COMPUTED_VALUE"""),44744.76392236111)</f>
        <v>44744.76392</v>
      </c>
      <c r="B1133" s="24" t="str">
        <f>IFERROR(__xludf.DUMMYFUNCTION("""COMPUTED_VALUE"""),"Claire")</f>
        <v>Claire</v>
      </c>
      <c r="C1133" s="24">
        <f>IFERROR(__xludf.DUMMYFUNCTION("""COMPUTED_VALUE"""),710.0)</f>
        <v>710</v>
      </c>
      <c r="D1133" s="24" t="str">
        <f>IFERROR(__xludf.DUMMYFUNCTION("""COMPUTED_VALUE"""),"Meat")</f>
        <v>Meat</v>
      </c>
      <c r="F1133" s="23">
        <f>IFERROR(__xludf.DUMMYFUNCTION("""COMPUTED_VALUE"""),44768.64691315972)</f>
        <v>44768.64691</v>
      </c>
      <c r="G1133" s="24" t="str">
        <f>IFERROR(__xludf.DUMMYFUNCTION("""COMPUTED_VALUE"""),"Jean")</f>
        <v>Jean</v>
      </c>
      <c r="H1133" s="24">
        <f>IFERROR(__xludf.DUMMYFUNCTION("""COMPUTED_VALUE"""),19.0)</f>
        <v>19</v>
      </c>
      <c r="I1133" s="24"/>
    </row>
    <row r="1134">
      <c r="A1134" s="23">
        <f>IFERROR(__xludf.DUMMYFUNCTION("""COMPUTED_VALUE"""),44744.764121354165)</f>
        <v>44744.76412</v>
      </c>
      <c r="B1134" s="24" t="str">
        <f>IFERROR(__xludf.DUMMYFUNCTION("""COMPUTED_VALUE"""),"Claire")</f>
        <v>Claire</v>
      </c>
      <c r="C1134" s="24">
        <f>IFERROR(__xludf.DUMMYFUNCTION("""COMPUTED_VALUE"""),660.0)</f>
        <v>660</v>
      </c>
      <c r="D1134" s="24" t="str">
        <f>IFERROR(__xludf.DUMMYFUNCTION("""COMPUTED_VALUE"""),"Frozen")</f>
        <v>Frozen</v>
      </c>
      <c r="F1134" s="23">
        <f>IFERROR(__xludf.DUMMYFUNCTION("""COMPUTED_VALUE"""),44768.647473206016)</f>
        <v>44768.64747</v>
      </c>
      <c r="G1134" s="24" t="str">
        <f>IFERROR(__xludf.DUMMYFUNCTION("""COMPUTED_VALUE"""),"Jean")</f>
        <v>Jean</v>
      </c>
      <c r="H1134" s="24">
        <f>IFERROR(__xludf.DUMMYFUNCTION("""COMPUTED_VALUE"""),17.0)</f>
        <v>17</v>
      </c>
      <c r="I1134" s="24"/>
    </row>
    <row r="1135">
      <c r="A1135" s="23">
        <f>IFERROR(__xludf.DUMMYFUNCTION("""COMPUTED_VALUE"""),44744.764443680564)</f>
        <v>44744.76444</v>
      </c>
      <c r="B1135" s="24" t="str">
        <f>IFERROR(__xludf.DUMMYFUNCTION("""COMPUTED_VALUE"""),"Claire")</f>
        <v>Claire</v>
      </c>
      <c r="C1135" s="24">
        <f>IFERROR(__xludf.DUMMYFUNCTION("""COMPUTED_VALUE"""),1157.0)</f>
        <v>1157</v>
      </c>
      <c r="D1135" s="24" t="str">
        <f>IFERROR(__xludf.DUMMYFUNCTION("""COMPUTED_VALUE"""),"Frozen")</f>
        <v>Frozen</v>
      </c>
      <c r="F1135" s="23">
        <f>IFERROR(__xludf.DUMMYFUNCTION("""COMPUTED_VALUE"""),44768.648246793986)</f>
        <v>44768.64825</v>
      </c>
      <c r="G1135" s="24" t="str">
        <f>IFERROR(__xludf.DUMMYFUNCTION("""COMPUTED_VALUE"""),"Beverly Pinn")</f>
        <v>Beverly Pinn</v>
      </c>
      <c r="H1135" s="24">
        <f>IFERROR(__xludf.DUMMYFUNCTION("""COMPUTED_VALUE"""),18.0)</f>
        <v>18</v>
      </c>
      <c r="I1135" s="24"/>
    </row>
    <row r="1136">
      <c r="A1136" s="23">
        <f>IFERROR(__xludf.DUMMYFUNCTION("""COMPUTED_VALUE"""),44744.76486056713)</f>
        <v>44744.76486</v>
      </c>
      <c r="B1136" s="24" t="str">
        <f>IFERROR(__xludf.DUMMYFUNCTION("""COMPUTED_VALUE"""),"Claire")</f>
        <v>Claire</v>
      </c>
      <c r="C1136" s="24">
        <f>IFERROR(__xludf.DUMMYFUNCTION("""COMPUTED_VALUE"""),230.0)</f>
        <v>230</v>
      </c>
      <c r="D1136" s="24" t="str">
        <f>IFERROR(__xludf.DUMMYFUNCTION("""COMPUTED_VALUE"""),"Paper products")</f>
        <v>Paper products</v>
      </c>
      <c r="F1136" s="23">
        <f>IFERROR(__xludf.DUMMYFUNCTION("""COMPUTED_VALUE"""),44768.742607615735)</f>
        <v>44768.74261</v>
      </c>
      <c r="G1136" s="24" t="str">
        <f>IFERROR(__xludf.DUMMYFUNCTION("""COMPUTED_VALUE"""),"Beverly Pinn")</f>
        <v>Beverly Pinn</v>
      </c>
      <c r="H1136" s="24">
        <f>IFERROR(__xludf.DUMMYFUNCTION("""COMPUTED_VALUE"""),9.0)</f>
        <v>9</v>
      </c>
      <c r="I1136" s="24"/>
    </row>
    <row r="1137">
      <c r="A1137" s="23">
        <f>IFERROR(__xludf.DUMMYFUNCTION("""COMPUTED_VALUE"""),44744.76511053241)</f>
        <v>44744.76511</v>
      </c>
      <c r="B1137" s="24" t="str">
        <f>IFERROR(__xludf.DUMMYFUNCTION("""COMPUTED_VALUE"""),"Claire")</f>
        <v>Claire</v>
      </c>
      <c r="C1137" s="24">
        <f>IFERROR(__xludf.DUMMYFUNCTION("""COMPUTED_VALUE"""),237.0)</f>
        <v>237</v>
      </c>
      <c r="D1137" s="24" t="str">
        <f>IFERROR(__xludf.DUMMYFUNCTION("""COMPUTED_VALUE"""),"Paper products")</f>
        <v>Paper products</v>
      </c>
      <c r="F1137" s="23">
        <f>IFERROR(__xludf.DUMMYFUNCTION("""COMPUTED_VALUE"""),44769.0)</f>
        <v>44769</v>
      </c>
      <c r="G1137" s="24" t="str">
        <f>IFERROR(__xludf.DUMMYFUNCTION("""COMPUTED_VALUE"""),"Juanita C")</f>
        <v>Juanita C</v>
      </c>
      <c r="H1137" s="24">
        <f>IFERROR(__xludf.DUMMYFUNCTION("""COMPUTED_VALUE"""),28.0)</f>
        <v>28</v>
      </c>
      <c r="I1137" s="24"/>
    </row>
    <row r="1138">
      <c r="A1138" s="23">
        <f>IFERROR(__xludf.DUMMYFUNCTION("""COMPUTED_VALUE"""),44744.76532571759)</f>
        <v>44744.76533</v>
      </c>
      <c r="B1138" s="24" t="str">
        <f>IFERROR(__xludf.DUMMYFUNCTION("""COMPUTED_VALUE"""),"Claire")</f>
        <v>Claire</v>
      </c>
      <c r="C1138" s="24">
        <f>IFERROR(__xludf.DUMMYFUNCTION("""COMPUTED_VALUE"""),721.0)</f>
        <v>721</v>
      </c>
      <c r="D1138" s="24" t="str">
        <f>IFERROR(__xludf.DUMMYFUNCTION("""COMPUTED_VALUE"""),"Cleaning")</f>
        <v>Cleaning</v>
      </c>
      <c r="F1138" s="23">
        <f>IFERROR(__xludf.DUMMYFUNCTION("""COMPUTED_VALUE"""),44769.0)</f>
        <v>44769</v>
      </c>
      <c r="G1138" s="24" t="str">
        <f>IFERROR(__xludf.DUMMYFUNCTION("""COMPUTED_VALUE"""),"Polaire Woods")</f>
        <v>Polaire Woods</v>
      </c>
      <c r="H1138" s="24">
        <f>IFERROR(__xludf.DUMMYFUNCTION("""COMPUTED_VALUE"""),20.0)</f>
        <v>20</v>
      </c>
      <c r="I1138" s="24"/>
    </row>
    <row r="1139">
      <c r="A1139" s="23">
        <f>IFERROR(__xludf.DUMMYFUNCTION("""COMPUTED_VALUE"""),44744.76561023148)</f>
        <v>44744.76561</v>
      </c>
      <c r="B1139" s="24" t="str">
        <f>IFERROR(__xludf.DUMMYFUNCTION("""COMPUTED_VALUE"""),"Claire")</f>
        <v>Claire</v>
      </c>
      <c r="C1139" s="24">
        <f>IFERROR(__xludf.DUMMYFUNCTION("""COMPUTED_VALUE"""),872.0)</f>
        <v>872</v>
      </c>
      <c r="D1139" s="24" t="str">
        <f>IFERROR(__xludf.DUMMYFUNCTION("""COMPUTED_VALUE"""),"Frozen")</f>
        <v>Frozen</v>
      </c>
      <c r="F1139" s="23">
        <f>IFERROR(__xludf.DUMMYFUNCTION("""COMPUTED_VALUE"""),44769.0)</f>
        <v>44769</v>
      </c>
      <c r="G1139" s="24" t="str">
        <f>IFERROR(__xludf.DUMMYFUNCTION("""COMPUTED_VALUE"""),"Dee Satterfield")</f>
        <v>Dee Satterfield</v>
      </c>
      <c r="H1139" s="24">
        <f>IFERROR(__xludf.DUMMYFUNCTION("""COMPUTED_VALUE"""),20.0)</f>
        <v>20</v>
      </c>
      <c r="I1139" s="24"/>
    </row>
    <row r="1140">
      <c r="A1140" s="23">
        <f>IFERROR(__xludf.DUMMYFUNCTION("""COMPUTED_VALUE"""),44744.76588041667)</f>
        <v>44744.76588</v>
      </c>
      <c r="B1140" s="24" t="str">
        <f>IFERROR(__xludf.DUMMYFUNCTION("""COMPUTED_VALUE"""),"Claire")</f>
        <v>Claire</v>
      </c>
      <c r="C1140" s="24">
        <f>IFERROR(__xludf.DUMMYFUNCTION("""COMPUTED_VALUE"""),542.0)</f>
        <v>542</v>
      </c>
      <c r="D1140" s="24" t="str">
        <f>IFERROR(__xludf.DUMMYFUNCTION("""COMPUTED_VALUE"""),"Produce")</f>
        <v>Produce</v>
      </c>
      <c r="F1140" s="23">
        <f>IFERROR(__xludf.DUMMYFUNCTION("""COMPUTED_VALUE"""),44769.0)</f>
        <v>44769</v>
      </c>
      <c r="G1140" s="24" t="str">
        <f>IFERROR(__xludf.DUMMYFUNCTION("""COMPUTED_VALUE"""),"Dee Satterfield")</f>
        <v>Dee Satterfield</v>
      </c>
      <c r="H1140" s="24">
        <f>IFERROR(__xludf.DUMMYFUNCTION("""COMPUTED_VALUE"""),22.0)</f>
        <v>22</v>
      </c>
      <c r="I1140" s="24"/>
    </row>
    <row r="1141">
      <c r="A1141" s="23">
        <f>IFERROR(__xludf.DUMMYFUNCTION("""COMPUTED_VALUE"""),44745.70388732639)</f>
        <v>44745.70389</v>
      </c>
      <c r="B1141" s="24" t="str">
        <f>IFERROR(__xludf.DUMMYFUNCTION("""COMPUTED_VALUE"""),"Zoe")</f>
        <v>Zoe</v>
      </c>
      <c r="C1141" s="24">
        <f>IFERROR(__xludf.DUMMYFUNCTION("""COMPUTED_VALUE"""),140.0)</f>
        <v>140</v>
      </c>
      <c r="D1141" s="24" t="str">
        <f>IFERROR(__xludf.DUMMYFUNCTION("""COMPUTED_VALUE"""),"Assorted option")</f>
        <v>Assorted option</v>
      </c>
      <c r="F1141" s="23">
        <f>IFERROR(__xludf.DUMMYFUNCTION("""COMPUTED_VALUE"""),44769.0)</f>
        <v>44769</v>
      </c>
      <c r="G1141" s="24" t="str">
        <f>IFERROR(__xludf.DUMMYFUNCTION("""COMPUTED_VALUE"""),"Cailyn Lawler")</f>
        <v>Cailyn Lawler</v>
      </c>
      <c r="H1141" s="24">
        <f>IFERROR(__xludf.DUMMYFUNCTION("""COMPUTED_VALUE"""),16.0)</f>
        <v>16</v>
      </c>
      <c r="I1141" s="24"/>
    </row>
    <row r="1142">
      <c r="A1142" s="23">
        <f>IFERROR(__xludf.DUMMYFUNCTION("""COMPUTED_VALUE"""),44745.70430754629)</f>
        <v>44745.70431</v>
      </c>
      <c r="B1142" s="24" t="str">
        <f>IFERROR(__xludf.DUMMYFUNCTION("""COMPUTED_VALUE"""),"Zoe")</f>
        <v>Zoe</v>
      </c>
      <c r="C1142" s="24">
        <f>IFERROR(__xludf.DUMMYFUNCTION("""COMPUTED_VALUE"""),-410.0)</f>
        <v>-410</v>
      </c>
      <c r="D1142" s="24" t="str">
        <f>IFERROR(__xludf.DUMMYFUNCTION("""COMPUTED_VALUE"""),"Drinks")</f>
        <v>Drinks</v>
      </c>
      <c r="F1142" s="23">
        <f>IFERROR(__xludf.DUMMYFUNCTION("""COMPUTED_VALUE"""),44769.0)</f>
        <v>44769</v>
      </c>
      <c r="G1142" s="24" t="str">
        <f>IFERROR(__xludf.DUMMYFUNCTION("""COMPUTED_VALUE"""),"Cailyn Lawler")</f>
        <v>Cailyn Lawler</v>
      </c>
      <c r="H1142" s="24">
        <f>IFERROR(__xludf.DUMMYFUNCTION("""COMPUTED_VALUE"""),10.0)</f>
        <v>10</v>
      </c>
      <c r="I1142" s="24"/>
    </row>
    <row r="1143">
      <c r="A1143" s="23">
        <f>IFERROR(__xludf.DUMMYFUNCTION("""COMPUTED_VALUE"""),44745.70501435185)</f>
        <v>44745.70501</v>
      </c>
      <c r="B1143" s="24" t="str">
        <f>IFERROR(__xludf.DUMMYFUNCTION("""COMPUTED_VALUE"""),"Zoe")</f>
        <v>Zoe</v>
      </c>
      <c r="C1143" s="24">
        <f>IFERROR(__xludf.DUMMYFUNCTION("""COMPUTED_VALUE"""),-73.0)</f>
        <v>-73</v>
      </c>
      <c r="D1143" s="24" t="str">
        <f>IFERROR(__xludf.DUMMYFUNCTION("""COMPUTED_VALUE"""),"Snacks")</f>
        <v>Snacks</v>
      </c>
      <c r="F1143" s="23">
        <f>IFERROR(__xludf.DUMMYFUNCTION("""COMPUTED_VALUE"""),44769.0)</f>
        <v>44769</v>
      </c>
      <c r="G1143" s="24" t="str">
        <f>IFERROR(__xludf.DUMMYFUNCTION("""COMPUTED_VALUE"""),"Melissa Thomas")</f>
        <v>Melissa Thomas</v>
      </c>
      <c r="H1143" s="24">
        <f>IFERROR(__xludf.DUMMYFUNCTION("""COMPUTED_VALUE"""),20.0)</f>
        <v>20</v>
      </c>
      <c r="I1143" s="24"/>
    </row>
    <row r="1144">
      <c r="A1144" s="23">
        <f>IFERROR(__xludf.DUMMYFUNCTION("""COMPUTED_VALUE"""),44745.705406712965)</f>
        <v>44745.70541</v>
      </c>
      <c r="B1144" s="24" t="str">
        <f>IFERROR(__xludf.DUMMYFUNCTION("""COMPUTED_VALUE"""),"Zoe")</f>
        <v>Zoe</v>
      </c>
      <c r="C1144" s="24">
        <f>IFERROR(__xludf.DUMMYFUNCTION("""COMPUTED_VALUE"""),-228.0)</f>
        <v>-228</v>
      </c>
      <c r="D1144" s="24" t="str">
        <f>IFERROR(__xludf.DUMMYFUNCTION("""COMPUTED_VALUE"""),"Paper")</f>
        <v>Paper</v>
      </c>
      <c r="F1144" s="23">
        <f>IFERROR(__xludf.DUMMYFUNCTION("""COMPUTED_VALUE"""),44769.0)</f>
        <v>44769</v>
      </c>
      <c r="G1144" s="24" t="str">
        <f>IFERROR(__xludf.DUMMYFUNCTION("""COMPUTED_VALUE"""),"Melissa Thomas")</f>
        <v>Melissa Thomas</v>
      </c>
      <c r="H1144" s="24">
        <f>IFERROR(__xludf.DUMMYFUNCTION("""COMPUTED_VALUE"""),26.0)</f>
        <v>26</v>
      </c>
      <c r="I1144" s="24"/>
    </row>
    <row r="1145">
      <c r="A1145" s="23">
        <f>IFERROR(__xludf.DUMMYFUNCTION("""COMPUTED_VALUE"""),44745.705769733795)</f>
        <v>44745.70577</v>
      </c>
      <c r="B1145" s="24" t="str">
        <f>IFERROR(__xludf.DUMMYFUNCTION("""COMPUTED_VALUE"""),"Zoe")</f>
        <v>Zoe</v>
      </c>
      <c r="C1145" s="24">
        <f>IFERROR(__xludf.DUMMYFUNCTION("""COMPUTED_VALUE"""),-474.0)</f>
        <v>-474</v>
      </c>
      <c r="D1145" s="24" t="str">
        <f>IFERROR(__xludf.DUMMYFUNCTION("""COMPUTED_VALUE"""),"Cleaning")</f>
        <v>Cleaning</v>
      </c>
      <c r="F1145" s="23">
        <f>IFERROR(__xludf.DUMMYFUNCTION("""COMPUTED_VALUE"""),44769.0)</f>
        <v>44769</v>
      </c>
      <c r="G1145" s="24" t="str">
        <f>IFERROR(__xludf.DUMMYFUNCTION("""COMPUTED_VALUE"""),"Karen Moore")</f>
        <v>Karen Moore</v>
      </c>
      <c r="H1145" s="24">
        <f>IFERROR(__xludf.DUMMYFUNCTION("""COMPUTED_VALUE"""),9.0)</f>
        <v>9</v>
      </c>
      <c r="I1145" s="24"/>
    </row>
    <row r="1146">
      <c r="A1146" s="23">
        <f>IFERROR(__xludf.DUMMYFUNCTION("""COMPUTED_VALUE"""),44745.70604443287)</f>
        <v>44745.70604</v>
      </c>
      <c r="B1146" s="24" t="str">
        <f>IFERROR(__xludf.DUMMYFUNCTION("""COMPUTED_VALUE"""),"Zoe")</f>
        <v>Zoe</v>
      </c>
      <c r="C1146" s="24">
        <f>IFERROR(__xludf.DUMMYFUNCTION("""COMPUTED_VALUE"""),-188.0)</f>
        <v>-188</v>
      </c>
      <c r="D1146" s="24" t="str">
        <f>IFERROR(__xludf.DUMMYFUNCTION("""COMPUTED_VALUE"""),"Grains (rice, pasta, etc.)")</f>
        <v>Grains (rice, pasta, etc.)</v>
      </c>
      <c r="F1146" s="23">
        <f>IFERROR(__xludf.DUMMYFUNCTION("""COMPUTED_VALUE"""),44769.0)</f>
        <v>44769</v>
      </c>
      <c r="G1146" s="24" t="str">
        <f>IFERROR(__xludf.DUMMYFUNCTION("""COMPUTED_VALUE"""),"Karen Moore")</f>
        <v>Karen Moore</v>
      </c>
      <c r="H1146" s="24">
        <f>IFERROR(__xludf.DUMMYFUNCTION("""COMPUTED_VALUE"""),17.0)</f>
        <v>17</v>
      </c>
      <c r="I1146" s="24"/>
    </row>
    <row r="1147">
      <c r="A1147" s="23">
        <f>IFERROR(__xludf.DUMMYFUNCTION("""COMPUTED_VALUE"""),44745.7067540162)</f>
        <v>44745.70675</v>
      </c>
      <c r="B1147" s="24" t="str">
        <f>IFERROR(__xludf.DUMMYFUNCTION("""COMPUTED_VALUE"""),"Zoe")</f>
        <v>Zoe</v>
      </c>
      <c r="C1147" s="24">
        <f>IFERROR(__xludf.DUMMYFUNCTION("""COMPUTED_VALUE"""),228.0)</f>
        <v>228</v>
      </c>
      <c r="D1147" s="24" t="str">
        <f>IFERROR(__xludf.DUMMYFUNCTION("""COMPUTED_VALUE"""),"Paper")</f>
        <v>Paper</v>
      </c>
      <c r="F1147" s="23">
        <f>IFERROR(__xludf.DUMMYFUNCTION("""COMPUTED_VALUE"""),44769.56498199074)</f>
        <v>44769.56498</v>
      </c>
      <c r="G1147" s="24" t="str">
        <f>IFERROR(__xludf.DUMMYFUNCTION("""COMPUTED_VALUE"""),"Bud- sisson St drinks")</f>
        <v>Bud- sisson St drinks</v>
      </c>
      <c r="H1147" s="24">
        <f>IFERROR(__xludf.DUMMYFUNCTION("""COMPUTED_VALUE"""),27.0)</f>
        <v>27</v>
      </c>
      <c r="I1147" s="24"/>
    </row>
    <row r="1148">
      <c r="A1148" s="23">
        <f>IFERROR(__xludf.DUMMYFUNCTION("""COMPUTED_VALUE"""),44745.70791748843)</f>
        <v>44745.70792</v>
      </c>
      <c r="B1148" s="24" t="str">
        <f>IFERROR(__xludf.DUMMYFUNCTION("""COMPUTED_VALUE"""),"Zoe")</f>
        <v>Zoe</v>
      </c>
      <c r="C1148" s="24">
        <f>IFERROR(__xludf.DUMMYFUNCTION("""COMPUTED_VALUE"""),410.0)</f>
        <v>410</v>
      </c>
      <c r="D1148" s="24" t="str">
        <f>IFERROR(__xludf.DUMMYFUNCTION("""COMPUTED_VALUE"""),"Drinks")</f>
        <v>Drinks</v>
      </c>
      <c r="F1148" s="23">
        <f>IFERROR(__xludf.DUMMYFUNCTION("""COMPUTED_VALUE"""),44769.620792326394)</f>
        <v>44769.62079</v>
      </c>
      <c r="G1148" s="24" t="str">
        <f>IFERROR(__xludf.DUMMYFUNCTION("""COMPUTED_VALUE"""),"Claire ")</f>
        <v>Claire </v>
      </c>
      <c r="H1148" s="24">
        <f>IFERROR(__xludf.DUMMYFUNCTION("""COMPUTED_VALUE"""),132.0)</f>
        <v>132</v>
      </c>
      <c r="I1148" s="24" t="str">
        <f>IFERROR(__xludf.DUMMYFUNCTION("""COMPUTED_VALUE"""),"Meat")</f>
        <v>Meat</v>
      </c>
    </row>
    <row r="1149">
      <c r="A1149" s="23">
        <f>IFERROR(__xludf.DUMMYFUNCTION("""COMPUTED_VALUE"""),44745.70902895833)</f>
        <v>44745.70903</v>
      </c>
      <c r="B1149" s="24" t="str">
        <f>IFERROR(__xludf.DUMMYFUNCTION("""COMPUTED_VALUE"""),"Zoe")</f>
        <v>Zoe</v>
      </c>
      <c r="C1149" s="24">
        <f>IFERROR(__xludf.DUMMYFUNCTION("""COMPUTED_VALUE"""),99.0)</f>
        <v>99</v>
      </c>
      <c r="D1149" s="24" t="str">
        <f>IFERROR(__xludf.DUMMYFUNCTION("""COMPUTED_VALUE"""),"Frozen")</f>
        <v>Frozen</v>
      </c>
      <c r="F1149" s="23">
        <f>IFERROR(__xludf.DUMMYFUNCTION("""COMPUTED_VALUE"""),44769.621106134255)</f>
        <v>44769.62111</v>
      </c>
      <c r="G1149" s="24" t="str">
        <f>IFERROR(__xludf.DUMMYFUNCTION("""COMPUTED_VALUE"""),"Claire")</f>
        <v>Claire</v>
      </c>
      <c r="H1149" s="24">
        <f>IFERROR(__xludf.DUMMYFUNCTION("""COMPUTED_VALUE"""),400.0)</f>
        <v>400</v>
      </c>
      <c r="I1149" s="24" t="str">
        <f>IFERROR(__xludf.DUMMYFUNCTION("""COMPUTED_VALUE"""),"Produce")</f>
        <v>Produce</v>
      </c>
    </row>
    <row r="1150">
      <c r="A1150" s="23">
        <f>IFERROR(__xludf.DUMMYFUNCTION("""COMPUTED_VALUE"""),44745.710380254626)</f>
        <v>44745.71038</v>
      </c>
      <c r="B1150" s="24" t="str">
        <f>IFERROR(__xludf.DUMMYFUNCTION("""COMPUTED_VALUE"""),"Ausar ")</f>
        <v>Ausar </v>
      </c>
      <c r="C1150" s="24">
        <f>IFERROR(__xludf.DUMMYFUNCTION("""COMPUTED_VALUE"""),41.0)</f>
        <v>41</v>
      </c>
      <c r="D1150" s="24" t="str">
        <f>IFERROR(__xludf.DUMMYFUNCTION("""COMPUTED_VALUE"""),"Baby products ")</f>
        <v>Baby products </v>
      </c>
      <c r="F1150" s="23">
        <f>IFERROR(__xludf.DUMMYFUNCTION("""COMPUTED_VALUE"""),44769.62129571759)</f>
        <v>44769.6213</v>
      </c>
      <c r="G1150" s="24" t="str">
        <f>IFERROR(__xludf.DUMMYFUNCTION("""COMPUTED_VALUE"""),"Claire")</f>
        <v>Claire</v>
      </c>
      <c r="H1150" s="24">
        <f>IFERROR(__xludf.DUMMYFUNCTION("""COMPUTED_VALUE"""),415.0)</f>
        <v>415</v>
      </c>
      <c r="I1150" s="24" t="str">
        <f>IFERROR(__xludf.DUMMYFUNCTION("""COMPUTED_VALUE"""),"Dairy")</f>
        <v>Dairy</v>
      </c>
    </row>
    <row r="1151">
      <c r="A1151" s="23">
        <f>IFERROR(__xludf.DUMMYFUNCTION("""COMPUTED_VALUE"""),44745.714328043985)</f>
        <v>44745.71433</v>
      </c>
      <c r="B1151" s="24" t="str">
        <f>IFERROR(__xludf.DUMMYFUNCTION("""COMPUTED_VALUE"""),"Ausar ")</f>
        <v>Ausar </v>
      </c>
      <c r="C1151" s="24">
        <f>IFERROR(__xludf.DUMMYFUNCTION("""COMPUTED_VALUE"""),634.0)</f>
        <v>634</v>
      </c>
      <c r="D1151" s="24" t="str">
        <f>IFERROR(__xludf.DUMMYFUNCTION("""COMPUTED_VALUE"""),"Frozen")</f>
        <v>Frozen</v>
      </c>
      <c r="F1151" s="23">
        <f>IFERROR(__xludf.DUMMYFUNCTION("""COMPUTED_VALUE"""),44769.626753530094)</f>
        <v>44769.62675</v>
      </c>
      <c r="G1151" s="24" t="str">
        <f>IFERROR(__xludf.DUMMYFUNCTION("""COMPUTED_VALUE"""),"Claire")</f>
        <v>Claire</v>
      </c>
      <c r="H1151" s="24">
        <f>IFERROR(__xludf.DUMMYFUNCTION("""COMPUTED_VALUE"""),386.0)</f>
        <v>386</v>
      </c>
      <c r="I1151" s="24" t="str">
        <f>IFERROR(__xludf.DUMMYFUNCTION("""COMPUTED_VALUE"""),"Walmart")</f>
        <v>Walmart</v>
      </c>
    </row>
    <row r="1152">
      <c r="A1152" s="23">
        <f>IFERROR(__xludf.DUMMYFUNCTION("""COMPUTED_VALUE"""),44745.715356666675)</f>
        <v>44745.71536</v>
      </c>
      <c r="B1152" s="24" t="str">
        <f>IFERROR(__xludf.DUMMYFUNCTION("""COMPUTED_VALUE"""),"Ausar ")</f>
        <v>Ausar </v>
      </c>
      <c r="C1152" s="24">
        <f>IFERROR(__xludf.DUMMYFUNCTION("""COMPUTED_VALUE"""),45.0)</f>
        <v>45</v>
      </c>
      <c r="D1152" s="24" t="str">
        <f>IFERROR(__xludf.DUMMYFUNCTION("""COMPUTED_VALUE"""),"Meds &amp; mouthwash ")</f>
        <v>Meds &amp; mouthwash </v>
      </c>
      <c r="F1152" s="23">
        <f>IFERROR(__xludf.DUMMYFUNCTION("""COMPUTED_VALUE"""),44769.626920497685)</f>
        <v>44769.62692</v>
      </c>
      <c r="G1152" s="24" t="str">
        <f>IFERROR(__xludf.DUMMYFUNCTION("""COMPUTED_VALUE"""),"Claire")</f>
        <v>Claire</v>
      </c>
      <c r="H1152" s="24">
        <f>IFERROR(__xludf.DUMMYFUNCTION("""COMPUTED_VALUE"""),350.0)</f>
        <v>350</v>
      </c>
      <c r="I1152" s="24" t="str">
        <f>IFERROR(__xludf.DUMMYFUNCTION("""COMPUTED_VALUE"""),"Walmart")</f>
        <v>Walmart</v>
      </c>
    </row>
    <row r="1153">
      <c r="A1153" s="23">
        <f>IFERROR(__xludf.DUMMYFUNCTION("""COMPUTED_VALUE"""),44745.715834236114)</f>
        <v>44745.71583</v>
      </c>
      <c r="B1153" s="24" t="str">
        <f>IFERROR(__xludf.DUMMYFUNCTION("""COMPUTED_VALUE"""),"Ausar ")</f>
        <v>Ausar </v>
      </c>
      <c r="C1153" s="24">
        <f>IFERROR(__xludf.DUMMYFUNCTION("""COMPUTED_VALUE"""),328.0)</f>
        <v>328</v>
      </c>
      <c r="D1153" s="24" t="str">
        <f>IFERROR(__xludf.DUMMYFUNCTION("""COMPUTED_VALUE"""),"Pet food")</f>
        <v>Pet food</v>
      </c>
      <c r="F1153" s="23">
        <f>IFERROR(__xludf.DUMMYFUNCTION("""COMPUTED_VALUE"""),44769.62781064815)</f>
        <v>44769.62781</v>
      </c>
      <c r="G1153" s="24" t="str">
        <f>IFERROR(__xludf.DUMMYFUNCTION("""COMPUTED_VALUE"""),"Claire")</f>
        <v>Claire</v>
      </c>
      <c r="H1153" s="24">
        <f>IFERROR(__xludf.DUMMYFUNCTION("""COMPUTED_VALUE"""),307.0)</f>
        <v>307</v>
      </c>
      <c r="I1153" s="24" t="str">
        <f>IFERROR(__xludf.DUMMYFUNCTION("""COMPUTED_VALUE"""),"Walmart")</f>
        <v>Walmart</v>
      </c>
    </row>
    <row r="1154">
      <c r="A1154" s="23">
        <f>IFERROR(__xludf.DUMMYFUNCTION("""COMPUTED_VALUE"""),44745.71646015046)</f>
        <v>44745.71646</v>
      </c>
      <c r="B1154" s="24" t="str">
        <f>IFERROR(__xludf.DUMMYFUNCTION("""COMPUTED_VALUE"""),"Ausar ")</f>
        <v>Ausar </v>
      </c>
      <c r="C1154" s="24">
        <f>IFERROR(__xludf.DUMMYFUNCTION("""COMPUTED_VALUE"""),365.0)</f>
        <v>365</v>
      </c>
      <c r="D1154" s="24" t="str">
        <f>IFERROR(__xludf.DUMMYFUNCTION("""COMPUTED_VALUE"""),"Produce")</f>
        <v>Produce</v>
      </c>
      <c r="F1154" s="23">
        <f>IFERROR(__xludf.DUMMYFUNCTION("""COMPUTED_VALUE"""),44769.63160811343)</f>
        <v>44769.63161</v>
      </c>
      <c r="G1154" s="24" t="str">
        <f>IFERROR(__xludf.DUMMYFUNCTION("""COMPUTED_VALUE"""),"Claire")</f>
        <v>Claire</v>
      </c>
      <c r="H1154" s="24">
        <f>IFERROR(__xludf.DUMMYFUNCTION("""COMPUTED_VALUE"""),364.0)</f>
        <v>364</v>
      </c>
      <c r="I1154" s="24" t="str">
        <f>IFERROR(__xludf.DUMMYFUNCTION("""COMPUTED_VALUE"""),"Walmart")</f>
        <v>Walmart</v>
      </c>
    </row>
    <row r="1155">
      <c r="A1155" s="23">
        <f>IFERROR(__xludf.DUMMYFUNCTION("""COMPUTED_VALUE"""),44745.71686303241)</f>
        <v>44745.71686</v>
      </c>
      <c r="B1155" s="24" t="str">
        <f>IFERROR(__xludf.DUMMYFUNCTION("""COMPUTED_VALUE"""),"Ausar ")</f>
        <v>Ausar </v>
      </c>
      <c r="C1155" s="24">
        <f>IFERROR(__xludf.DUMMYFUNCTION("""COMPUTED_VALUE"""),277.0)</f>
        <v>277</v>
      </c>
      <c r="D1155" s="24" t="str">
        <f>IFERROR(__xludf.DUMMYFUNCTION("""COMPUTED_VALUE"""),"Assorted option")</f>
        <v>Assorted option</v>
      </c>
      <c r="F1155" s="23">
        <f>IFERROR(__xludf.DUMMYFUNCTION("""COMPUTED_VALUE"""),44769.631789652776)</f>
        <v>44769.63179</v>
      </c>
      <c r="G1155" s="24" t="str">
        <f>IFERROR(__xludf.DUMMYFUNCTION("""COMPUTED_VALUE"""),"Claire")</f>
        <v>Claire</v>
      </c>
      <c r="H1155" s="24">
        <f>IFERROR(__xludf.DUMMYFUNCTION("""COMPUTED_VALUE"""),477.0)</f>
        <v>477</v>
      </c>
      <c r="I1155" s="24" t="str">
        <f>IFERROR(__xludf.DUMMYFUNCTION("""COMPUTED_VALUE"""),"Walmart")</f>
        <v>Walmart</v>
      </c>
    </row>
    <row r="1156">
      <c r="A1156" s="23">
        <f>IFERROR(__xludf.DUMMYFUNCTION("""COMPUTED_VALUE"""),44745.71738657408)</f>
        <v>44745.71739</v>
      </c>
      <c r="B1156" s="24" t="str">
        <f>IFERROR(__xludf.DUMMYFUNCTION("""COMPUTED_VALUE"""),"Ausar ")</f>
        <v>Ausar </v>
      </c>
      <c r="C1156" s="24">
        <f>IFERROR(__xludf.DUMMYFUNCTION("""COMPUTED_VALUE"""),73.0)</f>
        <v>73</v>
      </c>
      <c r="D1156" s="24" t="str">
        <f>IFERROR(__xludf.DUMMYFUNCTION("""COMPUTED_VALUE"""),"Snacks")</f>
        <v>Snacks</v>
      </c>
      <c r="F1156" s="23">
        <f>IFERROR(__xludf.DUMMYFUNCTION("""COMPUTED_VALUE"""),44769.63574618055)</f>
        <v>44769.63575</v>
      </c>
      <c r="G1156" s="24" t="str">
        <f>IFERROR(__xludf.DUMMYFUNCTION("""COMPUTED_VALUE"""),"Claire")</f>
        <v>Claire</v>
      </c>
      <c r="H1156" s="24">
        <f>IFERROR(__xludf.DUMMYFUNCTION("""COMPUTED_VALUE"""),347.0)</f>
        <v>347</v>
      </c>
      <c r="I1156" s="24" t="str">
        <f>IFERROR(__xludf.DUMMYFUNCTION("""COMPUTED_VALUE"""),"Walmart ")</f>
        <v>Walmart </v>
      </c>
    </row>
    <row r="1157">
      <c r="A1157" s="23">
        <f>IFERROR(__xludf.DUMMYFUNCTION("""COMPUTED_VALUE"""),44745.718284814815)</f>
        <v>44745.71828</v>
      </c>
      <c r="B1157" s="24" t="str">
        <f>IFERROR(__xludf.DUMMYFUNCTION("""COMPUTED_VALUE"""),"Ausar ")</f>
        <v>Ausar </v>
      </c>
      <c r="C1157" s="24">
        <f>IFERROR(__xludf.DUMMYFUNCTION("""COMPUTED_VALUE"""),68.0)</f>
        <v>68</v>
      </c>
      <c r="D1157" s="24" t="str">
        <f>IFERROR(__xludf.DUMMYFUNCTION("""COMPUTED_VALUE"""),"Flour ")</f>
        <v>Flour </v>
      </c>
      <c r="F1157" s="23">
        <f>IFERROR(__xludf.DUMMYFUNCTION("""COMPUTED_VALUE"""),44769.636286215275)</f>
        <v>44769.63629</v>
      </c>
      <c r="G1157" s="24" t="str">
        <f>IFERROR(__xludf.DUMMYFUNCTION("""COMPUTED_VALUE"""),"Claire")</f>
        <v>Claire</v>
      </c>
      <c r="H1157" s="24">
        <f>IFERROR(__xludf.DUMMYFUNCTION("""COMPUTED_VALUE"""),566.0)</f>
        <v>566</v>
      </c>
      <c r="I1157" s="24" t="str">
        <f>IFERROR(__xludf.DUMMYFUNCTION("""COMPUTED_VALUE"""),"Amazon")</f>
        <v>Amazon</v>
      </c>
    </row>
    <row r="1158">
      <c r="A1158" s="23">
        <f>IFERROR(__xludf.DUMMYFUNCTION("""COMPUTED_VALUE"""),44745.71865930555)</f>
        <v>44745.71866</v>
      </c>
      <c r="B1158" s="24" t="str">
        <f>IFERROR(__xludf.DUMMYFUNCTION("""COMPUTED_VALUE"""),"Ausar ")</f>
        <v>Ausar </v>
      </c>
      <c r="C1158" s="24">
        <f>IFERROR(__xludf.DUMMYFUNCTION("""COMPUTED_VALUE"""),278.0)</f>
        <v>278</v>
      </c>
      <c r="D1158" s="24" t="str">
        <f>IFERROR(__xludf.DUMMYFUNCTION("""COMPUTED_VALUE"""),"Assorted option")</f>
        <v>Assorted option</v>
      </c>
      <c r="F1158" s="23">
        <f>IFERROR(__xludf.DUMMYFUNCTION("""COMPUTED_VALUE"""),44769.63884241898)</f>
        <v>44769.63884</v>
      </c>
      <c r="G1158" s="24" t="str">
        <f>IFERROR(__xludf.DUMMYFUNCTION("""COMPUTED_VALUE"""),"Claire")</f>
        <v>Claire</v>
      </c>
      <c r="H1158" s="24">
        <f>IFERROR(__xludf.DUMMYFUNCTION("""COMPUTED_VALUE"""),725.0)</f>
        <v>725</v>
      </c>
      <c r="I1158" s="24" t="str">
        <f>IFERROR(__xludf.DUMMYFUNCTION("""COMPUTED_VALUE"""),"Amazon")</f>
        <v>Amazon</v>
      </c>
    </row>
    <row r="1159">
      <c r="A1159" s="23">
        <f>IFERROR(__xludf.DUMMYFUNCTION("""COMPUTED_VALUE"""),44745.71954291666)</f>
        <v>44745.71954</v>
      </c>
      <c r="B1159" s="24" t="str">
        <f>IFERROR(__xludf.DUMMYFUNCTION("""COMPUTED_VALUE"""),"Ausar ")</f>
        <v>Ausar </v>
      </c>
      <c r="C1159" s="24">
        <f>IFERROR(__xludf.DUMMYFUNCTION("""COMPUTED_VALUE"""),307.0)</f>
        <v>307</v>
      </c>
      <c r="D1159" s="24" t="str">
        <f>IFERROR(__xludf.DUMMYFUNCTION("""COMPUTED_VALUE"""),"Paper products ")</f>
        <v>Paper products </v>
      </c>
      <c r="F1159" s="23">
        <f>IFERROR(__xludf.DUMMYFUNCTION("""COMPUTED_VALUE"""),44769.640514872684)</f>
        <v>44769.64051</v>
      </c>
      <c r="G1159" s="24" t="str">
        <f>IFERROR(__xludf.DUMMYFUNCTION("""COMPUTED_VALUE"""),"Claire")</f>
        <v>Claire</v>
      </c>
      <c r="H1159" s="24">
        <f>IFERROR(__xludf.DUMMYFUNCTION("""COMPUTED_VALUE"""),439.0)</f>
        <v>439</v>
      </c>
      <c r="I1159" s="24" t="str">
        <f>IFERROR(__xludf.DUMMYFUNCTION("""COMPUTED_VALUE"""),"Amazon")</f>
        <v>Amazon</v>
      </c>
    </row>
    <row r="1160">
      <c r="A1160" s="23">
        <f>IFERROR(__xludf.DUMMYFUNCTION("""COMPUTED_VALUE"""),44745.719888784726)</f>
        <v>44745.71989</v>
      </c>
      <c r="B1160" s="24" t="str">
        <f>IFERROR(__xludf.DUMMYFUNCTION("""COMPUTED_VALUE"""),"Ausar ")</f>
        <v>Ausar </v>
      </c>
      <c r="C1160" s="24">
        <f>IFERROR(__xludf.DUMMYFUNCTION("""COMPUTED_VALUE"""),285.0)</f>
        <v>285</v>
      </c>
      <c r="D1160" s="24" t="str">
        <f>IFERROR(__xludf.DUMMYFUNCTION("""COMPUTED_VALUE"""),"Assorted option")</f>
        <v>Assorted option</v>
      </c>
      <c r="F1160" s="23">
        <f>IFERROR(__xludf.DUMMYFUNCTION("""COMPUTED_VALUE"""),44769.64243539352)</f>
        <v>44769.64244</v>
      </c>
      <c r="G1160" s="24" t="str">
        <f>IFERROR(__xludf.DUMMYFUNCTION("""COMPUTED_VALUE"""),"Claire")</f>
        <v>Claire</v>
      </c>
      <c r="H1160" s="24">
        <f>IFERROR(__xludf.DUMMYFUNCTION("""COMPUTED_VALUE"""),387.0)</f>
        <v>387</v>
      </c>
      <c r="I1160" s="24" t="str">
        <f>IFERROR(__xludf.DUMMYFUNCTION("""COMPUTED_VALUE"""),"Amazon")</f>
        <v>Amazon</v>
      </c>
    </row>
    <row r="1161">
      <c r="A1161" s="23">
        <f>IFERROR(__xludf.DUMMYFUNCTION("""COMPUTED_VALUE"""),44745.720274189815)</f>
        <v>44745.72027</v>
      </c>
      <c r="B1161" s="24" t="str">
        <f>IFERROR(__xludf.DUMMYFUNCTION("""COMPUTED_VALUE"""),"Ausar ")</f>
        <v>Ausar </v>
      </c>
      <c r="C1161" s="24">
        <f>IFERROR(__xludf.DUMMYFUNCTION("""COMPUTED_VALUE"""),15.0)</f>
        <v>15</v>
      </c>
      <c r="D1161" s="24" t="str">
        <f>IFERROR(__xludf.DUMMYFUNCTION("""COMPUTED_VALUE"""),"Bread ")</f>
        <v>Bread </v>
      </c>
      <c r="F1161" s="23">
        <f>IFERROR(__xludf.DUMMYFUNCTION("""COMPUTED_VALUE"""),44769.6442186574)</f>
        <v>44769.64422</v>
      </c>
      <c r="G1161" s="24" t="str">
        <f>IFERROR(__xludf.DUMMYFUNCTION("""COMPUTED_VALUE"""),"Claire")</f>
        <v>Claire</v>
      </c>
      <c r="H1161" s="24">
        <f>IFERROR(__xludf.DUMMYFUNCTION("""COMPUTED_VALUE"""),457.0)</f>
        <v>457</v>
      </c>
      <c r="I1161" s="24" t="str">
        <f>IFERROR(__xludf.DUMMYFUNCTION("""COMPUTED_VALUE"""),"Amazon")</f>
        <v>Amazon</v>
      </c>
    </row>
    <row r="1162">
      <c r="A1162" s="23">
        <f>IFERROR(__xludf.DUMMYFUNCTION("""COMPUTED_VALUE"""),44745.72088320602)</f>
        <v>44745.72088</v>
      </c>
      <c r="B1162" s="24" t="str">
        <f>IFERROR(__xludf.DUMMYFUNCTION("""COMPUTED_VALUE"""),"Ausar ")</f>
        <v>Ausar </v>
      </c>
      <c r="C1162" s="24">
        <f>IFERROR(__xludf.DUMMYFUNCTION("""COMPUTED_VALUE"""),35.0)</f>
        <v>35</v>
      </c>
      <c r="D1162" s="24" t="str">
        <f>IFERROR(__xludf.DUMMYFUNCTION("""COMPUTED_VALUE"""),"Can goods")</f>
        <v>Can goods</v>
      </c>
      <c r="F1162" s="23">
        <f>IFERROR(__xludf.DUMMYFUNCTION("""COMPUTED_VALUE"""),44769.64687809028)</f>
        <v>44769.64688</v>
      </c>
      <c r="G1162" s="24" t="str">
        <f>IFERROR(__xludf.DUMMYFUNCTION("""COMPUTED_VALUE"""),"Claire")</f>
        <v>Claire</v>
      </c>
      <c r="H1162" s="24">
        <f>IFERROR(__xludf.DUMMYFUNCTION("""COMPUTED_VALUE"""),478.0)</f>
        <v>478</v>
      </c>
      <c r="I1162" s="24" t="str">
        <f>IFERROR(__xludf.DUMMYFUNCTION("""COMPUTED_VALUE"""),"Amazon")</f>
        <v>Amazon</v>
      </c>
    </row>
    <row r="1163">
      <c r="A1163" s="23">
        <f>IFERROR(__xludf.DUMMYFUNCTION("""COMPUTED_VALUE"""),44745.72125231482)</f>
        <v>44745.72125</v>
      </c>
      <c r="B1163" s="24" t="str">
        <f>IFERROR(__xludf.DUMMYFUNCTION("""COMPUTED_VALUE"""),"Ausar ")</f>
        <v>Ausar </v>
      </c>
      <c r="C1163" s="24">
        <f>IFERROR(__xludf.DUMMYFUNCTION("""COMPUTED_VALUE"""),202.0)</f>
        <v>202</v>
      </c>
      <c r="D1163" s="24" t="str">
        <f>IFERROR(__xludf.DUMMYFUNCTION("""COMPUTED_VALUE"""),"Assorted option")</f>
        <v>Assorted option</v>
      </c>
      <c r="F1163" s="23">
        <f>IFERROR(__xludf.DUMMYFUNCTION("""COMPUTED_VALUE"""),44769.64859711805)</f>
        <v>44769.6486</v>
      </c>
      <c r="G1163" s="24" t="str">
        <f>IFERROR(__xludf.DUMMYFUNCTION("""COMPUTED_VALUE"""),"Claire")</f>
        <v>Claire</v>
      </c>
      <c r="H1163" s="24">
        <f>IFERROR(__xludf.DUMMYFUNCTION("""COMPUTED_VALUE"""),833.0)</f>
        <v>833</v>
      </c>
      <c r="I1163" s="24" t="str">
        <f>IFERROR(__xludf.DUMMYFUNCTION("""COMPUTED_VALUE"""),"Amazon")</f>
        <v>Amazon</v>
      </c>
    </row>
    <row r="1164">
      <c r="A1164" s="23">
        <f>IFERROR(__xludf.DUMMYFUNCTION("""COMPUTED_VALUE"""),44748.65533487269)</f>
        <v>44748.65533</v>
      </c>
      <c r="B1164" s="24" t="str">
        <f>IFERROR(__xludf.DUMMYFUNCTION("""COMPUTED_VALUE"""),"Ausar ")</f>
        <v>Ausar </v>
      </c>
      <c r="C1164" s="24">
        <f>IFERROR(__xludf.DUMMYFUNCTION("""COMPUTED_VALUE"""),503.0)</f>
        <v>503</v>
      </c>
      <c r="D1164" s="24" t="str">
        <f>IFERROR(__xludf.DUMMYFUNCTION("""COMPUTED_VALUE"""),"Paper goods ")</f>
        <v>Paper goods </v>
      </c>
      <c r="F1164" s="23">
        <f>IFERROR(__xludf.DUMMYFUNCTION("""COMPUTED_VALUE"""),44769.656273217595)</f>
        <v>44769.65627</v>
      </c>
      <c r="G1164" s="24" t="str">
        <f>IFERROR(__xludf.DUMMYFUNCTION("""COMPUTED_VALUE"""),"Claire")</f>
        <v>Claire</v>
      </c>
      <c r="H1164" s="24">
        <f>IFERROR(__xludf.DUMMYFUNCTION("""COMPUTED_VALUE"""),48.0)</f>
        <v>48</v>
      </c>
      <c r="I1164" s="24" t="str">
        <f>IFERROR(__xludf.DUMMYFUNCTION("""COMPUTED_VALUE"""),"Meat")</f>
        <v>Meat</v>
      </c>
    </row>
    <row r="1165">
      <c r="A1165" s="23">
        <f>IFERROR(__xludf.DUMMYFUNCTION("""COMPUTED_VALUE"""),44748.655751666665)</f>
        <v>44748.65575</v>
      </c>
      <c r="B1165" s="24" t="str">
        <f>IFERROR(__xludf.DUMMYFUNCTION("""COMPUTED_VALUE"""),"Ausar ")</f>
        <v>Ausar </v>
      </c>
      <c r="C1165" s="24">
        <f>IFERROR(__xludf.DUMMYFUNCTION("""COMPUTED_VALUE"""),713.0)</f>
        <v>713</v>
      </c>
      <c r="D1165" s="24" t="str">
        <f>IFERROR(__xludf.DUMMYFUNCTION("""COMPUTED_VALUE"""),"Frozen")</f>
        <v>Frozen</v>
      </c>
      <c r="F1165" s="23">
        <f>IFERROR(__xludf.DUMMYFUNCTION("""COMPUTED_VALUE"""),44769.762640706016)</f>
        <v>44769.76264</v>
      </c>
      <c r="G1165" s="24" t="str">
        <f>IFERROR(__xludf.DUMMYFUNCTION("""COMPUTED_VALUE"""),"Cailyn Lawler ")</f>
        <v>Cailyn Lawler </v>
      </c>
      <c r="H1165" s="24">
        <f>IFERROR(__xludf.DUMMYFUNCTION("""COMPUTED_VALUE"""),538.0)</f>
        <v>538</v>
      </c>
      <c r="I1165" s="24" t="str">
        <f>IFERROR(__xludf.DUMMYFUNCTION("""COMPUTED_VALUE"""),"First fruit farm")</f>
        <v>First fruit farm</v>
      </c>
    </row>
    <row r="1166">
      <c r="A1166" s="23">
        <f>IFERROR(__xludf.DUMMYFUNCTION("""COMPUTED_VALUE"""),44748.656093541664)</f>
        <v>44748.65609</v>
      </c>
      <c r="B1166" s="24" t="str">
        <f>IFERROR(__xludf.DUMMYFUNCTION("""COMPUTED_VALUE"""),"Ausar ")</f>
        <v>Ausar </v>
      </c>
      <c r="C1166" s="24">
        <f>IFERROR(__xludf.DUMMYFUNCTION("""COMPUTED_VALUE"""),413.0)</f>
        <v>413</v>
      </c>
      <c r="D1166" s="24" t="str">
        <f>IFERROR(__xludf.DUMMYFUNCTION("""COMPUTED_VALUE"""),"Produce")</f>
        <v>Produce</v>
      </c>
      <c r="F1166" s="23">
        <f>IFERROR(__xludf.DUMMYFUNCTION("""COMPUTED_VALUE"""),44769.76686362268)</f>
        <v>44769.76686</v>
      </c>
      <c r="G1166" s="24" t="str">
        <f>IFERROR(__xludf.DUMMYFUNCTION("""COMPUTED_VALUE"""),"Claire")</f>
        <v>Claire</v>
      </c>
      <c r="H1166" s="24">
        <f>IFERROR(__xludf.DUMMYFUNCTION("""COMPUTED_VALUE"""),740.0)</f>
        <v>740</v>
      </c>
      <c r="I1166" s="24" t="str">
        <f>IFERROR(__xludf.DUMMYFUNCTION("""COMPUTED_VALUE"""),"First fruit farm")</f>
        <v>First fruit farm</v>
      </c>
    </row>
    <row r="1167">
      <c r="A1167" s="23">
        <f>IFERROR(__xludf.DUMMYFUNCTION("""COMPUTED_VALUE"""),44748.65654496528)</f>
        <v>44748.65654</v>
      </c>
      <c r="B1167" s="24" t="str">
        <f>IFERROR(__xludf.DUMMYFUNCTION("""COMPUTED_VALUE"""),"Ausar ")</f>
        <v>Ausar </v>
      </c>
      <c r="C1167" s="24">
        <f>IFERROR(__xludf.DUMMYFUNCTION("""COMPUTED_VALUE"""),410.0)</f>
        <v>410</v>
      </c>
      <c r="D1167" s="24" t="str">
        <f>IFERROR(__xludf.DUMMYFUNCTION("""COMPUTED_VALUE"""),"Pet food")</f>
        <v>Pet food</v>
      </c>
      <c r="F1167" s="23">
        <f>IFERROR(__xludf.DUMMYFUNCTION("""COMPUTED_VALUE"""),44769.774966516205)</f>
        <v>44769.77497</v>
      </c>
      <c r="G1167" s="24" t="str">
        <f>IFERROR(__xludf.DUMMYFUNCTION("""COMPUTED_VALUE"""),"Claire")</f>
        <v>Claire</v>
      </c>
      <c r="H1167" s="24">
        <f>IFERROR(__xludf.DUMMYFUNCTION("""COMPUTED_VALUE"""),541.0)</f>
        <v>541</v>
      </c>
      <c r="I1167" s="24" t="str">
        <f>IFERROR(__xludf.DUMMYFUNCTION("""COMPUTED_VALUE"""),"First fruit farm")</f>
        <v>First fruit farm</v>
      </c>
    </row>
    <row r="1168">
      <c r="A1168" s="23">
        <f>IFERROR(__xludf.DUMMYFUNCTION("""COMPUTED_VALUE"""),44748.65729649305)</f>
        <v>44748.6573</v>
      </c>
      <c r="B1168" s="24" t="str">
        <f>IFERROR(__xludf.DUMMYFUNCTION("""COMPUTED_VALUE"""),"Ausar ")</f>
        <v>Ausar </v>
      </c>
      <c r="C1168" s="24">
        <f>IFERROR(__xludf.DUMMYFUNCTION("""COMPUTED_VALUE"""),455.0)</f>
        <v>455</v>
      </c>
      <c r="D1168" s="24" t="str">
        <f>IFERROR(__xludf.DUMMYFUNCTION("""COMPUTED_VALUE"""),"Produce")</f>
        <v>Produce</v>
      </c>
      <c r="F1168" s="23">
        <f>IFERROR(__xludf.DUMMYFUNCTION("""COMPUTED_VALUE"""),44769.775333391204)</f>
        <v>44769.77533</v>
      </c>
      <c r="G1168" s="24" t="str">
        <f>IFERROR(__xludf.DUMMYFUNCTION("""COMPUTED_VALUE"""),"Claire")</f>
        <v>Claire</v>
      </c>
      <c r="H1168" s="24">
        <f>IFERROR(__xludf.DUMMYFUNCTION("""COMPUTED_VALUE"""),514.0)</f>
        <v>514</v>
      </c>
      <c r="I1168" s="24" t="str">
        <f>IFERROR(__xludf.DUMMYFUNCTION("""COMPUTED_VALUE"""),"First fruit farm")</f>
        <v>First fruit farm</v>
      </c>
    </row>
    <row r="1169">
      <c r="A1169" s="23">
        <f>IFERROR(__xludf.DUMMYFUNCTION("""COMPUTED_VALUE"""),44748.65765688657)</f>
        <v>44748.65766</v>
      </c>
      <c r="B1169" s="24" t="str">
        <f>IFERROR(__xludf.DUMMYFUNCTION("""COMPUTED_VALUE"""),"Ausar ")</f>
        <v>Ausar </v>
      </c>
      <c r="C1169" s="24">
        <f>IFERROR(__xludf.DUMMYFUNCTION("""COMPUTED_VALUE"""),26.0)</f>
        <v>26</v>
      </c>
      <c r="D1169" s="24" t="str">
        <f>IFERROR(__xludf.DUMMYFUNCTION("""COMPUTED_VALUE"""),"Produce")</f>
        <v>Produce</v>
      </c>
      <c r="F1169" s="23">
        <f>IFERROR(__xludf.DUMMYFUNCTION("""COMPUTED_VALUE"""),44769.77558033565)</f>
        <v>44769.77558</v>
      </c>
      <c r="G1169" s="24" t="str">
        <f>IFERROR(__xludf.DUMMYFUNCTION("""COMPUTED_VALUE"""),"Claire")</f>
        <v>Claire</v>
      </c>
      <c r="H1169" s="24">
        <f>IFERROR(__xludf.DUMMYFUNCTION("""COMPUTED_VALUE"""),276.0)</f>
        <v>276</v>
      </c>
      <c r="I1169" s="24" t="str">
        <f>IFERROR(__xludf.DUMMYFUNCTION("""COMPUTED_VALUE"""),"First fruit farm")</f>
        <v>First fruit farm</v>
      </c>
    </row>
    <row r="1170">
      <c r="A1170" s="23">
        <f>IFERROR(__xludf.DUMMYFUNCTION("""COMPUTED_VALUE"""),44748.65813186343)</f>
        <v>44748.65813</v>
      </c>
      <c r="B1170" s="24" t="str">
        <f>IFERROR(__xludf.DUMMYFUNCTION("""COMPUTED_VALUE"""),"Ausar ")</f>
        <v>Ausar </v>
      </c>
      <c r="C1170" s="24">
        <f>IFERROR(__xludf.DUMMYFUNCTION("""COMPUTED_VALUE"""),630.0)</f>
        <v>630</v>
      </c>
      <c r="D1170" s="24" t="str">
        <f>IFERROR(__xludf.DUMMYFUNCTION("""COMPUTED_VALUE"""),"Dairy")</f>
        <v>Dairy</v>
      </c>
      <c r="F1170" s="23">
        <f>IFERROR(__xludf.DUMMYFUNCTION("""COMPUTED_VALUE"""),44769.86450478009)</f>
        <v>44769.8645</v>
      </c>
      <c r="G1170" s="24" t="str">
        <f>IFERROR(__xludf.DUMMYFUNCTION("""COMPUTED_VALUE"""),"Connor Gephart")</f>
        <v>Connor Gephart</v>
      </c>
      <c r="H1170" s="24">
        <f>IFERROR(__xludf.DUMMYFUNCTION("""COMPUTED_VALUE"""),10.0)</f>
        <v>10</v>
      </c>
      <c r="I1170" s="24"/>
    </row>
    <row r="1171">
      <c r="A1171" s="23">
        <f>IFERROR(__xludf.DUMMYFUNCTION("""COMPUTED_VALUE"""),44748.65874409722)</f>
        <v>44748.65874</v>
      </c>
      <c r="B1171" s="24" t="str">
        <f>IFERROR(__xludf.DUMMYFUNCTION("""COMPUTED_VALUE"""),"Ausar ")</f>
        <v>Ausar </v>
      </c>
      <c r="C1171" s="24">
        <f>IFERROR(__xludf.DUMMYFUNCTION("""COMPUTED_VALUE"""),358.0)</f>
        <v>358</v>
      </c>
      <c r="D1171" s="24" t="str">
        <f>IFERROR(__xludf.DUMMYFUNCTION("""COMPUTED_VALUE"""),"Paper products ")</f>
        <v>Paper products </v>
      </c>
      <c r="F1171" s="23">
        <f>IFERROR(__xludf.DUMMYFUNCTION("""COMPUTED_VALUE"""),44769.86556081019)</f>
        <v>44769.86556</v>
      </c>
      <c r="G1171" s="24" t="str">
        <f>IFERROR(__xludf.DUMMYFUNCTION("""COMPUTED_VALUE"""),"Sarah Kondo")</f>
        <v>Sarah Kondo</v>
      </c>
      <c r="H1171" s="24">
        <f>IFERROR(__xludf.DUMMYFUNCTION("""COMPUTED_VALUE"""),17.0)</f>
        <v>17</v>
      </c>
      <c r="I1171" s="24"/>
    </row>
    <row r="1172">
      <c r="A1172" s="23">
        <f>IFERROR(__xludf.DUMMYFUNCTION("""COMPUTED_VALUE"""),44749.80863497685)</f>
        <v>44749.80863</v>
      </c>
      <c r="B1172" s="24" t="str">
        <f>IFERROR(__xludf.DUMMYFUNCTION("""COMPUTED_VALUE"""),"Claire")</f>
        <v>Claire</v>
      </c>
      <c r="C1172" s="24">
        <f>IFERROR(__xludf.DUMMYFUNCTION("""COMPUTED_VALUE"""),747.0)</f>
        <v>747</v>
      </c>
      <c r="D1172" s="24" t="str">
        <f>IFERROR(__xludf.DUMMYFUNCTION("""COMPUTED_VALUE"""),"Produce")</f>
        <v>Produce</v>
      </c>
      <c r="F1172" s="23">
        <f>IFERROR(__xludf.DUMMYFUNCTION("""COMPUTED_VALUE"""),44769.86737135417)</f>
        <v>44769.86737</v>
      </c>
      <c r="G1172" s="24" t="str">
        <f>IFERROR(__xludf.DUMMYFUNCTION("""COMPUTED_VALUE"""),"Maddie ")</f>
        <v>Maddie </v>
      </c>
      <c r="H1172" s="24">
        <f>IFERROR(__xludf.DUMMYFUNCTION("""COMPUTED_VALUE"""),9.0)</f>
        <v>9</v>
      </c>
      <c r="I1172" s="24"/>
    </row>
    <row r="1173">
      <c r="A1173" s="23">
        <f>IFERROR(__xludf.DUMMYFUNCTION("""COMPUTED_VALUE"""),44749.808882847225)</f>
        <v>44749.80888</v>
      </c>
      <c r="B1173" s="24" t="str">
        <f>IFERROR(__xludf.DUMMYFUNCTION("""COMPUTED_VALUE"""),"Claire")</f>
        <v>Claire</v>
      </c>
      <c r="C1173" s="24">
        <f>IFERROR(__xludf.DUMMYFUNCTION("""COMPUTED_VALUE"""),449.0)</f>
        <v>449</v>
      </c>
      <c r="D1173" s="24" t="str">
        <f>IFERROR(__xludf.DUMMYFUNCTION("""COMPUTED_VALUE"""),"Frozen")</f>
        <v>Frozen</v>
      </c>
      <c r="F1173" s="23">
        <f>IFERROR(__xludf.DUMMYFUNCTION("""COMPUTED_VALUE"""),44769.86738442129)</f>
        <v>44769.86738</v>
      </c>
      <c r="G1173" s="24" t="str">
        <f>IFERROR(__xludf.DUMMYFUNCTION("""COMPUTED_VALUE"""),"Cybil Bailey")</f>
        <v>Cybil Bailey</v>
      </c>
      <c r="H1173" s="24">
        <f>IFERROR(__xludf.DUMMYFUNCTION("""COMPUTED_VALUE"""),13.0)</f>
        <v>13</v>
      </c>
      <c r="I1173" s="24"/>
    </row>
    <row r="1174">
      <c r="A1174" s="23">
        <f>IFERROR(__xludf.DUMMYFUNCTION("""COMPUTED_VALUE"""),44749.809198229166)</f>
        <v>44749.8092</v>
      </c>
      <c r="B1174" s="24" t="str">
        <f>IFERROR(__xludf.DUMMYFUNCTION("""COMPUTED_VALUE"""),"Claire")</f>
        <v>Claire</v>
      </c>
      <c r="C1174" s="24">
        <f>IFERROR(__xludf.DUMMYFUNCTION("""COMPUTED_VALUE"""),75.0)</f>
        <v>75</v>
      </c>
      <c r="D1174" s="24" t="str">
        <f>IFERROR(__xludf.DUMMYFUNCTION("""COMPUTED_VALUE"""),"Bread")</f>
        <v>Bread</v>
      </c>
      <c r="F1174" s="23">
        <f>IFERROR(__xludf.DUMMYFUNCTION("""COMPUTED_VALUE"""),44770.0)</f>
        <v>44770</v>
      </c>
      <c r="G1174" s="24" t="str">
        <f>IFERROR(__xludf.DUMMYFUNCTION("""COMPUTED_VALUE"""),"Hong Xue")</f>
        <v>Hong Xue</v>
      </c>
      <c r="H1174" s="24">
        <f>IFERROR(__xludf.DUMMYFUNCTION("""COMPUTED_VALUE"""),23.0)</f>
        <v>23</v>
      </c>
      <c r="I1174" s="24"/>
    </row>
    <row r="1175">
      <c r="A1175" s="23">
        <f>IFERROR(__xludf.DUMMYFUNCTION("""COMPUTED_VALUE"""),44750.0)</f>
        <v>44750</v>
      </c>
      <c r="B1175" s="24" t="str">
        <f>IFERROR(__xludf.DUMMYFUNCTION("""COMPUTED_VALUE"""),"Claire")</f>
        <v>Claire</v>
      </c>
      <c r="C1175" s="24">
        <f>IFERROR(__xludf.DUMMYFUNCTION("""COMPUTED_VALUE"""),102.0)</f>
        <v>102</v>
      </c>
      <c r="D1175" s="24" t="str">
        <f>IFERROR(__xludf.DUMMYFUNCTION("""COMPUTED_VALUE"""),"Assort")</f>
        <v>Assort</v>
      </c>
      <c r="F1175" s="23">
        <f>IFERROR(__xludf.DUMMYFUNCTION("""COMPUTED_VALUE"""),44770.0)</f>
        <v>44770</v>
      </c>
      <c r="G1175" s="24" t="str">
        <f>IFERROR(__xludf.DUMMYFUNCTION("""COMPUTED_VALUE"""),"Hong Xue")</f>
        <v>Hong Xue</v>
      </c>
      <c r="H1175" s="24">
        <f>IFERROR(__xludf.DUMMYFUNCTION("""COMPUTED_VALUE"""),12.0)</f>
        <v>12</v>
      </c>
      <c r="I1175" s="24"/>
    </row>
    <row r="1176">
      <c r="A1176" s="23">
        <f>IFERROR(__xludf.DUMMYFUNCTION("""COMPUTED_VALUE"""),44750.0)</f>
        <v>44750</v>
      </c>
      <c r="B1176" s="24" t="str">
        <f>IFERROR(__xludf.DUMMYFUNCTION("""COMPUTED_VALUE"""),"Claire")</f>
        <v>Claire</v>
      </c>
      <c r="C1176" s="24">
        <f>IFERROR(__xludf.DUMMYFUNCTION("""COMPUTED_VALUE"""),51.0)</f>
        <v>51</v>
      </c>
      <c r="D1176" s="24" t="str">
        <f>IFERROR(__xludf.DUMMYFUNCTION("""COMPUTED_VALUE"""),"Assort")</f>
        <v>Assort</v>
      </c>
      <c r="F1176" s="23">
        <f>IFERROR(__xludf.DUMMYFUNCTION("""COMPUTED_VALUE"""),44770.0)</f>
        <v>44770</v>
      </c>
      <c r="G1176" s="24" t="str">
        <f>IFERROR(__xludf.DUMMYFUNCTION("""COMPUTED_VALUE"""),"Denise Brown")</f>
        <v>Denise Brown</v>
      </c>
      <c r="H1176" s="24">
        <f>IFERROR(__xludf.DUMMYFUNCTION("""COMPUTED_VALUE"""),20.0)</f>
        <v>20</v>
      </c>
      <c r="I1176" s="24"/>
    </row>
    <row r="1177">
      <c r="A1177" s="23">
        <f>IFERROR(__xludf.DUMMYFUNCTION("""COMPUTED_VALUE"""),44750.0)</f>
        <v>44750</v>
      </c>
      <c r="B1177" s="24" t="str">
        <f>IFERROR(__xludf.DUMMYFUNCTION("""COMPUTED_VALUE"""),"Claire")</f>
        <v>Claire</v>
      </c>
      <c r="C1177" s="24">
        <f>IFERROR(__xludf.DUMMYFUNCTION("""COMPUTED_VALUE"""),28.0)</f>
        <v>28</v>
      </c>
      <c r="D1177" s="24" t="str">
        <f>IFERROR(__xludf.DUMMYFUNCTION("""COMPUTED_VALUE"""),"Cleaning")</f>
        <v>Cleaning</v>
      </c>
      <c r="F1177" s="23">
        <f>IFERROR(__xludf.DUMMYFUNCTION("""COMPUTED_VALUE"""),44770.0)</f>
        <v>44770</v>
      </c>
      <c r="G1177" s="24" t="str">
        <f>IFERROR(__xludf.DUMMYFUNCTION("""COMPUTED_VALUE"""),"Denise Brown")</f>
        <v>Denise Brown</v>
      </c>
      <c r="H1177" s="24">
        <f>IFERROR(__xludf.DUMMYFUNCTION("""COMPUTED_VALUE"""),2.0)</f>
        <v>2</v>
      </c>
      <c r="I1177" s="24"/>
    </row>
    <row r="1178">
      <c r="A1178" s="23">
        <f>IFERROR(__xludf.DUMMYFUNCTION("""COMPUTED_VALUE"""),44750.65056306713)</f>
        <v>44750.65056</v>
      </c>
      <c r="B1178" s="24" t="str">
        <f>IFERROR(__xludf.DUMMYFUNCTION("""COMPUTED_VALUE"""),"Dorja ")</f>
        <v>Dorja </v>
      </c>
      <c r="C1178" s="24">
        <f>IFERROR(__xludf.DUMMYFUNCTION("""COMPUTED_VALUE"""),654.0)</f>
        <v>654</v>
      </c>
      <c r="D1178" s="24" t="str">
        <f>IFERROR(__xludf.DUMMYFUNCTION("""COMPUTED_VALUE"""),"Frozen")</f>
        <v>Frozen</v>
      </c>
      <c r="F1178" s="23">
        <f>IFERROR(__xludf.DUMMYFUNCTION("""COMPUTED_VALUE"""),44770.0)</f>
        <v>44770</v>
      </c>
      <c r="G1178" s="24" t="str">
        <f>IFERROR(__xludf.DUMMYFUNCTION("""COMPUTED_VALUE"""),"Seth Crawford")</f>
        <v>Seth Crawford</v>
      </c>
      <c r="H1178" s="24">
        <f>IFERROR(__xludf.DUMMYFUNCTION("""COMPUTED_VALUE"""),22.0)</f>
        <v>22</v>
      </c>
      <c r="I1178" s="24"/>
    </row>
    <row r="1179">
      <c r="A1179" s="23">
        <f>IFERROR(__xludf.DUMMYFUNCTION("""COMPUTED_VALUE"""),44750.651013125)</f>
        <v>44750.65101</v>
      </c>
      <c r="B1179" s="24" t="str">
        <f>IFERROR(__xludf.DUMMYFUNCTION("""COMPUTED_VALUE"""),"Dorja ")</f>
        <v>Dorja </v>
      </c>
      <c r="C1179" s="24">
        <f>IFERROR(__xludf.DUMMYFUNCTION("""COMPUTED_VALUE"""),400.0)</f>
        <v>400</v>
      </c>
      <c r="D1179" s="24" t="str">
        <f>IFERROR(__xludf.DUMMYFUNCTION("""COMPUTED_VALUE"""),"Assorted option")</f>
        <v>Assorted option</v>
      </c>
      <c r="F1179" s="23">
        <f>IFERROR(__xludf.DUMMYFUNCTION("""COMPUTED_VALUE"""),44770.0)</f>
        <v>44770</v>
      </c>
      <c r="G1179" s="24" t="str">
        <f>IFERROR(__xludf.DUMMYFUNCTION("""COMPUTED_VALUE"""),"Nathaniel McClean")</f>
        <v>Nathaniel McClean</v>
      </c>
      <c r="H1179" s="24">
        <f>IFERROR(__xludf.DUMMYFUNCTION("""COMPUTED_VALUE"""),19.0)</f>
        <v>19</v>
      </c>
      <c r="I1179" s="24"/>
    </row>
    <row r="1180">
      <c r="A1180" s="23">
        <f>IFERROR(__xludf.DUMMYFUNCTION("""COMPUTED_VALUE"""),44750.65134888889)</f>
        <v>44750.65135</v>
      </c>
      <c r="B1180" s="24" t="str">
        <f>IFERROR(__xludf.DUMMYFUNCTION("""COMPUTED_VALUE"""),"Dorja")</f>
        <v>Dorja</v>
      </c>
      <c r="C1180" s="24">
        <f>IFERROR(__xludf.DUMMYFUNCTION("""COMPUTED_VALUE"""),299.0)</f>
        <v>299</v>
      </c>
      <c r="D1180" s="24" t="str">
        <f>IFERROR(__xludf.DUMMYFUNCTION("""COMPUTED_VALUE"""),"Assorted option")</f>
        <v>Assorted option</v>
      </c>
      <c r="F1180" s="23">
        <f>IFERROR(__xludf.DUMMYFUNCTION("""COMPUTED_VALUE"""),44770.0)</f>
        <v>44770</v>
      </c>
      <c r="G1180" s="24" t="str">
        <f>IFERROR(__xludf.DUMMYFUNCTION("""COMPUTED_VALUE"""),"Norma")</f>
        <v>Norma</v>
      </c>
      <c r="H1180" s="24">
        <f>IFERROR(__xludf.DUMMYFUNCTION("""COMPUTED_VALUE"""),3.0)</f>
        <v>3</v>
      </c>
      <c r="I1180" s="24" t="str">
        <f>IFERROR(__xludf.DUMMYFUNCTION("""COMPUTED_VALUE"""),"beans")</f>
        <v>beans</v>
      </c>
    </row>
    <row r="1181">
      <c r="A1181" s="23">
        <f>IFERROR(__xludf.DUMMYFUNCTION("""COMPUTED_VALUE"""),44750.65176291666)</f>
        <v>44750.65176</v>
      </c>
      <c r="B1181" s="24" t="str">
        <f>IFERROR(__xludf.DUMMYFUNCTION("""COMPUTED_VALUE"""),"Dorja ")</f>
        <v>Dorja </v>
      </c>
      <c r="C1181" s="24">
        <f>IFERROR(__xludf.DUMMYFUNCTION("""COMPUTED_VALUE"""),284.0)</f>
        <v>284</v>
      </c>
      <c r="D1181" s="24" t="str">
        <f>IFERROR(__xludf.DUMMYFUNCTION("""COMPUTED_VALUE"""),"Assorted option")</f>
        <v>Assorted option</v>
      </c>
      <c r="F1181" s="23">
        <f>IFERROR(__xludf.DUMMYFUNCTION("""COMPUTED_VALUE"""),44770.705994791664)</f>
        <v>44770.70599</v>
      </c>
      <c r="G1181" s="24" t="str">
        <f>IFERROR(__xludf.DUMMYFUNCTION("""COMPUTED_VALUE"""),"Norma")</f>
        <v>Norma</v>
      </c>
      <c r="H1181" s="24">
        <f>IFERROR(__xludf.DUMMYFUNCTION("""COMPUTED_VALUE"""),9.0)</f>
        <v>9</v>
      </c>
      <c r="I1181" s="24"/>
    </row>
    <row r="1182">
      <c r="A1182" s="23">
        <f>IFERROR(__xludf.DUMMYFUNCTION("""COMPUTED_VALUE"""),44750.65211005787)</f>
        <v>44750.65211</v>
      </c>
      <c r="B1182" s="24" t="str">
        <f>IFERROR(__xludf.DUMMYFUNCTION("""COMPUTED_VALUE"""),"Dorja ")</f>
        <v>Dorja </v>
      </c>
      <c r="C1182" s="24">
        <f>IFERROR(__xludf.DUMMYFUNCTION("""COMPUTED_VALUE"""),872.0)</f>
        <v>872</v>
      </c>
      <c r="D1182" s="24" t="str">
        <f>IFERROR(__xludf.DUMMYFUNCTION("""COMPUTED_VALUE"""),"Assorted option")</f>
        <v>Assorted option</v>
      </c>
      <c r="F1182" s="23">
        <f>IFERROR(__xludf.DUMMYFUNCTION("""COMPUTED_VALUE"""),44770.70915811343)</f>
        <v>44770.70916</v>
      </c>
      <c r="G1182" s="24" t="str">
        <f>IFERROR(__xludf.DUMMYFUNCTION("""COMPUTED_VALUE"""),"Claire")</f>
        <v>Claire</v>
      </c>
      <c r="H1182" s="24">
        <f>IFERROR(__xludf.DUMMYFUNCTION("""COMPUTED_VALUE"""),669.0)</f>
        <v>669</v>
      </c>
      <c r="I1182" s="24" t="str">
        <f>IFERROR(__xludf.DUMMYFUNCTION("""COMPUTED_VALUE"""),"Amazon")</f>
        <v>Amazon</v>
      </c>
    </row>
    <row r="1183">
      <c r="A1183" s="23">
        <f>IFERROR(__xludf.DUMMYFUNCTION("""COMPUTED_VALUE"""),44750.65299490741)</f>
        <v>44750.65299</v>
      </c>
      <c r="B1183" s="24" t="str">
        <f>IFERROR(__xludf.DUMMYFUNCTION("""COMPUTED_VALUE"""),"Dorja ")</f>
        <v>Dorja </v>
      </c>
      <c r="C1183" s="24">
        <f>IFERROR(__xludf.DUMMYFUNCTION("""COMPUTED_VALUE"""),785.0)</f>
        <v>785</v>
      </c>
      <c r="D1183" s="24" t="str">
        <f>IFERROR(__xludf.DUMMYFUNCTION("""COMPUTED_VALUE"""),"Assorted option")</f>
        <v>Assorted option</v>
      </c>
      <c r="F1183" s="23">
        <f>IFERROR(__xludf.DUMMYFUNCTION("""COMPUTED_VALUE"""),44770.709303958334)</f>
        <v>44770.7093</v>
      </c>
      <c r="G1183" s="24" t="str">
        <f>IFERROR(__xludf.DUMMYFUNCTION("""COMPUTED_VALUE"""),"Claire")</f>
        <v>Claire</v>
      </c>
      <c r="H1183" s="24">
        <f>IFERROR(__xludf.DUMMYFUNCTION("""COMPUTED_VALUE"""),799.0)</f>
        <v>799</v>
      </c>
      <c r="I1183" s="24" t="str">
        <f>IFERROR(__xludf.DUMMYFUNCTION("""COMPUTED_VALUE"""),"Amazon")</f>
        <v>Amazon</v>
      </c>
    </row>
    <row r="1184">
      <c r="A1184" s="23">
        <f>IFERROR(__xludf.DUMMYFUNCTION("""COMPUTED_VALUE"""),44750.70873837963)</f>
        <v>44750.70874</v>
      </c>
      <c r="B1184" s="24" t="str">
        <f>IFERROR(__xludf.DUMMYFUNCTION("""COMPUTED_VALUE"""),"Sunita Pathik")</f>
        <v>Sunita Pathik</v>
      </c>
      <c r="C1184" s="24">
        <f>IFERROR(__xludf.DUMMYFUNCTION("""COMPUTED_VALUE"""),103.0)</f>
        <v>103</v>
      </c>
      <c r="D1184" s="24" t="str">
        <f>IFERROR(__xludf.DUMMYFUNCTION("""COMPUTED_VALUE"""),"Assorted option")</f>
        <v>Assorted option</v>
      </c>
      <c r="F1184" s="23">
        <f>IFERROR(__xludf.DUMMYFUNCTION("""COMPUTED_VALUE"""),44770.70954527778)</f>
        <v>44770.70955</v>
      </c>
      <c r="G1184" s="24" t="str">
        <f>IFERROR(__xludf.DUMMYFUNCTION("""COMPUTED_VALUE"""),"Claire")</f>
        <v>Claire</v>
      </c>
      <c r="H1184" s="24">
        <f>IFERROR(__xludf.DUMMYFUNCTION("""COMPUTED_VALUE"""),481.0)</f>
        <v>481</v>
      </c>
      <c r="I1184" s="24" t="str">
        <f>IFERROR(__xludf.DUMMYFUNCTION("""COMPUTED_VALUE"""),"Amazon")</f>
        <v>Amazon</v>
      </c>
    </row>
    <row r="1185">
      <c r="A1185" s="23">
        <f>IFERROR(__xludf.DUMMYFUNCTION("""COMPUTED_VALUE"""),44750.72141791666)</f>
        <v>44750.72142</v>
      </c>
      <c r="B1185" s="24" t="str">
        <f>IFERROR(__xludf.DUMMYFUNCTION("""COMPUTED_VALUE"""),"Ausar ")</f>
        <v>Ausar </v>
      </c>
      <c r="C1185" s="24">
        <f>IFERROR(__xludf.DUMMYFUNCTION("""COMPUTED_VALUE"""),67.0)</f>
        <v>67</v>
      </c>
      <c r="D1185" s="24" t="str">
        <f>IFERROR(__xludf.DUMMYFUNCTION("""COMPUTED_VALUE"""),"Assorted option")</f>
        <v>Assorted option</v>
      </c>
      <c r="F1185" s="23">
        <f>IFERROR(__xludf.DUMMYFUNCTION("""COMPUTED_VALUE"""),44770.709917106484)</f>
        <v>44770.70992</v>
      </c>
      <c r="G1185" s="24" t="str">
        <f>IFERROR(__xludf.DUMMYFUNCTION("""COMPUTED_VALUE"""),"Claire")</f>
        <v>Claire</v>
      </c>
      <c r="H1185" s="24">
        <f>IFERROR(__xludf.DUMMYFUNCTION("""COMPUTED_VALUE"""),745.0)</f>
        <v>745</v>
      </c>
      <c r="I1185" s="24" t="str">
        <f>IFERROR(__xludf.DUMMYFUNCTION("""COMPUTED_VALUE"""),"Amazon")</f>
        <v>Amazon</v>
      </c>
    </row>
    <row r="1186">
      <c r="A1186" s="23">
        <f>IFERROR(__xludf.DUMMYFUNCTION("""COMPUTED_VALUE"""),44751.764083043985)</f>
        <v>44751.76408</v>
      </c>
      <c r="B1186" s="24" t="str">
        <f>IFERROR(__xludf.DUMMYFUNCTION("""COMPUTED_VALUE"""),"Claire")</f>
        <v>Claire</v>
      </c>
      <c r="C1186" s="24">
        <f>IFERROR(__xludf.DUMMYFUNCTION("""COMPUTED_VALUE"""),674.0)</f>
        <v>674</v>
      </c>
      <c r="D1186" s="24" t="str">
        <f>IFERROR(__xludf.DUMMYFUNCTION("""COMPUTED_VALUE"""),"Meat")</f>
        <v>Meat</v>
      </c>
      <c r="F1186" s="23">
        <f>IFERROR(__xludf.DUMMYFUNCTION("""COMPUTED_VALUE"""),44770.71169008102)</f>
        <v>44770.71169</v>
      </c>
      <c r="G1186" s="24" t="str">
        <f>IFERROR(__xludf.DUMMYFUNCTION("""COMPUTED_VALUE"""),"Claire")</f>
        <v>Claire</v>
      </c>
      <c r="H1186" s="24">
        <f>IFERROR(__xludf.DUMMYFUNCTION("""COMPUTED_VALUE"""),1140.0)</f>
        <v>1140</v>
      </c>
      <c r="I1186" s="24" t="str">
        <f>IFERROR(__xludf.DUMMYFUNCTION("""COMPUTED_VALUE"""),"Amazon")</f>
        <v>Amazon</v>
      </c>
    </row>
    <row r="1187">
      <c r="A1187" s="23">
        <f>IFERROR(__xludf.DUMMYFUNCTION("""COMPUTED_VALUE"""),44751.76453916667)</f>
        <v>44751.76454</v>
      </c>
      <c r="B1187" s="24" t="str">
        <f>IFERROR(__xludf.DUMMYFUNCTION("""COMPUTED_VALUE"""),"Claire")</f>
        <v>Claire</v>
      </c>
      <c r="C1187" s="24">
        <f>IFERROR(__xludf.DUMMYFUNCTION("""COMPUTED_VALUE"""),949.0)</f>
        <v>949</v>
      </c>
      <c r="D1187" s="24" t="str">
        <f>IFERROR(__xludf.DUMMYFUNCTION("""COMPUTED_VALUE"""),"Frozen")</f>
        <v>Frozen</v>
      </c>
      <c r="F1187" s="23">
        <f>IFERROR(__xludf.DUMMYFUNCTION("""COMPUTED_VALUE"""),44770.713239791665)</f>
        <v>44770.71324</v>
      </c>
      <c r="G1187" s="24" t="str">
        <f>IFERROR(__xludf.DUMMYFUNCTION("""COMPUTED_VALUE"""),"Claire")</f>
        <v>Claire</v>
      </c>
      <c r="H1187" s="24">
        <f>IFERROR(__xludf.DUMMYFUNCTION("""COMPUTED_VALUE"""),907.0)</f>
        <v>907</v>
      </c>
      <c r="I1187" s="24" t="str">
        <f>IFERROR(__xludf.DUMMYFUNCTION("""COMPUTED_VALUE"""),"Amazon")</f>
        <v>Amazon</v>
      </c>
    </row>
    <row r="1188">
      <c r="A1188" s="23">
        <f>IFERROR(__xludf.DUMMYFUNCTION("""COMPUTED_VALUE"""),44751.765040833336)</f>
        <v>44751.76504</v>
      </c>
      <c r="B1188" s="24" t="str">
        <f>IFERROR(__xludf.DUMMYFUNCTION("""COMPUTED_VALUE"""),"Claire")</f>
        <v>Claire</v>
      </c>
      <c r="C1188" s="24">
        <f>IFERROR(__xludf.DUMMYFUNCTION("""COMPUTED_VALUE"""),156.0)</f>
        <v>156</v>
      </c>
      <c r="D1188" s="24" t="str">
        <f>IFERROR(__xludf.DUMMYFUNCTION("""COMPUTED_VALUE"""),"Meat")</f>
        <v>Meat</v>
      </c>
      <c r="F1188" s="23">
        <f>IFERROR(__xludf.DUMMYFUNCTION("""COMPUTED_VALUE"""),44770.71528545139)</f>
        <v>44770.71529</v>
      </c>
      <c r="G1188" s="24" t="str">
        <f>IFERROR(__xludf.DUMMYFUNCTION("""COMPUTED_VALUE"""),"Claire")</f>
        <v>Claire</v>
      </c>
      <c r="H1188" s="24">
        <f>IFERROR(__xludf.DUMMYFUNCTION("""COMPUTED_VALUE"""),1243.0)</f>
        <v>1243</v>
      </c>
      <c r="I1188" s="24" t="str">
        <f>IFERROR(__xludf.DUMMYFUNCTION("""COMPUTED_VALUE"""),"Amazon")</f>
        <v>Amazon</v>
      </c>
    </row>
    <row r="1189">
      <c r="A1189" s="23">
        <f>IFERROR(__xludf.DUMMYFUNCTION("""COMPUTED_VALUE"""),44751.76546186342)</f>
        <v>44751.76546</v>
      </c>
      <c r="B1189" s="24" t="str">
        <f>IFERROR(__xludf.DUMMYFUNCTION("""COMPUTED_VALUE"""),"Claire")</f>
        <v>Claire</v>
      </c>
      <c r="C1189" s="24">
        <f>IFERROR(__xludf.DUMMYFUNCTION("""COMPUTED_VALUE"""),518.0)</f>
        <v>518</v>
      </c>
      <c r="D1189" s="24" t="str">
        <f>IFERROR(__xludf.DUMMYFUNCTION("""COMPUTED_VALUE"""),"Produce")</f>
        <v>Produce</v>
      </c>
      <c r="F1189" s="23">
        <f>IFERROR(__xludf.DUMMYFUNCTION("""COMPUTED_VALUE"""),44770.715864861115)</f>
        <v>44770.71586</v>
      </c>
      <c r="G1189" s="24" t="str">
        <f>IFERROR(__xludf.DUMMYFUNCTION("""COMPUTED_VALUE"""),"Jean.    Extra")</f>
        <v>Jean.    Extra</v>
      </c>
      <c r="H1189" s="24">
        <f>IFERROR(__xludf.DUMMYFUNCTION("""COMPUTED_VALUE"""),8.0)</f>
        <v>8</v>
      </c>
      <c r="I1189" s="24"/>
    </row>
    <row r="1190">
      <c r="A1190" s="23">
        <f>IFERROR(__xludf.DUMMYFUNCTION("""COMPUTED_VALUE"""),44751.76709116898)</f>
        <v>44751.76709</v>
      </c>
      <c r="B1190" s="24" t="str">
        <f>IFERROR(__xludf.DUMMYFUNCTION("""COMPUTED_VALUE"""),"Claire")</f>
        <v>Claire</v>
      </c>
      <c r="C1190" s="24">
        <f>IFERROR(__xludf.DUMMYFUNCTION("""COMPUTED_VALUE"""),204.0)</f>
        <v>204</v>
      </c>
      <c r="D1190" s="24" t="str">
        <f>IFERROR(__xludf.DUMMYFUNCTION("""COMPUTED_VALUE"""),"Paper Goods")</f>
        <v>Paper Goods</v>
      </c>
      <c r="F1190" s="23">
        <f>IFERROR(__xludf.DUMMYFUNCTION("""COMPUTED_VALUE"""),44770.71607582176)</f>
        <v>44770.71608</v>
      </c>
      <c r="G1190" s="24" t="str">
        <f>IFERROR(__xludf.DUMMYFUNCTION("""COMPUTED_VALUE"""),"Jean")</f>
        <v>Jean</v>
      </c>
      <c r="H1190" s="24">
        <f>IFERROR(__xludf.DUMMYFUNCTION("""COMPUTED_VALUE"""),38.0)</f>
        <v>38</v>
      </c>
      <c r="I1190" s="24"/>
    </row>
    <row r="1191">
      <c r="A1191" s="23">
        <f>IFERROR(__xludf.DUMMYFUNCTION("""COMPUTED_VALUE"""),44751.76744636574)</f>
        <v>44751.76745</v>
      </c>
      <c r="B1191" s="24" t="str">
        <f>IFERROR(__xludf.DUMMYFUNCTION("""COMPUTED_VALUE"""),"Claire")</f>
        <v>Claire</v>
      </c>
      <c r="C1191" s="24">
        <f>IFERROR(__xludf.DUMMYFUNCTION("""COMPUTED_VALUE"""),710.0)</f>
        <v>710</v>
      </c>
      <c r="D1191" s="24" t="str">
        <f>IFERROR(__xludf.DUMMYFUNCTION("""COMPUTED_VALUE"""),"Frozen")</f>
        <v>Frozen</v>
      </c>
      <c r="F1191" s="23">
        <f>IFERROR(__xludf.DUMMYFUNCTION("""COMPUTED_VALUE"""),44770.84251396991)</f>
        <v>44770.84251</v>
      </c>
      <c r="G1191" s="24" t="str">
        <f>IFERROR(__xludf.DUMMYFUNCTION("""COMPUTED_VALUE"""),"JC")</f>
        <v>JC</v>
      </c>
      <c r="H1191" s="24">
        <f>IFERROR(__xludf.DUMMYFUNCTION("""COMPUTED_VALUE"""),931.0)</f>
        <v>931</v>
      </c>
      <c r="I1191" s="24" t="str">
        <f>IFERROR(__xludf.DUMMYFUNCTION("""COMPUTED_VALUE"""),"Assorted Boxes")</f>
        <v>Assorted Boxes</v>
      </c>
    </row>
    <row r="1192">
      <c r="A1192" s="23">
        <f>IFERROR(__xludf.DUMMYFUNCTION("""COMPUTED_VALUE"""),44751.767636851844)</f>
        <v>44751.76764</v>
      </c>
      <c r="B1192" s="24" t="str">
        <f>IFERROR(__xludf.DUMMYFUNCTION("""COMPUTED_VALUE"""),"Claire")</f>
        <v>Claire</v>
      </c>
      <c r="C1192" s="24">
        <f>IFERROR(__xludf.DUMMYFUNCTION("""COMPUTED_VALUE"""),130.0)</f>
        <v>130</v>
      </c>
      <c r="D1192" s="24" t="str">
        <f>IFERROR(__xludf.DUMMYFUNCTION("""COMPUTED_VALUE"""),"Meat")</f>
        <v>Meat</v>
      </c>
      <c r="F1192" s="23">
        <f>IFERROR(__xludf.DUMMYFUNCTION("""COMPUTED_VALUE"""),44770.843042430555)</f>
        <v>44770.84304</v>
      </c>
      <c r="G1192" s="24" t="str">
        <f>IFERROR(__xludf.DUMMYFUNCTION("""COMPUTED_VALUE"""),"JC")</f>
        <v>JC</v>
      </c>
      <c r="H1192" s="24">
        <f>IFERROR(__xludf.DUMMYFUNCTION("""COMPUTED_VALUE"""),432.0)</f>
        <v>432</v>
      </c>
      <c r="I1192" s="24" t="str">
        <f>IFERROR(__xludf.DUMMYFUNCTION("""COMPUTED_VALUE"""),"Assorted Bixes")</f>
        <v>Assorted Bixes</v>
      </c>
    </row>
    <row r="1193">
      <c r="A1193" s="23">
        <f>IFERROR(__xludf.DUMMYFUNCTION("""COMPUTED_VALUE"""),44751.76794696759)</f>
        <v>44751.76795</v>
      </c>
      <c r="B1193" s="24" t="str">
        <f>IFERROR(__xludf.DUMMYFUNCTION("""COMPUTED_VALUE"""),"Claire")</f>
        <v>Claire</v>
      </c>
      <c r="C1193" s="24">
        <f>IFERROR(__xludf.DUMMYFUNCTION("""COMPUTED_VALUE"""),179.0)</f>
        <v>179</v>
      </c>
      <c r="D1193" s="24" t="str">
        <f>IFERROR(__xludf.DUMMYFUNCTION("""COMPUTED_VALUE"""),"Paper Goods")</f>
        <v>Paper Goods</v>
      </c>
      <c r="F1193" s="23">
        <f>IFERROR(__xludf.DUMMYFUNCTION("""COMPUTED_VALUE"""),44770.84346780092)</f>
        <v>44770.84347</v>
      </c>
      <c r="G1193" s="24" t="str">
        <f>IFERROR(__xludf.DUMMYFUNCTION("""COMPUTED_VALUE"""),"JC")</f>
        <v>JC</v>
      </c>
      <c r="H1193" s="24">
        <f>IFERROR(__xludf.DUMMYFUNCTION("""COMPUTED_VALUE"""),996.0)</f>
        <v>996</v>
      </c>
      <c r="I1193" s="24" t="str">
        <f>IFERROR(__xludf.DUMMYFUNCTION("""COMPUTED_VALUE"""),"Assorted Boxes")</f>
        <v>Assorted Boxes</v>
      </c>
    </row>
    <row r="1194">
      <c r="A1194" s="23">
        <f>IFERROR(__xludf.DUMMYFUNCTION("""COMPUTED_VALUE"""),44751.7700897338)</f>
        <v>44751.77009</v>
      </c>
      <c r="B1194" s="24" t="str">
        <f>IFERROR(__xludf.DUMMYFUNCTION("""COMPUTED_VALUE"""),"Claire")</f>
        <v>Claire</v>
      </c>
      <c r="C1194" s="24">
        <f>IFERROR(__xludf.DUMMYFUNCTION("""COMPUTED_VALUE"""),1005.0)</f>
        <v>1005</v>
      </c>
      <c r="D1194" s="24" t="str">
        <f>IFERROR(__xludf.DUMMYFUNCTION("""COMPUTED_VALUE"""),"Frozen")</f>
        <v>Frozen</v>
      </c>
      <c r="F1194" s="23">
        <f>IFERROR(__xludf.DUMMYFUNCTION("""COMPUTED_VALUE"""),44770.864178460644)</f>
        <v>44770.86418</v>
      </c>
      <c r="G1194" s="24" t="str">
        <f>IFERROR(__xludf.DUMMYFUNCTION("""COMPUTED_VALUE"""),"Vincent Faulk")</f>
        <v>Vincent Faulk</v>
      </c>
      <c r="H1194" s="24">
        <f>IFERROR(__xludf.DUMMYFUNCTION("""COMPUTED_VALUE"""),1082.0)</f>
        <v>1082</v>
      </c>
      <c r="I1194" s="24" t="str">
        <f>IFERROR(__xludf.DUMMYFUNCTION("""COMPUTED_VALUE"""),"Assorted option")</f>
        <v>Assorted option</v>
      </c>
    </row>
    <row r="1195">
      <c r="A1195" s="23">
        <f>IFERROR(__xludf.DUMMYFUNCTION("""COMPUTED_VALUE"""),44751.770388969904)</f>
        <v>44751.77039</v>
      </c>
      <c r="B1195" s="24" t="str">
        <f>IFERROR(__xludf.DUMMYFUNCTION("""COMPUTED_VALUE"""),"Claire")</f>
        <v>Claire</v>
      </c>
      <c r="C1195" s="24">
        <f>IFERROR(__xludf.DUMMYFUNCTION("""COMPUTED_VALUE"""),128.0)</f>
        <v>128</v>
      </c>
      <c r="D1195" s="24" t="str">
        <f>IFERROR(__xludf.DUMMYFUNCTION("""COMPUTED_VALUE"""),"OXO")</f>
        <v>OXO</v>
      </c>
      <c r="F1195" s="23">
        <f>IFERROR(__xludf.DUMMYFUNCTION("""COMPUTED_VALUE"""),44770.8731991088)</f>
        <v>44770.8732</v>
      </c>
      <c r="G1195" s="24" t="str">
        <f>IFERROR(__xludf.DUMMYFUNCTION("""COMPUTED_VALUE"""),"Nate ")</f>
        <v>Nate </v>
      </c>
      <c r="H1195" s="24">
        <f>IFERROR(__xludf.DUMMYFUNCTION("""COMPUTED_VALUE"""),19.0)</f>
        <v>19</v>
      </c>
      <c r="I1195" s="24"/>
    </row>
    <row r="1196">
      <c r="A1196" s="23">
        <f>IFERROR(__xludf.DUMMYFUNCTION("""COMPUTED_VALUE"""),44751.77083097222)</f>
        <v>44751.77083</v>
      </c>
      <c r="B1196" s="24" t="str">
        <f>IFERROR(__xludf.DUMMYFUNCTION("""COMPUTED_VALUE"""),"Claire")</f>
        <v>Claire</v>
      </c>
      <c r="C1196" s="24">
        <f>IFERROR(__xludf.DUMMYFUNCTION("""COMPUTED_VALUE"""),759.0)</f>
        <v>759</v>
      </c>
      <c r="D1196" s="24" t="str">
        <f>IFERROR(__xludf.DUMMYFUNCTION("""COMPUTED_VALUE"""),"Personal care")</f>
        <v>Personal care</v>
      </c>
      <c r="F1196" s="23">
        <f>IFERROR(__xludf.DUMMYFUNCTION("""COMPUTED_VALUE"""),44770.873253854166)</f>
        <v>44770.87325</v>
      </c>
      <c r="G1196" s="24" t="str">
        <f>IFERROR(__xludf.DUMMYFUNCTION("""COMPUTED_VALUE"""),"Aziza ")</f>
        <v>Aziza </v>
      </c>
      <c r="H1196" s="24">
        <f>IFERROR(__xludf.DUMMYFUNCTION("""COMPUTED_VALUE"""),20.0)</f>
        <v>20</v>
      </c>
      <c r="I1196" s="24"/>
    </row>
    <row r="1197">
      <c r="A1197" s="23">
        <f>IFERROR(__xludf.DUMMYFUNCTION("""COMPUTED_VALUE"""),44751.77116957176)</f>
        <v>44751.77117</v>
      </c>
      <c r="B1197" s="24" t="str">
        <f>IFERROR(__xludf.DUMMYFUNCTION("""COMPUTED_VALUE"""),"Clairr")</f>
        <v>Clairr</v>
      </c>
      <c r="C1197" s="24">
        <f>IFERROR(__xludf.DUMMYFUNCTION("""COMPUTED_VALUE"""),2073.0)</f>
        <v>2073</v>
      </c>
      <c r="D1197" s="24" t="str">
        <f>IFERROR(__xludf.DUMMYFUNCTION("""COMPUTED_VALUE"""),"Drinks")</f>
        <v>Drinks</v>
      </c>
      <c r="F1197" s="23">
        <f>IFERROR(__xludf.DUMMYFUNCTION("""COMPUTED_VALUE"""),44771.0)</f>
        <v>44771</v>
      </c>
      <c r="G1197" s="24" t="str">
        <f>IFERROR(__xludf.DUMMYFUNCTION("""COMPUTED_VALUE"""),"Juanita c")</f>
        <v>Juanita c</v>
      </c>
      <c r="H1197" s="24">
        <f>IFERROR(__xludf.DUMMYFUNCTION("""COMPUTED_VALUE"""),20.0)</f>
        <v>20</v>
      </c>
      <c r="I1197" s="24"/>
    </row>
    <row r="1198">
      <c r="A1198" s="23">
        <f>IFERROR(__xludf.DUMMYFUNCTION("""COMPUTED_VALUE"""),44751.77145637731)</f>
        <v>44751.77146</v>
      </c>
      <c r="B1198" s="24" t="str">
        <f>IFERROR(__xludf.DUMMYFUNCTION("""COMPUTED_VALUE"""),"Claire")</f>
        <v>Claire</v>
      </c>
      <c r="C1198" s="24">
        <f>IFERROR(__xludf.DUMMYFUNCTION("""COMPUTED_VALUE"""),1253.0)</f>
        <v>1253</v>
      </c>
      <c r="D1198" s="24" t="str">
        <f>IFERROR(__xludf.DUMMYFUNCTION("""COMPUTED_VALUE"""),"Cleaning supplies")</f>
        <v>Cleaning supplies</v>
      </c>
      <c r="F1198" s="23">
        <f>IFERROR(__xludf.DUMMYFUNCTION("""COMPUTED_VALUE"""),44771.0)</f>
        <v>44771</v>
      </c>
      <c r="G1198" s="24" t="str">
        <f>IFERROR(__xludf.DUMMYFUNCTION("""COMPUTED_VALUE"""),"Juanita c")</f>
        <v>Juanita c</v>
      </c>
      <c r="H1198" s="24">
        <f>IFERROR(__xludf.DUMMYFUNCTION("""COMPUTED_VALUE"""),22.0)</f>
        <v>22</v>
      </c>
      <c r="I1198" s="24"/>
    </row>
    <row r="1199">
      <c r="A1199" s="23">
        <f>IFERROR(__xludf.DUMMYFUNCTION("""COMPUTED_VALUE"""),44751.77190317129)</f>
        <v>44751.7719</v>
      </c>
      <c r="B1199" s="24" t="str">
        <f>IFERROR(__xludf.DUMMYFUNCTION("""COMPUTED_VALUE"""),"Claire")</f>
        <v>Claire</v>
      </c>
      <c r="C1199" s="24">
        <f>IFERROR(__xludf.DUMMYFUNCTION("""COMPUTED_VALUE"""),1000.0)</f>
        <v>1000</v>
      </c>
      <c r="D1199" s="24" t="str">
        <f>IFERROR(__xludf.DUMMYFUNCTION("""COMPUTED_VALUE"""),"Cleaning supplies")</f>
        <v>Cleaning supplies</v>
      </c>
      <c r="F1199" s="23">
        <f>IFERROR(__xludf.DUMMYFUNCTION("""COMPUTED_VALUE"""),44771.57204369213)</f>
        <v>44771.57204</v>
      </c>
      <c r="G1199" s="24" t="str">
        <f>IFERROR(__xludf.DUMMYFUNCTION("""COMPUTED_VALUE"""),"JC")</f>
        <v>JC</v>
      </c>
      <c r="H1199" s="24">
        <f>IFERROR(__xludf.DUMMYFUNCTION("""COMPUTED_VALUE"""),1897.0)</f>
        <v>1897</v>
      </c>
      <c r="I1199" s="24" t="str">
        <f>IFERROR(__xludf.DUMMYFUNCTION("""COMPUTED_VALUE"""),"Water")</f>
        <v>Water</v>
      </c>
    </row>
    <row r="1200">
      <c r="A1200" s="23">
        <f>IFERROR(__xludf.DUMMYFUNCTION("""COMPUTED_VALUE"""),44751.772221412044)</f>
        <v>44751.77222</v>
      </c>
      <c r="B1200" s="24" t="str">
        <f>IFERROR(__xludf.DUMMYFUNCTION("""COMPUTED_VALUE"""),"Claire")</f>
        <v>Claire</v>
      </c>
      <c r="C1200" s="24">
        <f>IFERROR(__xludf.DUMMYFUNCTION("""COMPUTED_VALUE"""),1105.0)</f>
        <v>1105</v>
      </c>
      <c r="D1200" s="24" t="str">
        <f>IFERROR(__xludf.DUMMYFUNCTION("""COMPUTED_VALUE"""),"Pet Supplies")</f>
        <v>Pet Supplies</v>
      </c>
      <c r="F1200" s="23">
        <f>IFERROR(__xludf.DUMMYFUNCTION("""COMPUTED_VALUE"""),44771.57242728009)</f>
        <v>44771.57243</v>
      </c>
      <c r="G1200" s="24" t="str">
        <f>IFERROR(__xludf.DUMMYFUNCTION("""COMPUTED_VALUE"""),"JC")</f>
        <v>JC</v>
      </c>
      <c r="H1200" s="24">
        <f>IFERROR(__xludf.DUMMYFUNCTION("""COMPUTED_VALUE"""),349.0)</f>
        <v>349</v>
      </c>
      <c r="I1200" s="24" t="str">
        <f>IFERROR(__xludf.DUMMYFUNCTION("""COMPUTED_VALUE"""),"Baby")</f>
        <v>Baby</v>
      </c>
    </row>
    <row r="1201">
      <c r="A1201" s="23">
        <f>IFERROR(__xludf.DUMMYFUNCTION("""COMPUTED_VALUE"""),44751.77264196759)</f>
        <v>44751.77264</v>
      </c>
      <c r="B1201" s="24" t="str">
        <f>IFERROR(__xludf.DUMMYFUNCTION("""COMPUTED_VALUE"""),"Claire")</f>
        <v>Claire</v>
      </c>
      <c r="C1201" s="24">
        <f>IFERROR(__xludf.DUMMYFUNCTION("""COMPUTED_VALUE"""),173.0)</f>
        <v>173</v>
      </c>
      <c r="D1201" s="24" t="str">
        <f>IFERROR(__xludf.DUMMYFUNCTION("""COMPUTED_VALUE"""),"Toilet paper")</f>
        <v>Toilet paper</v>
      </c>
      <c r="F1201" s="23">
        <f>IFERROR(__xludf.DUMMYFUNCTION("""COMPUTED_VALUE"""),44771.57284710648)</f>
        <v>44771.57285</v>
      </c>
      <c r="G1201" s="24" t="str">
        <f>IFERROR(__xludf.DUMMYFUNCTION("""COMPUTED_VALUE"""),"JC")</f>
        <v>JC</v>
      </c>
      <c r="H1201" s="24">
        <f>IFERROR(__xludf.DUMMYFUNCTION("""COMPUTED_VALUE"""),969.0)</f>
        <v>969</v>
      </c>
      <c r="I1201" s="24" t="str">
        <f>IFERROR(__xludf.DUMMYFUNCTION("""COMPUTED_VALUE"""),"Drinks")</f>
        <v>Drinks</v>
      </c>
    </row>
    <row r="1202">
      <c r="A1202" s="23">
        <f>IFERROR(__xludf.DUMMYFUNCTION("""COMPUTED_VALUE"""),44751.77306875)</f>
        <v>44751.77307</v>
      </c>
      <c r="B1202" s="24" t="str">
        <f>IFERROR(__xludf.DUMMYFUNCTION("""COMPUTED_VALUE"""),"Claire")</f>
        <v>Claire</v>
      </c>
      <c r="C1202" s="24">
        <f>IFERROR(__xludf.DUMMYFUNCTION("""COMPUTED_VALUE"""),180.0)</f>
        <v>180</v>
      </c>
      <c r="D1202" s="24" t="str">
        <f>IFERROR(__xludf.DUMMYFUNCTION("""COMPUTED_VALUE"""),"Paper goods")</f>
        <v>Paper goods</v>
      </c>
      <c r="F1202" s="23">
        <f>IFERROR(__xludf.DUMMYFUNCTION("""COMPUTED_VALUE"""),44771.573206319445)</f>
        <v>44771.57321</v>
      </c>
      <c r="G1202" s="24" t="str">
        <f>IFERROR(__xludf.DUMMYFUNCTION("""COMPUTED_VALUE"""),"JC")</f>
        <v>JC</v>
      </c>
      <c r="H1202" s="24">
        <f>IFERROR(__xludf.DUMMYFUNCTION("""COMPUTED_VALUE"""),228.0)</f>
        <v>228</v>
      </c>
      <c r="I1202" s="24" t="str">
        <f>IFERROR(__xludf.DUMMYFUNCTION("""COMPUTED_VALUE"""),"Paper Products")</f>
        <v>Paper Products</v>
      </c>
    </row>
    <row r="1203">
      <c r="A1203" s="23">
        <f>IFERROR(__xludf.DUMMYFUNCTION("""COMPUTED_VALUE"""),44751.77353484953)</f>
        <v>44751.77353</v>
      </c>
      <c r="B1203" s="24" t="str">
        <f>IFERROR(__xludf.DUMMYFUNCTION("""COMPUTED_VALUE"""),"Claire")</f>
        <v>Claire</v>
      </c>
      <c r="C1203" s="24">
        <f>IFERROR(__xludf.DUMMYFUNCTION("""COMPUTED_VALUE"""),223.0)</f>
        <v>223</v>
      </c>
      <c r="D1203" s="24" t="str">
        <f>IFERROR(__xludf.DUMMYFUNCTION("""COMPUTED_VALUE"""),"Tissue products")</f>
        <v>Tissue products</v>
      </c>
      <c r="F1203" s="23">
        <f>IFERROR(__xludf.DUMMYFUNCTION("""COMPUTED_VALUE"""),44771.57369103009)</f>
        <v>44771.57369</v>
      </c>
      <c r="G1203" s="24" t="str">
        <f>IFERROR(__xludf.DUMMYFUNCTION("""COMPUTED_VALUE"""),"JC")</f>
        <v>JC</v>
      </c>
      <c r="H1203" s="24">
        <f>IFERROR(__xludf.DUMMYFUNCTION("""COMPUTED_VALUE"""),915.0)</f>
        <v>915</v>
      </c>
      <c r="I1203" s="24" t="str">
        <f>IFERROR(__xludf.DUMMYFUNCTION("""COMPUTED_VALUE"""),"Cleaning Supplies")</f>
        <v>Cleaning Supplies</v>
      </c>
    </row>
    <row r="1204">
      <c r="A1204" s="23">
        <f>IFERROR(__xludf.DUMMYFUNCTION("""COMPUTED_VALUE"""),44751.773984398154)</f>
        <v>44751.77398</v>
      </c>
      <c r="B1204" s="24" t="str">
        <f>IFERROR(__xludf.DUMMYFUNCTION("""COMPUTED_VALUE"""),"Claire")</f>
        <v>Claire</v>
      </c>
      <c r="C1204" s="24">
        <f>IFERROR(__xludf.DUMMYFUNCTION("""COMPUTED_VALUE"""),1278.0)</f>
        <v>1278</v>
      </c>
      <c r="D1204" s="24" t="str">
        <f>IFERROR(__xludf.DUMMYFUNCTION("""COMPUTED_VALUE"""),"Drinks")</f>
        <v>Drinks</v>
      </c>
      <c r="F1204" s="23">
        <f>IFERROR(__xludf.DUMMYFUNCTION("""COMPUTED_VALUE"""),44771.58372030093)</f>
        <v>44771.58372</v>
      </c>
      <c r="G1204" s="24" t="str">
        <f>IFERROR(__xludf.DUMMYFUNCTION("""COMPUTED_VALUE"""),"Spencer Ellsworth ")</f>
        <v>Spencer Ellsworth </v>
      </c>
      <c r="H1204" s="24">
        <f>IFERROR(__xludf.DUMMYFUNCTION("""COMPUTED_VALUE"""),140.0)</f>
        <v>140</v>
      </c>
      <c r="I1204" s="24" t="str">
        <f>IFERROR(__xludf.DUMMYFUNCTION("""COMPUTED_VALUE"""),"Alto Dale Farm")</f>
        <v>Alto Dale Farm</v>
      </c>
    </row>
    <row r="1205">
      <c r="A1205" s="23">
        <f>IFERROR(__xludf.DUMMYFUNCTION("""COMPUTED_VALUE"""),44751.77435436343)</f>
        <v>44751.77435</v>
      </c>
      <c r="B1205" s="24" t="str">
        <f>IFERROR(__xludf.DUMMYFUNCTION("""COMPUTED_VALUE"""),"Claire")</f>
        <v>Claire</v>
      </c>
      <c r="C1205" s="24">
        <f>IFERROR(__xludf.DUMMYFUNCTION("""COMPUTED_VALUE"""),554.0)</f>
        <v>554</v>
      </c>
      <c r="D1205" s="24" t="str">
        <f>IFERROR(__xludf.DUMMYFUNCTION("""COMPUTED_VALUE"""),"Broth")</f>
        <v>Broth</v>
      </c>
      <c r="F1205" s="23">
        <f>IFERROR(__xludf.DUMMYFUNCTION("""COMPUTED_VALUE"""),44771.59829914352)</f>
        <v>44771.5983</v>
      </c>
      <c r="G1205" s="24" t="str">
        <f>IFERROR(__xludf.DUMMYFUNCTION("""COMPUTED_VALUE"""),"Vincent Faulk")</f>
        <v>Vincent Faulk</v>
      </c>
      <c r="H1205" s="24">
        <f>IFERROR(__xludf.DUMMYFUNCTION("""COMPUTED_VALUE"""),570.0)</f>
        <v>570</v>
      </c>
      <c r="I1205" s="24" t="str">
        <f>IFERROR(__xludf.DUMMYFUNCTION("""COMPUTED_VALUE"""),"Produce")</f>
        <v>Produce</v>
      </c>
    </row>
    <row r="1206">
      <c r="A1206" s="23">
        <f>IFERROR(__xludf.DUMMYFUNCTION("""COMPUTED_VALUE"""),44751.77462337963)</f>
        <v>44751.77462</v>
      </c>
      <c r="B1206" s="24" t="str">
        <f>IFERROR(__xludf.DUMMYFUNCTION("""COMPUTED_VALUE"""),"Claire")</f>
        <v>Claire</v>
      </c>
      <c r="C1206" s="24">
        <f>IFERROR(__xludf.DUMMYFUNCTION("""COMPUTED_VALUE"""),441.0)</f>
        <v>441</v>
      </c>
      <c r="D1206" s="24" t="str">
        <f>IFERROR(__xludf.DUMMYFUNCTION("""COMPUTED_VALUE"""),"Oil")</f>
        <v>Oil</v>
      </c>
      <c r="F1206" s="23">
        <f>IFERROR(__xludf.DUMMYFUNCTION("""COMPUTED_VALUE"""),44771.605246481486)</f>
        <v>44771.60525</v>
      </c>
      <c r="G1206" s="24" t="str">
        <f>IFERROR(__xludf.DUMMYFUNCTION("""COMPUTED_VALUE"""),"Vincent Faulk")</f>
        <v>Vincent Faulk</v>
      </c>
      <c r="H1206" s="24">
        <f>IFERROR(__xludf.DUMMYFUNCTION("""COMPUTED_VALUE"""),83.0)</f>
        <v>83</v>
      </c>
      <c r="I1206" s="24" t="str">
        <f>IFERROR(__xludf.DUMMYFUNCTION("""COMPUTED_VALUE"""),"Plates ")</f>
        <v>Plates </v>
      </c>
    </row>
    <row r="1207">
      <c r="A1207" s="23">
        <f>IFERROR(__xludf.DUMMYFUNCTION("""COMPUTED_VALUE"""),44751.77493337963)</f>
        <v>44751.77493</v>
      </c>
      <c r="B1207" s="24" t="str">
        <f>IFERROR(__xludf.DUMMYFUNCTION("""COMPUTED_VALUE"""),"Claire")</f>
        <v>Claire</v>
      </c>
      <c r="C1207" s="24">
        <f>IFERROR(__xludf.DUMMYFUNCTION("""COMPUTED_VALUE"""),889.0)</f>
        <v>889</v>
      </c>
      <c r="D1207" s="24" t="str">
        <f>IFERROR(__xludf.DUMMYFUNCTION("""COMPUTED_VALUE"""),"Dairy")</f>
        <v>Dairy</v>
      </c>
      <c r="F1207" s="23">
        <f>IFERROR(__xludf.DUMMYFUNCTION("""COMPUTED_VALUE"""),44771.61873280093)</f>
        <v>44771.61873</v>
      </c>
      <c r="G1207" s="24" t="str">
        <f>IFERROR(__xludf.DUMMYFUNCTION("""COMPUTED_VALUE"""),"Vincent Faulk")</f>
        <v>Vincent Faulk</v>
      </c>
      <c r="H1207" s="24">
        <f>IFERROR(__xludf.DUMMYFUNCTION("""COMPUTED_VALUE"""),307.0)</f>
        <v>307</v>
      </c>
      <c r="I1207" s="24" t="str">
        <f>IFERROR(__xludf.DUMMYFUNCTION("""COMPUTED_VALUE"""),"Meat")</f>
        <v>Meat</v>
      </c>
    </row>
    <row r="1208">
      <c r="A1208" s="23">
        <f>IFERROR(__xludf.DUMMYFUNCTION("""COMPUTED_VALUE"""),44751.7751909375)</f>
        <v>44751.77519</v>
      </c>
      <c r="B1208" s="24" t="str">
        <f>IFERROR(__xludf.DUMMYFUNCTION("""COMPUTED_VALUE"""),"Claire")</f>
        <v>Claire</v>
      </c>
      <c r="C1208" s="24">
        <f>IFERROR(__xludf.DUMMYFUNCTION("""COMPUTED_VALUE"""),1463.0)</f>
        <v>1463</v>
      </c>
      <c r="D1208" s="24" t="str">
        <f>IFERROR(__xludf.DUMMYFUNCTION("""COMPUTED_VALUE"""),"Drinks")</f>
        <v>Drinks</v>
      </c>
      <c r="F1208" s="23">
        <f>IFERROR(__xludf.DUMMYFUNCTION("""COMPUTED_VALUE"""),44771.65528738426)</f>
        <v>44771.65529</v>
      </c>
      <c r="G1208" s="24" t="str">
        <f>IFERROR(__xludf.DUMMYFUNCTION("""COMPUTED_VALUE"""),"Vincent Faulk")</f>
        <v>Vincent Faulk</v>
      </c>
      <c r="H1208" s="24">
        <f>IFERROR(__xludf.DUMMYFUNCTION("""COMPUTED_VALUE"""),761.0)</f>
        <v>761</v>
      </c>
      <c r="I1208" s="24" t="str">
        <f>IFERROR(__xludf.DUMMYFUNCTION("""COMPUTED_VALUE"""),"Frozen")</f>
        <v>Frozen</v>
      </c>
    </row>
    <row r="1209">
      <c r="A1209" s="23">
        <f>IFERROR(__xludf.DUMMYFUNCTION("""COMPUTED_VALUE"""),44751.77558767361)</f>
        <v>44751.77559</v>
      </c>
      <c r="B1209" s="24" t="str">
        <f>IFERROR(__xludf.DUMMYFUNCTION("""COMPUTED_VALUE"""),"Claire")</f>
        <v>Claire</v>
      </c>
      <c r="C1209" s="24">
        <f>IFERROR(__xludf.DUMMYFUNCTION("""COMPUTED_VALUE"""),-400.0)</f>
        <v>-400</v>
      </c>
      <c r="D1209" s="24" t="str">
        <f>IFERROR(__xludf.DUMMYFUNCTION("""COMPUTED_VALUE"""),"Personal care")</f>
        <v>Personal care</v>
      </c>
      <c r="F1209" s="23">
        <f>IFERROR(__xludf.DUMMYFUNCTION("""COMPUTED_VALUE"""),44771.66496589121)</f>
        <v>44771.66497</v>
      </c>
      <c r="G1209" s="24" t="str">
        <f>IFERROR(__xludf.DUMMYFUNCTION("""COMPUTED_VALUE"""),"Lynette ")</f>
        <v>Lynette </v>
      </c>
      <c r="H1209" s="24">
        <f>IFERROR(__xludf.DUMMYFUNCTION("""COMPUTED_VALUE"""),20.0)</f>
        <v>20</v>
      </c>
      <c r="I1209" s="24"/>
    </row>
    <row r="1210">
      <c r="A1210" s="23">
        <f>IFERROR(__xludf.DUMMYFUNCTION("""COMPUTED_VALUE"""),44751.77581976852)</f>
        <v>44751.77582</v>
      </c>
      <c r="B1210" s="24" t="str">
        <f>IFERROR(__xludf.DUMMYFUNCTION("""COMPUTED_VALUE"""),"Claire")</f>
        <v>Claire</v>
      </c>
      <c r="C1210" s="24">
        <f>IFERROR(__xludf.DUMMYFUNCTION("""COMPUTED_VALUE"""),-65.0)</f>
        <v>-65</v>
      </c>
      <c r="D1210" s="24" t="str">
        <f>IFERROR(__xludf.DUMMYFUNCTION("""COMPUTED_VALUE"""),"Meat")</f>
        <v>Meat</v>
      </c>
      <c r="F1210" s="23">
        <f>IFERROR(__xludf.DUMMYFUNCTION("""COMPUTED_VALUE"""),44771.6954625463)</f>
        <v>44771.69546</v>
      </c>
      <c r="G1210" s="24" t="str">
        <f>IFERROR(__xludf.DUMMYFUNCTION("""COMPUTED_VALUE"""),"Beth Torres")</f>
        <v>Beth Torres</v>
      </c>
      <c r="H1210" s="24">
        <f>IFERROR(__xludf.DUMMYFUNCTION("""COMPUTED_VALUE"""),15.0)</f>
        <v>15</v>
      </c>
      <c r="I1210" s="24"/>
    </row>
    <row r="1211">
      <c r="A1211" s="23">
        <f>IFERROR(__xludf.DUMMYFUNCTION("""COMPUTED_VALUE"""),44751.77610447916)</f>
        <v>44751.7761</v>
      </c>
      <c r="B1211" s="24" t="str">
        <f>IFERROR(__xludf.DUMMYFUNCTION("""COMPUTED_VALUE"""),"Claire")</f>
        <v>Claire</v>
      </c>
      <c r="C1211" s="24">
        <f>IFERROR(__xludf.DUMMYFUNCTION("""COMPUTED_VALUE"""),-352.0)</f>
        <v>-352</v>
      </c>
      <c r="D1211" s="24" t="str">
        <f>IFERROR(__xludf.DUMMYFUNCTION("""COMPUTED_VALUE"""),"Oil")</f>
        <v>Oil</v>
      </c>
      <c r="F1211" s="23">
        <f>IFERROR(__xludf.DUMMYFUNCTION("""COMPUTED_VALUE"""),44771.695656909724)</f>
        <v>44771.69566</v>
      </c>
      <c r="G1211" s="24" t="str">
        <f>IFERROR(__xludf.DUMMYFUNCTION("""COMPUTED_VALUE"""),"Beth Torres")</f>
        <v>Beth Torres</v>
      </c>
      <c r="H1211" s="24">
        <f>IFERROR(__xludf.DUMMYFUNCTION("""COMPUTED_VALUE"""),31.0)</f>
        <v>31</v>
      </c>
      <c r="I1211" s="24"/>
    </row>
    <row r="1212">
      <c r="A1212" s="23">
        <f>IFERROR(__xludf.DUMMYFUNCTION("""COMPUTED_VALUE"""),44751.77638905092)</f>
        <v>44751.77639</v>
      </c>
      <c r="B1212" s="24" t="str">
        <f>IFERROR(__xludf.DUMMYFUNCTION("""COMPUTED_VALUE"""),"Claire")</f>
        <v>Claire</v>
      </c>
      <c r="C1212" s="24">
        <f>IFERROR(__xludf.DUMMYFUNCTION("""COMPUTED_VALUE"""),-337.0)</f>
        <v>-337</v>
      </c>
      <c r="D1212" s="24" t="str">
        <f>IFERROR(__xludf.DUMMYFUNCTION("""COMPUTED_VALUE"""),"Pet supplies")</f>
        <v>Pet supplies</v>
      </c>
      <c r="F1212" s="23">
        <f>IFERROR(__xludf.DUMMYFUNCTION("""COMPUTED_VALUE"""),44771.70791452547)</f>
        <v>44771.70791</v>
      </c>
      <c r="G1212" s="24" t="str">
        <f>IFERROR(__xludf.DUMMYFUNCTION("""COMPUTED_VALUE"""),"Sunita Pathik")</f>
        <v>Sunita Pathik</v>
      </c>
      <c r="H1212" s="24">
        <f>IFERROR(__xludf.DUMMYFUNCTION("""COMPUTED_VALUE"""),20.0)</f>
        <v>20</v>
      </c>
      <c r="I1212" s="24"/>
    </row>
    <row r="1213">
      <c r="A1213" s="23">
        <f>IFERROR(__xludf.DUMMYFUNCTION("""COMPUTED_VALUE"""),44751.776644641206)</f>
        <v>44751.77664</v>
      </c>
      <c r="B1213" s="24" t="str">
        <f>IFERROR(__xludf.DUMMYFUNCTION("""COMPUTED_VALUE"""),"Claire")</f>
        <v>Claire</v>
      </c>
      <c r="C1213" s="24">
        <f>IFERROR(__xludf.DUMMYFUNCTION("""COMPUTED_VALUE"""),-30.0)</f>
        <v>-30</v>
      </c>
      <c r="D1213" s="24" t="str">
        <f>IFERROR(__xludf.DUMMYFUNCTION("""COMPUTED_VALUE"""),"OXO")</f>
        <v>OXO</v>
      </c>
      <c r="F1213" s="23">
        <f>IFERROR(__xludf.DUMMYFUNCTION("""COMPUTED_VALUE"""),44771.70805795139)</f>
        <v>44771.70806</v>
      </c>
      <c r="G1213" s="24" t="str">
        <f>IFERROR(__xludf.DUMMYFUNCTION("""COMPUTED_VALUE"""),"Sunita Pathik extra")</f>
        <v>Sunita Pathik extra</v>
      </c>
      <c r="H1213" s="24">
        <f>IFERROR(__xludf.DUMMYFUNCTION("""COMPUTED_VALUE"""),2.0)</f>
        <v>2</v>
      </c>
      <c r="I1213" s="24"/>
    </row>
    <row r="1214">
      <c r="A1214" s="23">
        <f>IFERROR(__xludf.DUMMYFUNCTION("""COMPUTED_VALUE"""),44751.77749425926)</f>
        <v>44751.77749</v>
      </c>
      <c r="B1214" s="24" t="str">
        <f>IFERROR(__xludf.DUMMYFUNCTION("""COMPUTED_VALUE"""),"Claire")</f>
        <v>Claire</v>
      </c>
      <c r="C1214" s="24">
        <f>IFERROR(__xludf.DUMMYFUNCTION("""COMPUTED_VALUE"""),-1486.0)</f>
        <v>-1486</v>
      </c>
      <c r="D1214" s="24" t="str">
        <f>IFERROR(__xludf.DUMMYFUNCTION("""COMPUTED_VALUE"""),"Drinks")</f>
        <v>Drinks</v>
      </c>
      <c r="F1214" s="23">
        <f>IFERROR(__xludf.DUMMYFUNCTION("""COMPUTED_VALUE"""),44771.71102091435)</f>
        <v>44771.71102</v>
      </c>
      <c r="G1214" s="24" t="str">
        <f>IFERROR(__xludf.DUMMYFUNCTION("""COMPUTED_VALUE"""),"JC")</f>
        <v>JC</v>
      </c>
      <c r="H1214" s="24">
        <f>IFERROR(__xludf.DUMMYFUNCTION("""COMPUTED_VALUE"""),102.0)</f>
        <v>102</v>
      </c>
      <c r="I1214" s="24" t="str">
        <f>IFERROR(__xludf.DUMMYFUNCTION("""COMPUTED_VALUE"""),"Bags")</f>
        <v>Bags</v>
      </c>
    </row>
    <row r="1215">
      <c r="A1215" s="23">
        <f>IFERROR(__xludf.DUMMYFUNCTION("""COMPUTED_VALUE"""),44752.698073680556)</f>
        <v>44752.69807</v>
      </c>
      <c r="B1215" s="24" t="str">
        <f>IFERROR(__xludf.DUMMYFUNCTION("""COMPUTED_VALUE"""),"Ausar")</f>
        <v>Ausar</v>
      </c>
      <c r="C1215" s="24">
        <f>IFERROR(__xludf.DUMMYFUNCTION("""COMPUTED_VALUE"""),322.0)</f>
        <v>322</v>
      </c>
      <c r="D1215" s="24" t="str">
        <f>IFERROR(__xludf.DUMMYFUNCTION("""COMPUTED_VALUE"""),"Paper")</f>
        <v>Paper</v>
      </c>
      <c r="F1215" s="23">
        <f>IFERROR(__xludf.DUMMYFUNCTION("""COMPUTED_VALUE"""),44772.0)</f>
        <v>44772</v>
      </c>
      <c r="G1215" s="24" t="str">
        <f>IFERROR(__xludf.DUMMYFUNCTION("""COMPUTED_VALUE"""),"JC")</f>
        <v>JC</v>
      </c>
      <c r="H1215" s="24">
        <f>IFERROR(__xludf.DUMMYFUNCTION("""COMPUTED_VALUE"""),212.0)</f>
        <v>212</v>
      </c>
      <c r="I1215" s="24" t="str">
        <f>IFERROR(__xludf.DUMMYFUNCTION("""COMPUTED_VALUE"""),"Pampers")</f>
        <v>Pampers</v>
      </c>
    </row>
    <row r="1216">
      <c r="A1216" s="23">
        <f>IFERROR(__xludf.DUMMYFUNCTION("""COMPUTED_VALUE"""),44752.69891686343)</f>
        <v>44752.69892</v>
      </c>
      <c r="B1216" s="24" t="str">
        <f>IFERROR(__xludf.DUMMYFUNCTION("""COMPUTED_VALUE"""),"Ausar")</f>
        <v>Ausar</v>
      </c>
      <c r="C1216" s="24">
        <f>IFERROR(__xludf.DUMMYFUNCTION("""COMPUTED_VALUE"""),784.0)</f>
        <v>784</v>
      </c>
      <c r="D1216" s="24" t="str">
        <f>IFERROR(__xludf.DUMMYFUNCTION("""COMPUTED_VALUE"""),"Dairy")</f>
        <v>Dairy</v>
      </c>
      <c r="F1216" s="23">
        <f>IFERROR(__xludf.DUMMYFUNCTION("""COMPUTED_VALUE"""),44772.0)</f>
        <v>44772</v>
      </c>
      <c r="G1216" s="24" t="str">
        <f>IFERROR(__xludf.DUMMYFUNCTION("""COMPUTED_VALUE"""),"JC")</f>
        <v>JC</v>
      </c>
      <c r="H1216" s="24">
        <f>IFERROR(__xludf.DUMMYFUNCTION("""COMPUTED_VALUE"""),902.0)</f>
        <v>902</v>
      </c>
      <c r="I1216" s="24" t="str">
        <f>IFERROR(__xludf.DUMMYFUNCTION("""COMPUTED_VALUE"""),"Frozen")</f>
        <v>Frozen</v>
      </c>
    </row>
    <row r="1217">
      <c r="A1217" s="23">
        <f>IFERROR(__xludf.DUMMYFUNCTION("""COMPUTED_VALUE"""),44752.702373078704)</f>
        <v>44752.70237</v>
      </c>
      <c r="B1217" s="24" t="str">
        <f>IFERROR(__xludf.DUMMYFUNCTION("""COMPUTED_VALUE"""),"Ausar")</f>
        <v>Ausar</v>
      </c>
      <c r="C1217" s="24">
        <f>IFERROR(__xludf.DUMMYFUNCTION("""COMPUTED_VALUE"""),297.0)</f>
        <v>297</v>
      </c>
      <c r="D1217" s="24" t="str">
        <f>IFERROR(__xludf.DUMMYFUNCTION("""COMPUTED_VALUE"""),"Ice cream ")</f>
        <v>Ice cream </v>
      </c>
      <c r="F1217" s="23">
        <f>IFERROR(__xludf.DUMMYFUNCTION("""COMPUTED_VALUE"""),44772.0)</f>
        <v>44772</v>
      </c>
      <c r="G1217" s="24" t="str">
        <f>IFERROR(__xludf.DUMMYFUNCTION("""COMPUTED_VALUE"""),"JC")</f>
        <v>JC</v>
      </c>
      <c r="H1217" s="24">
        <f>IFERROR(__xludf.DUMMYFUNCTION("""COMPUTED_VALUE"""),557.0)</f>
        <v>557</v>
      </c>
      <c r="I1217" s="24" t="str">
        <f>IFERROR(__xludf.DUMMYFUNCTION("""COMPUTED_VALUE"""),"Meat &amp; Frozen")</f>
        <v>Meat &amp; Frozen</v>
      </c>
    </row>
    <row r="1218">
      <c r="A1218" s="23">
        <f>IFERROR(__xludf.DUMMYFUNCTION("""COMPUTED_VALUE"""),44752.70322685185)</f>
        <v>44752.70323</v>
      </c>
      <c r="B1218" s="24" t="str">
        <f>IFERROR(__xludf.DUMMYFUNCTION("""COMPUTED_VALUE"""),"Ausar")</f>
        <v>Ausar</v>
      </c>
      <c r="C1218" s="24">
        <f>IFERROR(__xludf.DUMMYFUNCTION("""COMPUTED_VALUE"""),294.0)</f>
        <v>294</v>
      </c>
      <c r="D1218" s="24" t="str">
        <f>IFERROR(__xludf.DUMMYFUNCTION("""COMPUTED_VALUE"""),"Chicken")</f>
        <v>Chicken</v>
      </c>
      <c r="F1218" s="23">
        <f>IFERROR(__xludf.DUMMYFUNCTION("""COMPUTED_VALUE"""),44772.0)</f>
        <v>44772</v>
      </c>
      <c r="G1218" s="24" t="str">
        <f>IFERROR(__xludf.DUMMYFUNCTION("""COMPUTED_VALUE"""),"Cheryl Utsey")</f>
        <v>Cheryl Utsey</v>
      </c>
      <c r="H1218" s="24">
        <f>IFERROR(__xludf.DUMMYFUNCTION("""COMPUTED_VALUE"""),19.0)</f>
        <v>19</v>
      </c>
      <c r="I1218" s="24"/>
    </row>
    <row r="1219">
      <c r="A1219" s="23">
        <f>IFERROR(__xludf.DUMMYFUNCTION("""COMPUTED_VALUE"""),44752.70352270834)</f>
        <v>44752.70352</v>
      </c>
      <c r="B1219" s="24" t="str">
        <f>IFERROR(__xludf.DUMMYFUNCTION("""COMPUTED_VALUE"""),"Ausar")</f>
        <v>Ausar</v>
      </c>
      <c r="C1219" s="24">
        <f>IFERROR(__xludf.DUMMYFUNCTION("""COMPUTED_VALUE"""),69.0)</f>
        <v>69</v>
      </c>
      <c r="D1219" s="24" t="str">
        <f>IFERROR(__xludf.DUMMYFUNCTION("""COMPUTED_VALUE"""),"Dairy")</f>
        <v>Dairy</v>
      </c>
      <c r="F1219" s="23">
        <f>IFERROR(__xludf.DUMMYFUNCTION("""COMPUTED_VALUE"""),44772.0)</f>
        <v>44772</v>
      </c>
      <c r="G1219" s="24" t="str">
        <f>IFERROR(__xludf.DUMMYFUNCTION("""COMPUTED_VALUE"""),"Denise Brown")</f>
        <v>Denise Brown</v>
      </c>
      <c r="H1219" s="24">
        <f>IFERROR(__xludf.DUMMYFUNCTION("""COMPUTED_VALUE"""),13.0)</f>
        <v>13</v>
      </c>
      <c r="I1219" s="24"/>
    </row>
    <row r="1220">
      <c r="A1220" s="23">
        <f>IFERROR(__xludf.DUMMYFUNCTION("""COMPUTED_VALUE"""),44752.704216736114)</f>
        <v>44752.70422</v>
      </c>
      <c r="B1220" s="24" t="str">
        <f>IFERROR(__xludf.DUMMYFUNCTION("""COMPUTED_VALUE"""),"Ausar")</f>
        <v>Ausar</v>
      </c>
      <c r="C1220" s="24">
        <f>IFERROR(__xludf.DUMMYFUNCTION("""COMPUTED_VALUE"""),375.0)</f>
        <v>375</v>
      </c>
      <c r="D1220" s="24" t="str">
        <f>IFERROR(__xludf.DUMMYFUNCTION("""COMPUTED_VALUE"""),"Assorted option")</f>
        <v>Assorted option</v>
      </c>
      <c r="F1220" s="23">
        <f>IFERROR(__xludf.DUMMYFUNCTION("""COMPUTED_VALUE"""),44772.0)</f>
        <v>44772</v>
      </c>
      <c r="G1220" s="24" t="str">
        <f>IFERROR(__xludf.DUMMYFUNCTION("""COMPUTED_VALUE"""),"Janet Lomax")</f>
        <v>Janet Lomax</v>
      </c>
      <c r="H1220" s="24">
        <f>IFERROR(__xludf.DUMMYFUNCTION("""COMPUTED_VALUE"""),20.0)</f>
        <v>20</v>
      </c>
      <c r="I1220" s="24"/>
    </row>
    <row r="1221">
      <c r="A1221" s="23">
        <f>IFERROR(__xludf.DUMMYFUNCTION("""COMPUTED_VALUE"""),44752.711959259264)</f>
        <v>44752.71196</v>
      </c>
      <c r="B1221" s="24" t="str">
        <f>IFERROR(__xludf.DUMMYFUNCTION("""COMPUTED_VALUE"""),"Ausar")</f>
        <v>Ausar</v>
      </c>
      <c r="C1221" s="24">
        <f>IFERROR(__xludf.DUMMYFUNCTION("""COMPUTED_VALUE"""),12.0)</f>
        <v>12</v>
      </c>
      <c r="D1221" s="24" t="str">
        <f>IFERROR(__xludf.DUMMYFUNCTION("""COMPUTED_VALUE"""),"Assorted option")</f>
        <v>Assorted option</v>
      </c>
      <c r="F1221" s="23">
        <f>IFERROR(__xludf.DUMMYFUNCTION("""COMPUTED_VALUE"""),44772.0)</f>
        <v>44772</v>
      </c>
      <c r="G1221" s="24" t="str">
        <f>IFERROR(__xludf.DUMMYFUNCTION("""COMPUTED_VALUE"""),"M Angeles")</f>
        <v>M Angeles</v>
      </c>
      <c r="H1221" s="24">
        <f>IFERROR(__xludf.DUMMYFUNCTION("""COMPUTED_VALUE"""),20.0)</f>
        <v>20</v>
      </c>
      <c r="I1221" s="24"/>
    </row>
    <row r="1222">
      <c r="A1222" s="23">
        <f>IFERROR(__xludf.DUMMYFUNCTION("""COMPUTED_VALUE"""),44754.0)</f>
        <v>44754</v>
      </c>
      <c r="B1222" s="24" t="str">
        <f>IFERROR(__xludf.DUMMYFUNCTION("""COMPUTED_VALUE"""),"Claire")</f>
        <v>Claire</v>
      </c>
      <c r="C1222" s="24">
        <f>IFERROR(__xludf.DUMMYFUNCTION("""COMPUTED_VALUE"""),43.0)</f>
        <v>43</v>
      </c>
      <c r="D1222" s="24" t="str">
        <f>IFERROR(__xludf.DUMMYFUNCTION("""COMPUTED_VALUE"""),"Assorted option")</f>
        <v>Assorted option</v>
      </c>
      <c r="F1222" s="23">
        <f>IFERROR(__xludf.DUMMYFUNCTION("""COMPUTED_VALUE"""),44772.0)</f>
        <v>44772</v>
      </c>
      <c r="G1222" s="24" t="str">
        <f>IFERROR(__xludf.DUMMYFUNCTION("""COMPUTED_VALUE"""),"M Angeles")</f>
        <v>M Angeles</v>
      </c>
      <c r="H1222" s="24">
        <f>IFERROR(__xludf.DUMMYFUNCTION("""COMPUTED_VALUE"""),8.0)</f>
        <v>8</v>
      </c>
      <c r="I1222" s="24"/>
    </row>
    <row r="1223">
      <c r="A1223" s="23">
        <f>IFERROR(__xludf.DUMMYFUNCTION("""COMPUTED_VALUE"""),44755.6470950463)</f>
        <v>44755.6471</v>
      </c>
      <c r="B1223" s="24" t="str">
        <f>IFERROR(__xludf.DUMMYFUNCTION("""COMPUTED_VALUE"""),"Deborah Claridy ")</f>
        <v>Deborah Claridy </v>
      </c>
      <c r="C1223" s="24">
        <f>IFERROR(__xludf.DUMMYFUNCTION("""COMPUTED_VALUE"""),174.0)</f>
        <v>174</v>
      </c>
      <c r="D1223" s="24" t="str">
        <f>IFERROR(__xludf.DUMMYFUNCTION("""COMPUTED_VALUE"""),"Paper Goods")</f>
        <v>Paper Goods</v>
      </c>
      <c r="F1223" s="23">
        <f>IFERROR(__xludf.DUMMYFUNCTION("""COMPUTED_VALUE"""),44772.0)</f>
        <v>44772</v>
      </c>
      <c r="G1223" s="24" t="str">
        <f>IFERROR(__xludf.DUMMYFUNCTION("""COMPUTED_VALUE"""),"Gilda")</f>
        <v>Gilda</v>
      </c>
      <c r="H1223" s="24">
        <f>IFERROR(__xludf.DUMMYFUNCTION("""COMPUTED_VALUE"""),17.0)</f>
        <v>17</v>
      </c>
      <c r="I1223" s="24"/>
    </row>
    <row r="1224">
      <c r="A1224" s="23">
        <f>IFERROR(__xludf.DUMMYFUNCTION("""COMPUTED_VALUE"""),44755.65157366898)</f>
        <v>44755.65157</v>
      </c>
      <c r="B1224" s="24" t="str">
        <f>IFERROR(__xludf.DUMMYFUNCTION("""COMPUTED_VALUE"""),"Deborah Claridy ")</f>
        <v>Deborah Claridy </v>
      </c>
      <c r="C1224" s="24">
        <f>IFERROR(__xludf.DUMMYFUNCTION("""COMPUTED_VALUE"""),109.0)</f>
        <v>109</v>
      </c>
      <c r="D1224" s="24" t="str">
        <f>IFERROR(__xludf.DUMMYFUNCTION("""COMPUTED_VALUE"""),"Paper goods")</f>
        <v>Paper goods</v>
      </c>
      <c r="F1224" s="23">
        <f>IFERROR(__xludf.DUMMYFUNCTION("""COMPUTED_VALUE"""),44772.0)</f>
        <v>44772</v>
      </c>
      <c r="G1224" s="24" t="str">
        <f>IFERROR(__xludf.DUMMYFUNCTION("""COMPUTED_VALUE"""),"Clarice")</f>
        <v>Clarice</v>
      </c>
      <c r="H1224" s="24">
        <f>IFERROR(__xludf.DUMMYFUNCTION("""COMPUTED_VALUE"""),40.0)</f>
        <v>40</v>
      </c>
      <c r="I1224" s="24"/>
    </row>
    <row r="1225">
      <c r="A1225" s="23">
        <f>IFERROR(__xludf.DUMMYFUNCTION("""COMPUTED_VALUE"""),44755.65251101852)</f>
        <v>44755.65251</v>
      </c>
      <c r="B1225" s="24" t="str">
        <f>IFERROR(__xludf.DUMMYFUNCTION("""COMPUTED_VALUE"""),"Deborah Claridy ")</f>
        <v>Deborah Claridy </v>
      </c>
      <c r="C1225" s="24">
        <f>IFERROR(__xludf.DUMMYFUNCTION("""COMPUTED_VALUE"""),550.0)</f>
        <v>550</v>
      </c>
      <c r="D1225" s="24" t="str">
        <f>IFERROR(__xludf.DUMMYFUNCTION("""COMPUTED_VALUE"""),"Cleaning products")</f>
        <v>Cleaning products</v>
      </c>
      <c r="F1225" s="23">
        <f>IFERROR(__xludf.DUMMYFUNCTION("""COMPUTED_VALUE"""),44772.0)</f>
        <v>44772</v>
      </c>
      <c r="G1225" s="24" t="str">
        <f>IFERROR(__xludf.DUMMYFUNCTION("""COMPUTED_VALUE"""),"Gabriela")</f>
        <v>Gabriela</v>
      </c>
      <c r="H1225" s="24">
        <f>IFERROR(__xludf.DUMMYFUNCTION("""COMPUTED_VALUE"""),7.0)</f>
        <v>7</v>
      </c>
      <c r="I1225" s="24"/>
    </row>
    <row r="1226">
      <c r="A1226" s="23">
        <f>IFERROR(__xludf.DUMMYFUNCTION("""COMPUTED_VALUE"""),44755.0)</f>
        <v>44755</v>
      </c>
      <c r="B1226" s="24" t="str">
        <f>IFERROR(__xludf.DUMMYFUNCTION("""COMPUTED_VALUE"""),"Claire")</f>
        <v>Claire</v>
      </c>
      <c r="C1226" s="24">
        <f>IFERROR(__xludf.DUMMYFUNCTION("""COMPUTED_VALUE"""),89.0)</f>
        <v>89</v>
      </c>
      <c r="D1226" s="24" t="str">
        <f>IFERROR(__xludf.DUMMYFUNCTION("""COMPUTED_VALUE"""),"Assort")</f>
        <v>Assort</v>
      </c>
      <c r="F1226" s="23">
        <f>IFERROR(__xludf.DUMMYFUNCTION("""COMPUTED_VALUE"""),44772.0)</f>
        <v>44772</v>
      </c>
      <c r="G1226" s="24" t="str">
        <f>IFERROR(__xludf.DUMMYFUNCTION("""COMPUTED_VALUE"""),"Rilynn")</f>
        <v>Rilynn</v>
      </c>
      <c r="H1226" s="24">
        <f>IFERROR(__xludf.DUMMYFUNCTION("""COMPUTED_VALUE"""),3.0)</f>
        <v>3</v>
      </c>
      <c r="I1226" s="24"/>
    </row>
    <row r="1227">
      <c r="A1227" s="23">
        <f>IFERROR(__xludf.DUMMYFUNCTION("""COMPUTED_VALUE"""),44755.81808693287)</f>
        <v>44755.81809</v>
      </c>
      <c r="B1227" s="24" t="str">
        <f>IFERROR(__xludf.DUMMYFUNCTION("""COMPUTED_VALUE"""),"Trav")</f>
        <v>Trav</v>
      </c>
      <c r="C1227" s="24">
        <f>IFERROR(__xludf.DUMMYFUNCTION("""COMPUTED_VALUE"""),25.0)</f>
        <v>25</v>
      </c>
      <c r="D1227" s="24" t="str">
        <f>IFERROR(__xludf.DUMMYFUNCTION("""COMPUTED_VALUE"""),"Assorted option")</f>
        <v>Assorted option</v>
      </c>
      <c r="F1227" s="23">
        <f>IFERROR(__xludf.DUMMYFUNCTION("""COMPUTED_VALUE"""),44772.0)</f>
        <v>44772</v>
      </c>
      <c r="G1227" s="24" t="str">
        <f>IFERROR(__xludf.DUMMYFUNCTION("""COMPUTED_VALUE"""),"Dean Chien")</f>
        <v>Dean Chien</v>
      </c>
      <c r="H1227" s="24">
        <f>IFERROR(__xludf.DUMMYFUNCTION("""COMPUTED_VALUE"""),7.0)</f>
        <v>7</v>
      </c>
      <c r="I1227" s="24"/>
    </row>
    <row r="1228">
      <c r="A1228" s="23">
        <f>IFERROR(__xludf.DUMMYFUNCTION("""COMPUTED_VALUE"""),44756.79770251157)</f>
        <v>44756.7977</v>
      </c>
      <c r="B1228" s="24" t="str">
        <f>IFERROR(__xludf.DUMMYFUNCTION("""COMPUTED_VALUE"""),"Claire")</f>
        <v>Claire</v>
      </c>
      <c r="C1228" s="24">
        <f>IFERROR(__xludf.DUMMYFUNCTION("""COMPUTED_VALUE"""),179.0)</f>
        <v>179</v>
      </c>
      <c r="D1228" s="24" t="str">
        <f>IFERROR(__xludf.DUMMYFUNCTION("""COMPUTED_VALUE"""),"Paper goods")</f>
        <v>Paper goods</v>
      </c>
      <c r="F1228" s="23">
        <f>IFERROR(__xludf.DUMMYFUNCTION("""COMPUTED_VALUE"""),44772.62900241897)</f>
        <v>44772.629</v>
      </c>
      <c r="G1228" s="24" t="str">
        <f>IFERROR(__xludf.DUMMYFUNCTION("""COMPUTED_VALUE"""),"JC")</f>
        <v>JC</v>
      </c>
      <c r="H1228" s="24">
        <f>IFERROR(__xludf.DUMMYFUNCTION("""COMPUTED_VALUE"""),643.0)</f>
        <v>643</v>
      </c>
      <c r="I1228" s="24" t="str">
        <f>IFERROR(__xludf.DUMMYFUNCTION("""COMPUTED_VALUE"""),"Produce")</f>
        <v>Produce</v>
      </c>
    </row>
    <row r="1229">
      <c r="A1229" s="23">
        <f>IFERROR(__xludf.DUMMYFUNCTION("""COMPUTED_VALUE"""),44756.798221944446)</f>
        <v>44756.79822</v>
      </c>
      <c r="B1229" s="24" t="str">
        <f>IFERROR(__xludf.DUMMYFUNCTION("""COMPUTED_VALUE"""),"Claire")</f>
        <v>Claire</v>
      </c>
      <c r="C1229" s="24">
        <f>IFERROR(__xludf.DUMMYFUNCTION("""COMPUTED_VALUE"""),284.0)</f>
        <v>284</v>
      </c>
      <c r="D1229" s="24" t="str">
        <f>IFERROR(__xludf.DUMMYFUNCTION("""COMPUTED_VALUE"""),"Cleaning")</f>
        <v>Cleaning</v>
      </c>
      <c r="F1229" s="23">
        <f>IFERROR(__xludf.DUMMYFUNCTION("""COMPUTED_VALUE"""),44772.629376944446)</f>
        <v>44772.62938</v>
      </c>
      <c r="G1229" s="24" t="str">
        <f>IFERROR(__xludf.DUMMYFUNCTION("""COMPUTED_VALUE"""),"JC")</f>
        <v>JC</v>
      </c>
      <c r="H1229" s="24">
        <f>IFERROR(__xludf.DUMMYFUNCTION("""COMPUTED_VALUE"""),242.0)</f>
        <v>242</v>
      </c>
      <c r="I1229" s="24" t="str">
        <f>IFERROR(__xludf.DUMMYFUNCTION("""COMPUTED_VALUE"""),"Cleaning Supplies")</f>
        <v>Cleaning Supplies</v>
      </c>
    </row>
    <row r="1230">
      <c r="A1230" s="23">
        <f>IFERROR(__xludf.DUMMYFUNCTION("""COMPUTED_VALUE"""),44756.799140682866)</f>
        <v>44756.79914</v>
      </c>
      <c r="B1230" s="24" t="str">
        <f>IFERROR(__xludf.DUMMYFUNCTION("""COMPUTED_VALUE"""),"Claire")</f>
        <v>Claire</v>
      </c>
      <c r="C1230" s="24">
        <f>IFERROR(__xludf.DUMMYFUNCTION("""COMPUTED_VALUE"""),663.0)</f>
        <v>663</v>
      </c>
      <c r="D1230" s="24" t="str">
        <f>IFERROR(__xludf.DUMMYFUNCTION("""COMPUTED_VALUE"""),"Snacks")</f>
        <v>Snacks</v>
      </c>
      <c r="F1230" s="23">
        <f>IFERROR(__xludf.DUMMYFUNCTION("""COMPUTED_VALUE"""),44772.6892380787)</f>
        <v>44772.68924</v>
      </c>
      <c r="G1230" s="24" t="str">
        <f>IFERROR(__xludf.DUMMYFUNCTION("""COMPUTED_VALUE"""),"Claire")</f>
        <v>Claire</v>
      </c>
      <c r="H1230" s="24">
        <f>IFERROR(__xludf.DUMMYFUNCTION("""COMPUTED_VALUE"""),200.0)</f>
        <v>200</v>
      </c>
      <c r="I1230" s="24" t="str">
        <f>IFERROR(__xludf.DUMMYFUNCTION("""COMPUTED_VALUE"""),"Frozen")</f>
        <v>Frozen</v>
      </c>
    </row>
    <row r="1231">
      <c r="A1231" s="23">
        <f>IFERROR(__xludf.DUMMYFUNCTION("""COMPUTED_VALUE"""),44756.79958525463)</f>
        <v>44756.79959</v>
      </c>
      <c r="B1231" s="24" t="str">
        <f>IFERROR(__xludf.DUMMYFUNCTION("""COMPUTED_VALUE"""),"Claire")</f>
        <v>Claire</v>
      </c>
      <c r="C1231" s="24">
        <f>IFERROR(__xludf.DUMMYFUNCTION("""COMPUTED_VALUE"""),339.0)</f>
        <v>339</v>
      </c>
      <c r="D1231" s="24" t="str">
        <f>IFERROR(__xludf.DUMMYFUNCTION("""COMPUTED_VALUE"""),"Cleaning")</f>
        <v>Cleaning</v>
      </c>
      <c r="F1231" s="23">
        <f>IFERROR(__xludf.DUMMYFUNCTION("""COMPUTED_VALUE"""),44772.69013130786)</f>
        <v>44772.69013</v>
      </c>
      <c r="G1231" s="24" t="str">
        <f>IFERROR(__xludf.DUMMYFUNCTION("""COMPUTED_VALUE"""),"Claire")</f>
        <v>Claire</v>
      </c>
      <c r="H1231" s="24">
        <f>IFERROR(__xludf.DUMMYFUNCTION("""COMPUTED_VALUE"""),442.0)</f>
        <v>442</v>
      </c>
      <c r="I1231" s="24" t="str">
        <f>IFERROR(__xludf.DUMMYFUNCTION("""COMPUTED_VALUE"""),"Bags")</f>
        <v>Bags</v>
      </c>
    </row>
    <row r="1232">
      <c r="A1232" s="23">
        <f>IFERROR(__xludf.DUMMYFUNCTION("""COMPUTED_VALUE"""),44757.70773194444)</f>
        <v>44757.70773</v>
      </c>
      <c r="B1232" s="24" t="str">
        <f>IFERROR(__xludf.DUMMYFUNCTION("""COMPUTED_VALUE"""),"Sunita Pathik")</f>
        <v>Sunita Pathik</v>
      </c>
      <c r="C1232" s="24">
        <f>IFERROR(__xludf.DUMMYFUNCTION("""COMPUTED_VALUE"""),100.0)</f>
        <v>100</v>
      </c>
      <c r="D1232" s="24" t="str">
        <f>IFERROR(__xludf.DUMMYFUNCTION("""COMPUTED_VALUE"""),"Assorted option")</f>
        <v>Assorted option</v>
      </c>
      <c r="F1232" s="23">
        <f>IFERROR(__xludf.DUMMYFUNCTION("""COMPUTED_VALUE"""),44772.69065251158)</f>
        <v>44772.69065</v>
      </c>
      <c r="G1232" s="24" t="str">
        <f>IFERROR(__xludf.DUMMYFUNCTION("""COMPUTED_VALUE"""),"Claire")</f>
        <v>Claire</v>
      </c>
      <c r="H1232" s="24">
        <f>IFERROR(__xludf.DUMMYFUNCTION("""COMPUTED_VALUE"""),671.0)</f>
        <v>671</v>
      </c>
      <c r="I1232" s="24" t="str">
        <f>IFERROR(__xludf.DUMMYFUNCTION("""COMPUTED_VALUE"""),"Produce")</f>
        <v>Produce</v>
      </c>
    </row>
    <row r="1233">
      <c r="A1233" s="23">
        <f>IFERROR(__xludf.DUMMYFUNCTION("""COMPUTED_VALUE"""),44757.71485751157)</f>
        <v>44757.71486</v>
      </c>
      <c r="B1233" s="24" t="str">
        <f>IFERROR(__xludf.DUMMYFUNCTION("""COMPUTED_VALUE"""),"Claire")</f>
        <v>Claire</v>
      </c>
      <c r="C1233" s="24">
        <f>IFERROR(__xludf.DUMMYFUNCTION("""COMPUTED_VALUE"""),209.0)</f>
        <v>209</v>
      </c>
      <c r="D1233" s="24" t="str">
        <f>IFERROR(__xludf.DUMMYFUNCTION("""COMPUTED_VALUE"""),"Paper products")</f>
        <v>Paper products</v>
      </c>
      <c r="F1233" s="23">
        <f>IFERROR(__xludf.DUMMYFUNCTION("""COMPUTED_VALUE"""),44772.690946215276)</f>
        <v>44772.69095</v>
      </c>
      <c r="G1233" s="24" t="str">
        <f>IFERROR(__xludf.DUMMYFUNCTION("""COMPUTED_VALUE"""),"Claire")</f>
        <v>Claire</v>
      </c>
      <c r="H1233" s="24">
        <f>IFERROR(__xludf.DUMMYFUNCTION("""COMPUTED_VALUE"""),327.0)</f>
        <v>327</v>
      </c>
      <c r="I1233" s="24" t="str">
        <f>IFERROR(__xludf.DUMMYFUNCTION("""COMPUTED_VALUE"""),"Produce")</f>
        <v>Produce</v>
      </c>
    </row>
    <row r="1234">
      <c r="A1234" s="23">
        <f>IFERROR(__xludf.DUMMYFUNCTION("""COMPUTED_VALUE"""),44757.71517969907)</f>
        <v>44757.71518</v>
      </c>
      <c r="B1234" s="24" t="str">
        <f>IFERROR(__xludf.DUMMYFUNCTION("""COMPUTED_VALUE"""),"Claire")</f>
        <v>Claire</v>
      </c>
      <c r="C1234" s="24">
        <f>IFERROR(__xludf.DUMMYFUNCTION("""COMPUTED_VALUE"""),184.0)</f>
        <v>184</v>
      </c>
      <c r="D1234" s="24" t="str">
        <f>IFERROR(__xludf.DUMMYFUNCTION("""COMPUTED_VALUE"""),"Paper products ")</f>
        <v>Paper products </v>
      </c>
      <c r="F1234" s="23">
        <f>IFERROR(__xludf.DUMMYFUNCTION("""COMPUTED_VALUE"""),44772.69119273148)</f>
        <v>44772.69119</v>
      </c>
      <c r="G1234" s="24" t="str">
        <f>IFERROR(__xludf.DUMMYFUNCTION("""COMPUTED_VALUE"""),"Claire")</f>
        <v>Claire</v>
      </c>
      <c r="H1234" s="24">
        <f>IFERROR(__xludf.DUMMYFUNCTION("""COMPUTED_VALUE"""),1087.0)</f>
        <v>1087</v>
      </c>
      <c r="I1234" s="24" t="str">
        <f>IFERROR(__xludf.DUMMYFUNCTION("""COMPUTED_VALUE"""),"Frozen")</f>
        <v>Frozen</v>
      </c>
    </row>
    <row r="1235">
      <c r="A1235" s="23">
        <f>IFERROR(__xludf.DUMMYFUNCTION("""COMPUTED_VALUE"""),44757.71567898148)</f>
        <v>44757.71568</v>
      </c>
      <c r="B1235" s="24" t="str">
        <f>IFERROR(__xludf.DUMMYFUNCTION("""COMPUTED_VALUE"""),"Claire")</f>
        <v>Claire</v>
      </c>
      <c r="C1235" s="24">
        <f>IFERROR(__xludf.DUMMYFUNCTION("""COMPUTED_VALUE"""),97.0)</f>
        <v>97</v>
      </c>
      <c r="D1235" s="24" t="str">
        <f>IFERROR(__xludf.DUMMYFUNCTION("""COMPUTED_VALUE"""),"Snacks")</f>
        <v>Snacks</v>
      </c>
      <c r="F1235" s="23">
        <f>IFERROR(__xludf.DUMMYFUNCTION("""COMPUTED_VALUE"""),44772.69214085649)</f>
        <v>44772.69214</v>
      </c>
      <c r="G1235" s="24" t="str">
        <f>IFERROR(__xludf.DUMMYFUNCTION("""COMPUTED_VALUE"""),"Claire")</f>
        <v>Claire</v>
      </c>
      <c r="H1235" s="24">
        <f>IFERROR(__xludf.DUMMYFUNCTION("""COMPUTED_VALUE"""),242.0)</f>
        <v>242</v>
      </c>
      <c r="I1235" s="24" t="str">
        <f>IFERROR(__xludf.DUMMYFUNCTION("""COMPUTED_VALUE"""),"Frozen")</f>
        <v>Frozen</v>
      </c>
    </row>
    <row r="1236">
      <c r="A1236" s="23">
        <f>IFERROR(__xludf.DUMMYFUNCTION("""COMPUTED_VALUE"""),44757.7171358912)</f>
        <v>44757.71714</v>
      </c>
      <c r="B1236" s="24" t="str">
        <f>IFERROR(__xludf.DUMMYFUNCTION("""COMPUTED_VALUE"""),"Claire")</f>
        <v>Claire</v>
      </c>
      <c r="C1236" s="24">
        <f>IFERROR(__xludf.DUMMYFUNCTION("""COMPUTED_VALUE"""),521.0)</f>
        <v>521</v>
      </c>
      <c r="D1236" s="24" t="str">
        <f>IFERROR(__xludf.DUMMYFUNCTION("""COMPUTED_VALUE"""),"Cleaning")</f>
        <v>Cleaning</v>
      </c>
      <c r="F1236" s="23">
        <f>IFERROR(__xludf.DUMMYFUNCTION("""COMPUTED_VALUE"""),44772.69270938657)</f>
        <v>44772.69271</v>
      </c>
      <c r="G1236" s="24" t="str">
        <f>IFERROR(__xludf.DUMMYFUNCTION("""COMPUTED_VALUE"""),"Claire")</f>
        <v>Claire</v>
      </c>
      <c r="H1236" s="24">
        <f>IFERROR(__xludf.DUMMYFUNCTION("""COMPUTED_VALUE"""),-531.0)</f>
        <v>-531</v>
      </c>
      <c r="I1236" s="24" t="str">
        <f>IFERROR(__xludf.DUMMYFUNCTION("""COMPUTED_VALUE"""),"Frozen")</f>
        <v>Frozen</v>
      </c>
    </row>
    <row r="1237">
      <c r="A1237" s="23">
        <f>IFERROR(__xludf.DUMMYFUNCTION("""COMPUTED_VALUE"""),44757.71885694445)</f>
        <v>44757.71886</v>
      </c>
      <c r="B1237" s="24" t="str">
        <f>IFERROR(__xludf.DUMMYFUNCTION("""COMPUTED_VALUE"""),"Claire")</f>
        <v>Claire</v>
      </c>
      <c r="C1237" s="24">
        <f>IFERROR(__xludf.DUMMYFUNCTION("""COMPUTED_VALUE"""),186.0)</f>
        <v>186</v>
      </c>
      <c r="D1237" s="24" t="str">
        <f>IFERROR(__xludf.DUMMYFUNCTION("""COMPUTED_VALUE"""),"Assorted option")</f>
        <v>Assorted option</v>
      </c>
      <c r="F1237" s="23">
        <f>IFERROR(__xludf.DUMMYFUNCTION("""COMPUTED_VALUE"""),44772.69311193287)</f>
        <v>44772.69311</v>
      </c>
      <c r="G1237" s="24" t="str">
        <f>IFERROR(__xludf.DUMMYFUNCTION("""COMPUTED_VALUE"""),"Claire")</f>
        <v>Claire</v>
      </c>
      <c r="H1237" s="24">
        <f>IFERROR(__xludf.DUMMYFUNCTION("""COMPUTED_VALUE"""),-510.0)</f>
        <v>-510</v>
      </c>
      <c r="I1237" s="24" t="str">
        <f>IFERROR(__xludf.DUMMYFUNCTION("""COMPUTED_VALUE"""),"Produce")</f>
        <v>Produce</v>
      </c>
    </row>
    <row r="1238">
      <c r="A1238" s="23">
        <f>IFERROR(__xludf.DUMMYFUNCTION("""COMPUTED_VALUE"""),44757.72979766204)</f>
        <v>44757.7298</v>
      </c>
      <c r="B1238" s="24" t="str">
        <f>IFERROR(__xludf.DUMMYFUNCTION("""COMPUTED_VALUE"""),"Claire")</f>
        <v>Claire</v>
      </c>
      <c r="C1238" s="24">
        <f>IFERROR(__xludf.DUMMYFUNCTION("""COMPUTED_VALUE"""),779.0)</f>
        <v>779</v>
      </c>
      <c r="D1238" s="24" t="str">
        <f>IFERROR(__xludf.DUMMYFUNCTION("""COMPUTED_VALUE"""),"Assort box")</f>
        <v>Assort box</v>
      </c>
      <c r="F1238" s="23">
        <f>IFERROR(__xludf.DUMMYFUNCTION("""COMPUTED_VALUE"""),44772.695657523145)</f>
        <v>44772.69566</v>
      </c>
      <c r="G1238" s="24" t="str">
        <f>IFERROR(__xludf.DUMMYFUNCTION("""COMPUTED_VALUE"""),"Gabriela")</f>
        <v>Gabriela</v>
      </c>
      <c r="H1238" s="24">
        <f>IFERROR(__xludf.DUMMYFUNCTION("""COMPUTED_VALUE"""),19.0)</f>
        <v>19</v>
      </c>
      <c r="I1238" s="24"/>
    </row>
    <row r="1239">
      <c r="A1239" s="23">
        <f>IFERROR(__xludf.DUMMYFUNCTION("""COMPUTED_VALUE"""),44757.73004575231)</f>
        <v>44757.73005</v>
      </c>
      <c r="B1239" s="24" t="str">
        <f>IFERROR(__xludf.DUMMYFUNCTION("""COMPUTED_VALUE"""),"Claire")</f>
        <v>Claire</v>
      </c>
      <c r="C1239" s="24">
        <f>IFERROR(__xludf.DUMMYFUNCTION("""COMPUTED_VALUE"""),746.0)</f>
        <v>746</v>
      </c>
      <c r="D1239" s="24" t="str">
        <f>IFERROR(__xludf.DUMMYFUNCTION("""COMPUTED_VALUE"""),"Assort box")</f>
        <v>Assort box</v>
      </c>
      <c r="F1239" s="23">
        <f>IFERROR(__xludf.DUMMYFUNCTION("""COMPUTED_VALUE"""),44772.70205893519)</f>
        <v>44772.70206</v>
      </c>
      <c r="G1239" s="24" t="str">
        <f>IFERROR(__xludf.DUMMYFUNCTION("""COMPUTED_VALUE"""),"Rilynn")</f>
        <v>Rilynn</v>
      </c>
      <c r="H1239" s="24">
        <f>IFERROR(__xludf.DUMMYFUNCTION("""COMPUTED_VALUE"""),21.0)</f>
        <v>21</v>
      </c>
      <c r="I1239" s="24"/>
    </row>
    <row r="1240">
      <c r="A1240" s="23">
        <f>IFERROR(__xludf.DUMMYFUNCTION("""COMPUTED_VALUE"""),44757.730322870375)</f>
        <v>44757.73032</v>
      </c>
      <c r="B1240" s="24" t="str">
        <f>IFERROR(__xludf.DUMMYFUNCTION("""COMPUTED_VALUE"""),"Claire")</f>
        <v>Claire</v>
      </c>
      <c r="C1240" s="24">
        <f>IFERROR(__xludf.DUMMYFUNCTION("""COMPUTED_VALUE"""),693.0)</f>
        <v>693</v>
      </c>
      <c r="D1240" s="24" t="str">
        <f>IFERROR(__xludf.DUMMYFUNCTION("""COMPUTED_VALUE"""),"Assort box")</f>
        <v>Assort box</v>
      </c>
      <c r="F1240" s="23">
        <f>IFERROR(__xludf.DUMMYFUNCTION("""COMPUTED_VALUE"""),44772.70230526621)</f>
        <v>44772.70231</v>
      </c>
      <c r="G1240" s="24" t="str">
        <f>IFERROR(__xludf.DUMMYFUNCTION("""COMPUTED_VALUE"""),"Tyrese")</f>
        <v>Tyrese</v>
      </c>
      <c r="H1240" s="24">
        <f>IFERROR(__xludf.DUMMYFUNCTION("""COMPUTED_VALUE"""),19.0)</f>
        <v>19</v>
      </c>
      <c r="I1240" s="24"/>
    </row>
    <row r="1241">
      <c r="A1241" s="23">
        <f>IFERROR(__xludf.DUMMYFUNCTION("""COMPUTED_VALUE"""),44757.730525810184)</f>
        <v>44757.73053</v>
      </c>
      <c r="B1241" s="24" t="str">
        <f>IFERROR(__xludf.DUMMYFUNCTION("""COMPUTED_VALUE"""),"Claire")</f>
        <v>Claire</v>
      </c>
      <c r="C1241" s="24">
        <f>IFERROR(__xludf.DUMMYFUNCTION("""COMPUTED_VALUE"""),744.0)</f>
        <v>744</v>
      </c>
      <c r="D1241" s="24" t="str">
        <f>IFERROR(__xludf.DUMMYFUNCTION("""COMPUTED_VALUE"""),"Assort box")</f>
        <v>Assort box</v>
      </c>
      <c r="F1241" s="23">
        <f>IFERROR(__xludf.DUMMYFUNCTION("""COMPUTED_VALUE"""),44772.70294413195)</f>
        <v>44772.70294</v>
      </c>
      <c r="G1241" s="24" t="str">
        <f>IFERROR(__xludf.DUMMYFUNCTION("""COMPUTED_VALUE"""),"Claire")</f>
        <v>Claire</v>
      </c>
      <c r="H1241" s="24">
        <f>IFERROR(__xludf.DUMMYFUNCTION("""COMPUTED_VALUE"""),-659.0)</f>
        <v>-659</v>
      </c>
      <c r="I1241" s="24" t="str">
        <f>IFERROR(__xludf.DUMMYFUNCTION("""COMPUTED_VALUE"""),"Drinks&amp;cleaning")</f>
        <v>Drinks&amp;cleaning</v>
      </c>
    </row>
    <row r="1242">
      <c r="A1242" s="23">
        <f>IFERROR(__xludf.DUMMYFUNCTION("""COMPUTED_VALUE"""),44757.73075134259)</f>
        <v>44757.73075</v>
      </c>
      <c r="B1242" s="24" t="str">
        <f>IFERROR(__xludf.DUMMYFUNCTION("""COMPUTED_VALUE"""),"Claire")</f>
        <v>Claire</v>
      </c>
      <c r="C1242" s="24">
        <f>IFERROR(__xludf.DUMMYFUNCTION("""COMPUTED_VALUE"""),751.0)</f>
        <v>751</v>
      </c>
      <c r="D1242" s="24" t="str">
        <f>IFERROR(__xludf.DUMMYFUNCTION("""COMPUTED_VALUE"""),"Assort box")</f>
        <v>Assort box</v>
      </c>
      <c r="F1242" s="23">
        <f>IFERROR(__xludf.DUMMYFUNCTION("""COMPUTED_VALUE"""),44772.703289062505)</f>
        <v>44772.70329</v>
      </c>
      <c r="G1242" s="24" t="str">
        <f>IFERROR(__xludf.DUMMYFUNCTION("""COMPUTED_VALUE"""),"Claire")</f>
        <v>Claire</v>
      </c>
      <c r="H1242" s="24">
        <f>IFERROR(__xludf.DUMMYFUNCTION("""COMPUTED_VALUE"""),-126.0)</f>
        <v>-126</v>
      </c>
      <c r="I1242" s="24" t="str">
        <f>IFERROR(__xludf.DUMMYFUNCTION("""COMPUTED_VALUE"""),"Paper products")</f>
        <v>Paper products</v>
      </c>
    </row>
    <row r="1243">
      <c r="A1243" s="23">
        <f>IFERROR(__xludf.DUMMYFUNCTION("""COMPUTED_VALUE"""),44757.73112228009)</f>
        <v>44757.73112</v>
      </c>
      <c r="B1243" s="24" t="str">
        <f>IFERROR(__xludf.DUMMYFUNCTION("""COMPUTED_VALUE"""),"Claire")</f>
        <v>Claire</v>
      </c>
      <c r="C1243" s="24">
        <f>IFERROR(__xludf.DUMMYFUNCTION("""COMPUTED_VALUE"""),925.0)</f>
        <v>925</v>
      </c>
      <c r="D1243" s="24" t="str">
        <f>IFERROR(__xludf.DUMMYFUNCTION("""COMPUTED_VALUE"""),"Assorted option")</f>
        <v>Assorted option</v>
      </c>
      <c r="F1243" s="23">
        <f>IFERROR(__xludf.DUMMYFUNCTION("""COMPUTED_VALUE"""),44772.70496222222)</f>
        <v>44772.70496</v>
      </c>
      <c r="G1243" s="24" t="str">
        <f>IFERROR(__xludf.DUMMYFUNCTION("""COMPUTED_VALUE"""),"Beverly Pinn")</f>
        <v>Beverly Pinn</v>
      </c>
      <c r="H1243" s="24">
        <f>IFERROR(__xludf.DUMMYFUNCTION("""COMPUTED_VALUE"""),19.0)</f>
        <v>19</v>
      </c>
      <c r="I1243" s="24"/>
    </row>
    <row r="1244">
      <c r="A1244" s="23">
        <f>IFERROR(__xludf.DUMMYFUNCTION("""COMPUTED_VALUE"""),44757.731433726854)</f>
        <v>44757.73143</v>
      </c>
      <c r="B1244" s="24" t="str">
        <f>IFERROR(__xludf.DUMMYFUNCTION("""COMPUTED_VALUE"""),"Claire")</f>
        <v>Claire</v>
      </c>
      <c r="C1244" s="24">
        <f>IFERROR(__xludf.DUMMYFUNCTION("""COMPUTED_VALUE"""),308.0)</f>
        <v>308</v>
      </c>
      <c r="D1244" s="24" t="str">
        <f>IFERROR(__xludf.DUMMYFUNCTION("""COMPUTED_VALUE"""),"Cups/paper products")</f>
        <v>Cups/paper products</v>
      </c>
      <c r="F1244" s="23">
        <f>IFERROR(__xludf.DUMMYFUNCTION("""COMPUTED_VALUE"""),44772.72031684028)</f>
        <v>44772.72032</v>
      </c>
      <c r="G1244" s="24" t="str">
        <f>IFERROR(__xludf.DUMMYFUNCTION("""COMPUTED_VALUE"""),"Dean Chien")</f>
        <v>Dean Chien</v>
      </c>
      <c r="H1244" s="24">
        <f>IFERROR(__xludf.DUMMYFUNCTION("""COMPUTED_VALUE"""),20.0)</f>
        <v>20</v>
      </c>
      <c r="I1244" s="24"/>
    </row>
    <row r="1245">
      <c r="A1245" s="23">
        <f>IFERROR(__xludf.DUMMYFUNCTION("""COMPUTED_VALUE"""),44757.73174576389)</f>
        <v>44757.73175</v>
      </c>
      <c r="B1245" s="24" t="str">
        <f>IFERROR(__xludf.DUMMYFUNCTION("""COMPUTED_VALUE"""),"Claire")</f>
        <v>Claire</v>
      </c>
      <c r="C1245" s="24">
        <f>IFERROR(__xludf.DUMMYFUNCTION("""COMPUTED_VALUE"""),187.0)</f>
        <v>187</v>
      </c>
      <c r="D1245" s="24" t="str">
        <f>IFERROR(__xludf.DUMMYFUNCTION("""COMPUTED_VALUE"""),"Dry goods")</f>
        <v>Dry goods</v>
      </c>
      <c r="F1245" s="23">
        <f>IFERROR(__xludf.DUMMYFUNCTION("""COMPUTED_VALUE"""),44773.0)</f>
        <v>44773</v>
      </c>
      <c r="G1245" s="24" t="str">
        <f>IFERROR(__xludf.DUMMYFUNCTION("""COMPUTED_VALUE"""),"JC")</f>
        <v>JC</v>
      </c>
      <c r="H1245" s="24">
        <f>IFERROR(__xludf.DUMMYFUNCTION("""COMPUTED_VALUE"""),504.0)</f>
        <v>504</v>
      </c>
      <c r="I1245" s="24" t="str">
        <f>IFERROR(__xludf.DUMMYFUNCTION("""COMPUTED_VALUE"""),"Cabbage")</f>
        <v>Cabbage</v>
      </c>
    </row>
    <row r="1246">
      <c r="A1246" s="23">
        <f>IFERROR(__xludf.DUMMYFUNCTION("""COMPUTED_VALUE"""),44757.73203184027)</f>
        <v>44757.73203</v>
      </c>
      <c r="B1246" s="24" t="str">
        <f>IFERROR(__xludf.DUMMYFUNCTION("""COMPUTED_VALUE"""),"Claire")</f>
        <v>Claire</v>
      </c>
      <c r="C1246" s="24">
        <f>IFERROR(__xludf.DUMMYFUNCTION("""COMPUTED_VALUE"""),930.0)</f>
        <v>930</v>
      </c>
      <c r="D1246" s="24" t="str">
        <f>IFERROR(__xludf.DUMMYFUNCTION("""COMPUTED_VALUE"""),"Assorted option")</f>
        <v>Assorted option</v>
      </c>
      <c r="F1246" s="23">
        <f>IFERROR(__xludf.DUMMYFUNCTION("""COMPUTED_VALUE"""),44773.0)</f>
        <v>44773</v>
      </c>
      <c r="G1246" s="24" t="str">
        <f>IFERROR(__xludf.DUMMYFUNCTION("""COMPUTED_VALUE"""),"JC")</f>
        <v>JC</v>
      </c>
      <c r="H1246" s="24">
        <f>IFERROR(__xludf.DUMMYFUNCTION("""COMPUTED_VALUE"""),531.0)</f>
        <v>531</v>
      </c>
      <c r="I1246" s="24" t="str">
        <f>IFERROR(__xludf.DUMMYFUNCTION("""COMPUTED_VALUE"""),"Frozen")</f>
        <v>Frozen</v>
      </c>
    </row>
    <row r="1247">
      <c r="A1247" s="23">
        <f>IFERROR(__xludf.DUMMYFUNCTION("""COMPUTED_VALUE"""),44758.5093907176)</f>
        <v>44758.50939</v>
      </c>
      <c r="B1247" s="24" t="str">
        <f>IFERROR(__xludf.DUMMYFUNCTION("""COMPUTED_VALUE"""),"JC")</f>
        <v>JC</v>
      </c>
      <c r="C1247" s="24">
        <f>IFERROR(__xludf.DUMMYFUNCTION("""COMPUTED_VALUE"""),140.0)</f>
        <v>140</v>
      </c>
      <c r="D1247" s="24" t="str">
        <f>IFERROR(__xludf.DUMMYFUNCTION("""COMPUTED_VALUE"""),"Snacks")</f>
        <v>Snacks</v>
      </c>
      <c r="F1247" s="23">
        <f>IFERROR(__xludf.DUMMYFUNCTION("""COMPUTED_VALUE"""),44773.0)</f>
        <v>44773</v>
      </c>
      <c r="G1247" s="24" t="str">
        <f>IFERROR(__xludf.DUMMYFUNCTION("""COMPUTED_VALUE"""),"JC")</f>
        <v>JC</v>
      </c>
      <c r="H1247" s="24">
        <f>IFERROR(__xludf.DUMMYFUNCTION("""COMPUTED_VALUE"""),266.0)</f>
        <v>266</v>
      </c>
      <c r="I1247" s="24" t="str">
        <f>IFERROR(__xludf.DUMMYFUNCTION("""COMPUTED_VALUE"""),"Grapes")</f>
        <v>Grapes</v>
      </c>
    </row>
    <row r="1248">
      <c r="A1248" s="23">
        <f>IFERROR(__xludf.DUMMYFUNCTION("""COMPUTED_VALUE"""),44758.0)</f>
        <v>44758</v>
      </c>
      <c r="B1248" s="24" t="str">
        <f>IFERROR(__xludf.DUMMYFUNCTION("""COMPUTED_VALUE"""),"Claire")</f>
        <v>Claire</v>
      </c>
      <c r="C1248" s="24">
        <f>IFERROR(__xludf.DUMMYFUNCTION("""COMPUTED_VALUE"""),247.0)</f>
        <v>247</v>
      </c>
      <c r="D1248" s="24" t="str">
        <f>IFERROR(__xludf.DUMMYFUNCTION("""COMPUTED_VALUE"""),"Paper Goods")</f>
        <v>Paper Goods</v>
      </c>
      <c r="F1248" s="23">
        <f>IFERROR(__xludf.DUMMYFUNCTION("""COMPUTED_VALUE"""),44773.0)</f>
        <v>44773</v>
      </c>
      <c r="G1248" s="24" t="str">
        <f>IFERROR(__xludf.DUMMYFUNCTION("""COMPUTED_VALUE"""),"JC")</f>
        <v>JC</v>
      </c>
      <c r="H1248" s="24">
        <f>IFERROR(__xludf.DUMMYFUNCTION("""COMPUTED_VALUE"""),30.0)</f>
        <v>30</v>
      </c>
      <c r="I1248" s="24" t="str">
        <f>IFERROR(__xludf.DUMMYFUNCTION("""COMPUTED_VALUE"""),"Dog Food")</f>
        <v>Dog Food</v>
      </c>
    </row>
    <row r="1249">
      <c r="A1249" s="23">
        <f>IFERROR(__xludf.DUMMYFUNCTION("""COMPUTED_VALUE"""),44758.0)</f>
        <v>44758</v>
      </c>
      <c r="B1249" s="24" t="str">
        <f>IFERROR(__xludf.DUMMYFUNCTION("""COMPUTED_VALUE"""),"Claire")</f>
        <v>Claire</v>
      </c>
      <c r="C1249" s="24">
        <f>IFERROR(__xludf.DUMMYFUNCTION("""COMPUTED_VALUE"""),609.0)</f>
        <v>609</v>
      </c>
      <c r="D1249" s="24" t="str">
        <f>IFERROR(__xludf.DUMMYFUNCTION("""COMPUTED_VALUE"""),"Meat")</f>
        <v>Meat</v>
      </c>
      <c r="F1249" s="23">
        <f>IFERROR(__xludf.DUMMYFUNCTION("""COMPUTED_VALUE"""),44773.0)</f>
        <v>44773</v>
      </c>
      <c r="G1249" s="24" t="str">
        <f>IFERROR(__xludf.DUMMYFUNCTION("""COMPUTED_VALUE"""),"Marci")</f>
        <v>Marci</v>
      </c>
      <c r="H1249" s="24">
        <f>IFERROR(__xludf.DUMMYFUNCTION("""COMPUTED_VALUE"""),18.0)</f>
        <v>18</v>
      </c>
      <c r="I1249" s="24"/>
    </row>
    <row r="1250">
      <c r="A1250" s="23">
        <f>IFERROR(__xludf.DUMMYFUNCTION("""COMPUTED_VALUE"""),44758.0)</f>
        <v>44758</v>
      </c>
      <c r="B1250" s="24" t="str">
        <f>IFERROR(__xludf.DUMMYFUNCTION("""COMPUTED_VALUE"""),"Claire")</f>
        <v>Claire</v>
      </c>
      <c r="C1250" s="24">
        <f>IFERROR(__xludf.DUMMYFUNCTION("""COMPUTED_VALUE"""),256.0)</f>
        <v>256</v>
      </c>
      <c r="D1250" s="24" t="str">
        <f>IFERROR(__xludf.DUMMYFUNCTION("""COMPUTED_VALUE"""),"Paper Goods")</f>
        <v>Paper Goods</v>
      </c>
      <c r="F1250" s="23">
        <f>IFERROR(__xludf.DUMMYFUNCTION("""COMPUTED_VALUE"""),44773.0)</f>
        <v>44773</v>
      </c>
      <c r="G1250" s="24" t="str">
        <f>IFERROR(__xludf.DUMMYFUNCTION("""COMPUTED_VALUE"""),"Marci")</f>
        <v>Marci</v>
      </c>
      <c r="H1250" s="24">
        <f>IFERROR(__xludf.DUMMYFUNCTION("""COMPUTED_VALUE"""),58.0)</f>
        <v>58</v>
      </c>
      <c r="I1250" s="24"/>
    </row>
    <row r="1251">
      <c r="A1251" s="23">
        <f>IFERROR(__xludf.DUMMYFUNCTION("""COMPUTED_VALUE"""),44758.0)</f>
        <v>44758</v>
      </c>
      <c r="B1251" s="24" t="str">
        <f>IFERROR(__xludf.DUMMYFUNCTION("""COMPUTED_VALUE"""),"Claire")</f>
        <v>Claire</v>
      </c>
      <c r="C1251" s="24">
        <f>IFERROR(__xludf.DUMMYFUNCTION("""COMPUTED_VALUE"""),300.0)</f>
        <v>300</v>
      </c>
      <c r="D1251" s="24" t="str">
        <f>IFERROR(__xludf.DUMMYFUNCTION("""COMPUTED_VALUE"""),"Meat")</f>
        <v>Meat</v>
      </c>
      <c r="F1251" s="23">
        <f>IFERROR(__xludf.DUMMYFUNCTION("""COMPUTED_VALUE"""),44773.0)</f>
        <v>44773</v>
      </c>
      <c r="G1251" s="24" t="str">
        <f>IFERROR(__xludf.DUMMYFUNCTION("""COMPUTED_VALUE"""),"Travis James")</f>
        <v>Travis James</v>
      </c>
      <c r="H1251" s="24">
        <f>IFERROR(__xludf.DUMMYFUNCTION("""COMPUTED_VALUE"""),20.0)</f>
        <v>20</v>
      </c>
      <c r="I1251" s="24"/>
    </row>
    <row r="1252">
      <c r="A1252" s="23">
        <f>IFERROR(__xludf.DUMMYFUNCTION("""COMPUTED_VALUE"""),44758.0)</f>
        <v>44758</v>
      </c>
      <c r="B1252" s="24" t="str">
        <f>IFERROR(__xludf.DUMMYFUNCTION("""COMPUTED_VALUE"""),"Claire")</f>
        <v>Claire</v>
      </c>
      <c r="C1252" s="24">
        <f>IFERROR(__xludf.DUMMYFUNCTION("""COMPUTED_VALUE"""),312.0)</f>
        <v>312</v>
      </c>
      <c r="D1252" s="24" t="str">
        <f>IFERROR(__xludf.DUMMYFUNCTION("""COMPUTED_VALUE"""),"Ziploc")</f>
        <v>Ziploc</v>
      </c>
      <c r="F1252" s="23">
        <f>IFERROR(__xludf.DUMMYFUNCTION("""COMPUTED_VALUE"""),44773.0)</f>
        <v>44773</v>
      </c>
      <c r="G1252" s="24" t="str">
        <f>IFERROR(__xludf.DUMMYFUNCTION("""COMPUTED_VALUE"""),"Travis James")</f>
        <v>Travis James</v>
      </c>
      <c r="H1252" s="24">
        <f>IFERROR(__xludf.DUMMYFUNCTION("""COMPUTED_VALUE"""),3.0)</f>
        <v>3</v>
      </c>
      <c r="I1252" s="24"/>
    </row>
    <row r="1253">
      <c r="A1253" s="23">
        <f>IFERROR(__xludf.DUMMYFUNCTION("""COMPUTED_VALUE"""),44758.0)</f>
        <v>44758</v>
      </c>
      <c r="B1253" s="24" t="str">
        <f>IFERROR(__xludf.DUMMYFUNCTION("""COMPUTED_VALUE"""),"Claire")</f>
        <v>Claire</v>
      </c>
      <c r="C1253" s="24">
        <f>IFERROR(__xludf.DUMMYFUNCTION("""COMPUTED_VALUE"""),131.0)</f>
        <v>131</v>
      </c>
      <c r="D1253" s="24" t="str">
        <f>IFERROR(__xludf.DUMMYFUNCTION("""COMPUTED_VALUE"""),"Paper Goods")</f>
        <v>Paper Goods</v>
      </c>
      <c r="F1253" s="23">
        <f>IFERROR(__xludf.DUMMYFUNCTION("""COMPUTED_VALUE"""),44773.64439782407)</f>
        <v>44773.6444</v>
      </c>
      <c r="G1253" s="24" t="str">
        <f>IFERROR(__xludf.DUMMYFUNCTION("""COMPUTED_VALUE"""),"Zoe")</f>
        <v>Zoe</v>
      </c>
      <c r="H1253" s="24">
        <f>IFERROR(__xludf.DUMMYFUNCTION("""COMPUTED_VALUE"""),295.0)</f>
        <v>295</v>
      </c>
      <c r="I1253" s="24" t="str">
        <f>IFERROR(__xludf.DUMMYFUNCTION("""COMPUTED_VALUE"""),"Amazon")</f>
        <v>Amazon</v>
      </c>
    </row>
    <row r="1254">
      <c r="A1254" s="23">
        <f>IFERROR(__xludf.DUMMYFUNCTION("""COMPUTED_VALUE"""),44758.0)</f>
        <v>44758</v>
      </c>
      <c r="B1254" s="24" t="str">
        <f>IFERROR(__xludf.DUMMYFUNCTION("""COMPUTED_VALUE"""),"Claire")</f>
        <v>Claire</v>
      </c>
      <c r="C1254" s="24">
        <f>IFERROR(__xludf.DUMMYFUNCTION("""COMPUTED_VALUE"""),764.0)</f>
        <v>764</v>
      </c>
      <c r="D1254" s="24" t="str">
        <f>IFERROR(__xludf.DUMMYFUNCTION("""COMPUTED_VALUE"""),"Cleaning")</f>
        <v>Cleaning</v>
      </c>
      <c r="F1254" s="23">
        <f>IFERROR(__xludf.DUMMYFUNCTION("""COMPUTED_VALUE"""),44773.64561107639)</f>
        <v>44773.64561</v>
      </c>
      <c r="G1254" s="24" t="str">
        <f>IFERROR(__xludf.DUMMYFUNCTION("""COMPUTED_VALUE"""),"Zoe")</f>
        <v>Zoe</v>
      </c>
      <c r="H1254" s="24">
        <f>IFERROR(__xludf.DUMMYFUNCTION("""COMPUTED_VALUE"""),521.0)</f>
        <v>521</v>
      </c>
      <c r="I1254" s="24" t="str">
        <f>IFERROR(__xludf.DUMMYFUNCTION("""COMPUTED_VALUE"""),"Amazon")</f>
        <v>Amazon</v>
      </c>
    </row>
    <row r="1255">
      <c r="A1255" s="23">
        <f>IFERROR(__xludf.DUMMYFUNCTION("""COMPUTED_VALUE"""),44758.0)</f>
        <v>44758</v>
      </c>
      <c r="B1255" s="24" t="str">
        <f>IFERROR(__xludf.DUMMYFUNCTION("""COMPUTED_VALUE"""),"Claire")</f>
        <v>Claire</v>
      </c>
      <c r="C1255" s="24">
        <f>IFERROR(__xludf.DUMMYFUNCTION("""COMPUTED_VALUE"""),287.0)</f>
        <v>287</v>
      </c>
      <c r="D1255" s="24" t="str">
        <f>IFERROR(__xludf.DUMMYFUNCTION("""COMPUTED_VALUE"""),"Paper Goods")</f>
        <v>Paper Goods</v>
      </c>
      <c r="F1255" s="23">
        <f>IFERROR(__xludf.DUMMYFUNCTION("""COMPUTED_VALUE"""),44773.64689224537)</f>
        <v>44773.64689</v>
      </c>
      <c r="G1255" s="24" t="str">
        <f>IFERROR(__xludf.DUMMYFUNCTION("""COMPUTED_VALUE"""),"Zoe")</f>
        <v>Zoe</v>
      </c>
      <c r="H1255" s="24">
        <f>IFERROR(__xludf.DUMMYFUNCTION("""COMPUTED_VALUE"""),84.0)</f>
        <v>84</v>
      </c>
      <c r="I1255" s="24" t="str">
        <f>IFERROR(__xludf.DUMMYFUNCTION("""COMPUTED_VALUE"""),"Amazon")</f>
        <v>Amazon</v>
      </c>
    </row>
    <row r="1256">
      <c r="A1256" s="23">
        <f>IFERROR(__xludf.DUMMYFUNCTION("""COMPUTED_VALUE"""),44758.509820451385)</f>
        <v>44758.50982</v>
      </c>
      <c r="B1256" s="24" t="str">
        <f>IFERROR(__xludf.DUMMYFUNCTION("""COMPUTED_VALUE"""),"JC")</f>
        <v>JC</v>
      </c>
      <c r="C1256" s="24">
        <f>IFERROR(__xludf.DUMMYFUNCTION("""COMPUTED_VALUE"""),1496.0)</f>
        <v>1496</v>
      </c>
      <c r="D1256" s="24" t="str">
        <f>IFERROR(__xludf.DUMMYFUNCTION("""COMPUTED_VALUE"""),"Drinks")</f>
        <v>Drinks</v>
      </c>
      <c r="F1256" s="23">
        <f>IFERROR(__xludf.DUMMYFUNCTION("""COMPUTED_VALUE"""),44773.64868344907)</f>
        <v>44773.64868</v>
      </c>
      <c r="G1256" s="24" t="str">
        <f>IFERROR(__xludf.DUMMYFUNCTION("""COMPUTED_VALUE"""),"Zoe")</f>
        <v>Zoe</v>
      </c>
      <c r="H1256" s="24">
        <f>IFERROR(__xludf.DUMMYFUNCTION("""COMPUTED_VALUE"""),773.0)</f>
        <v>773</v>
      </c>
      <c r="I1256" s="24" t="str">
        <f>IFERROR(__xludf.DUMMYFUNCTION("""COMPUTED_VALUE"""),"Amazon")</f>
        <v>Amazon</v>
      </c>
    </row>
    <row r="1257">
      <c r="A1257" s="23">
        <f>IFERROR(__xludf.DUMMYFUNCTION("""COMPUTED_VALUE"""),44758.510193912036)</f>
        <v>44758.51019</v>
      </c>
      <c r="B1257" s="24" t="str">
        <f>IFERROR(__xludf.DUMMYFUNCTION("""COMPUTED_VALUE"""),"JC")</f>
        <v>JC</v>
      </c>
      <c r="C1257" s="24">
        <f>IFERROR(__xludf.DUMMYFUNCTION("""COMPUTED_VALUE"""),1433.0)</f>
        <v>1433</v>
      </c>
      <c r="D1257" s="24" t="str">
        <f>IFERROR(__xludf.DUMMYFUNCTION("""COMPUTED_VALUE"""),"Drinks")</f>
        <v>Drinks</v>
      </c>
      <c r="F1257" s="23">
        <f>IFERROR(__xludf.DUMMYFUNCTION("""COMPUTED_VALUE"""),44773.650765439816)</f>
        <v>44773.65077</v>
      </c>
      <c r="G1257" s="24" t="str">
        <f>IFERROR(__xludf.DUMMYFUNCTION("""COMPUTED_VALUE"""),"Zoe")</f>
        <v>Zoe</v>
      </c>
      <c r="H1257" s="24">
        <f>IFERROR(__xludf.DUMMYFUNCTION("""COMPUTED_VALUE"""),634.0)</f>
        <v>634</v>
      </c>
      <c r="I1257" s="24" t="str">
        <f>IFERROR(__xludf.DUMMYFUNCTION("""COMPUTED_VALUE"""),"Amazon")</f>
        <v>Amazon</v>
      </c>
    </row>
    <row r="1258">
      <c r="A1258" s="23">
        <f>IFERROR(__xludf.DUMMYFUNCTION("""COMPUTED_VALUE"""),44758.5106454051)</f>
        <v>44758.51065</v>
      </c>
      <c r="B1258" s="24" t="str">
        <f>IFERROR(__xludf.DUMMYFUNCTION("""COMPUTED_VALUE"""),"JC")</f>
        <v>JC</v>
      </c>
      <c r="C1258" s="24">
        <f>IFERROR(__xludf.DUMMYFUNCTION("""COMPUTED_VALUE"""),798.0)</f>
        <v>798</v>
      </c>
      <c r="D1258" s="24" t="str">
        <f>IFERROR(__xludf.DUMMYFUNCTION("""COMPUTED_VALUE"""),"Cleaning Supplies")</f>
        <v>Cleaning Supplies</v>
      </c>
      <c r="F1258" s="23">
        <f>IFERROR(__xludf.DUMMYFUNCTION("""COMPUTED_VALUE"""),44773.67739443287)</f>
        <v>44773.67739</v>
      </c>
      <c r="G1258" s="24" t="str">
        <f>IFERROR(__xludf.DUMMYFUNCTION("""COMPUTED_VALUE"""),"Anna Nicosia")</f>
        <v>Anna Nicosia</v>
      </c>
      <c r="H1258" s="24">
        <f>IFERROR(__xludf.DUMMYFUNCTION("""COMPUTED_VALUE"""),19.0)</f>
        <v>19</v>
      </c>
      <c r="I1258" s="24"/>
    </row>
    <row r="1259">
      <c r="A1259" s="23">
        <f>IFERROR(__xludf.DUMMYFUNCTION("""COMPUTED_VALUE"""),44758.51108049769)</f>
        <v>44758.51108</v>
      </c>
      <c r="B1259" s="24" t="str">
        <f>IFERROR(__xludf.DUMMYFUNCTION("""COMPUTED_VALUE"""),"JC")</f>
        <v>JC</v>
      </c>
      <c r="C1259" s="24">
        <f>IFERROR(__xludf.DUMMYFUNCTION("""COMPUTED_VALUE"""),417.0)</f>
        <v>417</v>
      </c>
      <c r="D1259" s="24" t="str">
        <f>IFERROR(__xludf.DUMMYFUNCTION("""COMPUTED_VALUE"""),"Baby Supplies")</f>
        <v>Baby Supplies</v>
      </c>
      <c r="F1259" s="23">
        <f>IFERROR(__xludf.DUMMYFUNCTION("""COMPUTED_VALUE"""),44773.678084652776)</f>
        <v>44773.67808</v>
      </c>
      <c r="G1259" s="24" t="str">
        <f>IFERROR(__xludf.DUMMYFUNCTION("""COMPUTED_VALUE"""),"Evan El-Halawani")</f>
        <v>Evan El-Halawani</v>
      </c>
      <c r="H1259" s="24">
        <f>IFERROR(__xludf.DUMMYFUNCTION("""COMPUTED_VALUE"""),19.0)</f>
        <v>19</v>
      </c>
      <c r="I1259" s="24"/>
    </row>
    <row r="1260">
      <c r="A1260" s="23">
        <f>IFERROR(__xludf.DUMMYFUNCTION("""COMPUTED_VALUE"""),44758.511650486114)</f>
        <v>44758.51165</v>
      </c>
      <c r="B1260" s="24" t="str">
        <f>IFERROR(__xludf.DUMMYFUNCTION("""COMPUTED_VALUE"""),"JC")</f>
        <v>JC</v>
      </c>
      <c r="C1260" s="24">
        <f>IFERROR(__xludf.DUMMYFUNCTION("""COMPUTED_VALUE"""),1134.0)</f>
        <v>1134</v>
      </c>
      <c r="D1260" s="24" t="str">
        <f>IFERROR(__xludf.DUMMYFUNCTION("""COMPUTED_VALUE"""),"Pet Food")</f>
        <v>Pet Food</v>
      </c>
      <c r="F1260" s="23">
        <f>IFERROR(__xludf.DUMMYFUNCTION("""COMPUTED_VALUE"""),44773.67812806713)</f>
        <v>44773.67813</v>
      </c>
      <c r="G1260" s="24" t="str">
        <f>IFERROR(__xludf.DUMMYFUNCTION("""COMPUTED_VALUE"""),"Kaneesha ")</f>
        <v>Kaneesha </v>
      </c>
      <c r="H1260" s="24">
        <f>IFERROR(__xludf.DUMMYFUNCTION("""COMPUTED_VALUE"""),10.0)</f>
        <v>10</v>
      </c>
      <c r="I1260" s="24"/>
    </row>
    <row r="1261">
      <c r="A1261" s="23">
        <f>IFERROR(__xludf.DUMMYFUNCTION("""COMPUTED_VALUE"""),44758.51224942129)</f>
        <v>44758.51225</v>
      </c>
      <c r="B1261" s="24" t="str">
        <f>IFERROR(__xludf.DUMMYFUNCTION("""COMPUTED_VALUE"""),"JC")</f>
        <v>JC</v>
      </c>
      <c r="C1261" s="24">
        <f>IFERROR(__xludf.DUMMYFUNCTION("""COMPUTED_VALUE"""),630.0)</f>
        <v>630</v>
      </c>
      <c r="D1261" s="24" t="str">
        <f>IFERROR(__xludf.DUMMYFUNCTION("""COMPUTED_VALUE"""),"Trash Bags")</f>
        <v>Trash Bags</v>
      </c>
      <c r="F1261" s="23">
        <f>IFERROR(__xludf.DUMMYFUNCTION("""COMPUTED_VALUE"""),44773.678318356484)</f>
        <v>44773.67832</v>
      </c>
      <c r="G1261" s="24" t="str">
        <f>IFERROR(__xludf.DUMMYFUNCTION("""COMPUTED_VALUE"""),"Kaneesha (extra)")</f>
        <v>Kaneesha (extra)</v>
      </c>
      <c r="H1261" s="24">
        <f>IFERROR(__xludf.DUMMYFUNCTION("""COMPUTED_VALUE"""),25.0)</f>
        <v>25</v>
      </c>
      <c r="I1261" s="24"/>
    </row>
    <row r="1262">
      <c r="A1262" s="23">
        <f>IFERROR(__xludf.DUMMYFUNCTION("""COMPUTED_VALUE"""),44758.51254200231)</f>
        <v>44758.51254</v>
      </c>
      <c r="B1262" s="24" t="str">
        <f>IFERROR(__xludf.DUMMYFUNCTION("""COMPUTED_VALUE"""),"JC")</f>
        <v>JC</v>
      </c>
      <c r="C1262" s="24">
        <f>IFERROR(__xludf.DUMMYFUNCTION("""COMPUTED_VALUE"""),675.0)</f>
        <v>675</v>
      </c>
      <c r="D1262" s="24" t="str">
        <f>IFERROR(__xludf.DUMMYFUNCTION("""COMPUTED_VALUE"""),"Pasta")</f>
        <v>Pasta</v>
      </c>
      <c r="F1262" s="23">
        <f>IFERROR(__xludf.DUMMYFUNCTION("""COMPUTED_VALUE"""),44773.68022565972)</f>
        <v>44773.68023</v>
      </c>
      <c r="G1262" s="24" t="str">
        <f>IFERROR(__xludf.DUMMYFUNCTION("""COMPUTED_VALUE"""),"Travis")</f>
        <v>Travis</v>
      </c>
      <c r="H1262" s="24">
        <f>IFERROR(__xludf.DUMMYFUNCTION("""COMPUTED_VALUE"""),20.0)</f>
        <v>20</v>
      </c>
      <c r="I1262" s="24" t="str">
        <f>IFERROR(__xludf.DUMMYFUNCTION("""COMPUTED_VALUE"""),"Assorted option")</f>
        <v>Assorted option</v>
      </c>
    </row>
    <row r="1263">
      <c r="A1263" s="23">
        <f>IFERROR(__xludf.DUMMYFUNCTION("""COMPUTED_VALUE"""),44758.512881365736)</f>
        <v>44758.51288</v>
      </c>
      <c r="B1263" s="24" t="str">
        <f>IFERROR(__xludf.DUMMYFUNCTION("""COMPUTED_VALUE"""),"JC")</f>
        <v>JC</v>
      </c>
      <c r="C1263" s="24">
        <f>IFERROR(__xludf.DUMMYFUNCTION("""COMPUTED_VALUE"""),133.0)</f>
        <v>133</v>
      </c>
      <c r="D1263" s="24" t="str">
        <f>IFERROR(__xludf.DUMMYFUNCTION("""COMPUTED_VALUE"""),"Paper")</f>
        <v>Paper</v>
      </c>
      <c r="F1263" s="23">
        <f>IFERROR(__xludf.DUMMYFUNCTION("""COMPUTED_VALUE"""),44773.719031643515)</f>
        <v>44773.71903</v>
      </c>
      <c r="G1263" s="24" t="str">
        <f>IFERROR(__xludf.DUMMYFUNCTION("""COMPUTED_VALUE"""),"Ausar ")</f>
        <v>Ausar </v>
      </c>
      <c r="H1263" s="24">
        <f>IFERROR(__xludf.DUMMYFUNCTION("""COMPUTED_VALUE"""),14.0)</f>
        <v>14</v>
      </c>
      <c r="I1263" s="24" t="str">
        <f>IFERROR(__xludf.DUMMYFUNCTION("""COMPUTED_VALUE"""),"Assorted option")</f>
        <v>Assorted option</v>
      </c>
    </row>
    <row r="1264">
      <c r="A1264" s="23">
        <f>IFERROR(__xludf.DUMMYFUNCTION("""COMPUTED_VALUE"""),44758.513208865734)</f>
        <v>44758.51321</v>
      </c>
      <c r="B1264" s="24" t="str">
        <f>IFERROR(__xludf.DUMMYFUNCTION("""COMPUTED_VALUE"""),"JC")</f>
        <v>JC</v>
      </c>
      <c r="C1264" s="24">
        <f>IFERROR(__xludf.DUMMYFUNCTION("""COMPUTED_VALUE"""),131.0)</f>
        <v>131</v>
      </c>
      <c r="D1264" s="24" t="str">
        <f>IFERROR(__xludf.DUMMYFUNCTION("""COMPUTED_VALUE"""),"Oxo")</f>
        <v>Oxo</v>
      </c>
      <c r="F1264" s="23">
        <f>IFERROR(__xludf.DUMMYFUNCTION("""COMPUTED_VALUE"""),44773.719847280096)</f>
        <v>44773.71985</v>
      </c>
      <c r="G1264" s="24" t="str">
        <f>IFERROR(__xludf.DUMMYFUNCTION("""COMPUTED_VALUE"""),"Zoe")</f>
        <v>Zoe</v>
      </c>
      <c r="H1264" s="24">
        <f>IFERROR(__xludf.DUMMYFUNCTION("""COMPUTED_VALUE"""),22.0)</f>
        <v>22</v>
      </c>
      <c r="I1264" s="24"/>
    </row>
    <row r="1265">
      <c r="A1265" s="23">
        <f>IFERROR(__xludf.DUMMYFUNCTION("""COMPUTED_VALUE"""),44759.53039439815)</f>
        <v>44759.53039</v>
      </c>
      <c r="B1265" s="24" t="str">
        <f>IFERROR(__xludf.DUMMYFUNCTION("""COMPUTED_VALUE"""),"Kaneesha ")</f>
        <v>Kaneesha </v>
      </c>
      <c r="C1265" s="24">
        <f>IFERROR(__xludf.DUMMYFUNCTION("""COMPUTED_VALUE"""),429.0)</f>
        <v>429</v>
      </c>
      <c r="D1265" s="24" t="str">
        <f>IFERROR(__xludf.DUMMYFUNCTION("""COMPUTED_VALUE"""),"Personal care")</f>
        <v>Personal care</v>
      </c>
      <c r="F1265" s="23">
        <f>IFERROR(__xludf.DUMMYFUNCTION("""COMPUTED_VALUE"""),44775.0)</f>
        <v>44775</v>
      </c>
      <c r="G1265" s="24" t="str">
        <f>IFERROR(__xludf.DUMMYFUNCTION("""COMPUTED_VALUE"""),"Erline")</f>
        <v>Erline</v>
      </c>
      <c r="H1265" s="24">
        <f>IFERROR(__xludf.DUMMYFUNCTION("""COMPUTED_VALUE"""),20.0)</f>
        <v>20</v>
      </c>
      <c r="I1265" s="24"/>
    </row>
    <row r="1266">
      <c r="A1266" s="23">
        <f>IFERROR(__xludf.DUMMYFUNCTION("""COMPUTED_VALUE"""),44759.531558310184)</f>
        <v>44759.53156</v>
      </c>
      <c r="B1266" s="24" t="str">
        <f>IFERROR(__xludf.DUMMYFUNCTION("""COMPUTED_VALUE"""),"Kaneesha ")</f>
        <v>Kaneesha </v>
      </c>
      <c r="C1266" s="24">
        <f>IFERROR(__xludf.DUMMYFUNCTION("""COMPUTED_VALUE"""),652.0)</f>
        <v>652</v>
      </c>
      <c r="D1266" s="24" t="str">
        <f>IFERROR(__xludf.DUMMYFUNCTION("""COMPUTED_VALUE"""),"Produce")</f>
        <v>Produce</v>
      </c>
      <c r="F1266" s="23">
        <f>IFERROR(__xludf.DUMMYFUNCTION("""COMPUTED_VALUE"""),44775.0)</f>
        <v>44775</v>
      </c>
      <c r="G1266" s="24" t="str">
        <f>IFERROR(__xludf.DUMMYFUNCTION("""COMPUTED_VALUE"""),"Erline")</f>
        <v>Erline</v>
      </c>
      <c r="H1266" s="24">
        <f>IFERROR(__xludf.DUMMYFUNCTION("""COMPUTED_VALUE"""),30.0)</f>
        <v>30</v>
      </c>
      <c r="I1266" s="24"/>
    </row>
    <row r="1267">
      <c r="A1267" s="23">
        <f>IFERROR(__xludf.DUMMYFUNCTION("""COMPUTED_VALUE"""),44759.53222474537)</f>
        <v>44759.53222</v>
      </c>
      <c r="B1267" s="24" t="str">
        <f>IFERROR(__xludf.DUMMYFUNCTION("""COMPUTED_VALUE"""),"Kaneesha ")</f>
        <v>Kaneesha </v>
      </c>
      <c r="C1267" s="24">
        <f>IFERROR(__xludf.DUMMYFUNCTION("""COMPUTED_VALUE"""),1080.0)</f>
        <v>1080</v>
      </c>
      <c r="D1267" s="24" t="str">
        <f>IFERROR(__xludf.DUMMYFUNCTION("""COMPUTED_VALUE"""),"Meat")</f>
        <v>Meat</v>
      </c>
      <c r="F1267" s="23">
        <f>IFERROR(__xludf.DUMMYFUNCTION("""COMPUTED_VALUE"""),44775.0)</f>
        <v>44775</v>
      </c>
      <c r="G1267" s="24" t="str">
        <f>IFERROR(__xludf.DUMMYFUNCTION("""COMPUTED_VALUE"""),"Debra Davis")</f>
        <v>Debra Davis</v>
      </c>
      <c r="H1267" s="24">
        <f>IFERROR(__xludf.DUMMYFUNCTION("""COMPUTED_VALUE"""),17.0)</f>
        <v>17</v>
      </c>
      <c r="I1267" s="24"/>
    </row>
    <row r="1268">
      <c r="A1268" s="23">
        <f>IFERROR(__xludf.DUMMYFUNCTION("""COMPUTED_VALUE"""),44759.53271666667)</f>
        <v>44759.53272</v>
      </c>
      <c r="B1268" s="24" t="str">
        <f>IFERROR(__xludf.DUMMYFUNCTION("""COMPUTED_VALUE"""),"Kaneesha ")</f>
        <v>Kaneesha </v>
      </c>
      <c r="C1268" s="24">
        <f>IFERROR(__xludf.DUMMYFUNCTION("""COMPUTED_VALUE"""),495.0)</f>
        <v>495</v>
      </c>
      <c r="D1268" s="24" t="str">
        <f>IFERROR(__xludf.DUMMYFUNCTION("""COMPUTED_VALUE"""),"Produce")</f>
        <v>Produce</v>
      </c>
      <c r="F1268" s="23">
        <f>IFERROR(__xludf.DUMMYFUNCTION("""COMPUTED_VALUE"""),44775.0)</f>
        <v>44775</v>
      </c>
      <c r="G1268" s="24" t="str">
        <f>IFERROR(__xludf.DUMMYFUNCTION("""COMPUTED_VALUE"""),"Jan Kleinman")</f>
        <v>Jan Kleinman</v>
      </c>
      <c r="H1268" s="24">
        <f>IFERROR(__xludf.DUMMYFUNCTION("""COMPUTED_VALUE"""),31.0)</f>
        <v>31</v>
      </c>
      <c r="I1268" s="24"/>
    </row>
    <row r="1269">
      <c r="A1269" s="23">
        <f>IFERROR(__xludf.DUMMYFUNCTION("""COMPUTED_VALUE"""),44759.533147662034)</f>
        <v>44759.53315</v>
      </c>
      <c r="B1269" s="24" t="str">
        <f>IFERROR(__xludf.DUMMYFUNCTION("""COMPUTED_VALUE"""),"Kaneesha ")</f>
        <v>Kaneesha </v>
      </c>
      <c r="C1269" s="24">
        <f>IFERROR(__xludf.DUMMYFUNCTION("""COMPUTED_VALUE"""),614.0)</f>
        <v>614</v>
      </c>
      <c r="D1269" s="24" t="str">
        <f>IFERROR(__xludf.DUMMYFUNCTION("""COMPUTED_VALUE"""),"Produce")</f>
        <v>Produce</v>
      </c>
      <c r="F1269" s="23">
        <f>IFERROR(__xludf.DUMMYFUNCTION("""COMPUTED_VALUE"""),44775.59702767361)</f>
        <v>44775.59703</v>
      </c>
      <c r="G1269" s="24" t="str">
        <f>IFERROR(__xludf.DUMMYFUNCTION("""COMPUTED_VALUE"""),"Claire")</f>
        <v>Claire</v>
      </c>
      <c r="H1269" s="24">
        <f>IFERROR(__xludf.DUMMYFUNCTION("""COMPUTED_VALUE"""),692.0)</f>
        <v>692</v>
      </c>
      <c r="I1269" s="24" t="str">
        <f>IFERROR(__xludf.DUMMYFUNCTION("""COMPUTED_VALUE"""),"Amazon")</f>
        <v>Amazon</v>
      </c>
    </row>
    <row r="1270">
      <c r="A1270" s="23">
        <f>IFERROR(__xludf.DUMMYFUNCTION("""COMPUTED_VALUE"""),44759.53429619213)</f>
        <v>44759.5343</v>
      </c>
      <c r="B1270" s="24" t="str">
        <f>IFERROR(__xludf.DUMMYFUNCTION("""COMPUTED_VALUE"""),"Kaneesha ")</f>
        <v>Kaneesha </v>
      </c>
      <c r="C1270" s="24">
        <f>IFERROR(__xludf.DUMMYFUNCTION("""COMPUTED_VALUE"""),-390.0)</f>
        <v>-390</v>
      </c>
      <c r="D1270" s="24" t="str">
        <f>IFERROR(__xludf.DUMMYFUNCTION("""COMPUTED_VALUE"""),"Cleaning Products")</f>
        <v>Cleaning Products</v>
      </c>
      <c r="F1270" s="23">
        <f>IFERROR(__xludf.DUMMYFUNCTION("""COMPUTED_VALUE"""),44775.59733827546)</f>
        <v>44775.59734</v>
      </c>
      <c r="G1270" s="24" t="str">
        <f>IFERROR(__xludf.DUMMYFUNCTION("""COMPUTED_VALUE"""),"Claire")</f>
        <v>Claire</v>
      </c>
      <c r="H1270" s="24">
        <f>IFERROR(__xludf.DUMMYFUNCTION("""COMPUTED_VALUE"""),317.0)</f>
        <v>317</v>
      </c>
      <c r="I1270" s="24" t="str">
        <f>IFERROR(__xludf.DUMMYFUNCTION("""COMPUTED_VALUE"""),"Amazon")</f>
        <v>Amazon</v>
      </c>
    </row>
    <row r="1271">
      <c r="A1271" s="23">
        <f>IFERROR(__xludf.DUMMYFUNCTION("""COMPUTED_VALUE"""),44759.53509359953)</f>
        <v>44759.53509</v>
      </c>
      <c r="B1271" s="24" t="str">
        <f>IFERROR(__xludf.DUMMYFUNCTION("""COMPUTED_VALUE"""),"Kaneesha ")</f>
        <v>Kaneesha </v>
      </c>
      <c r="C1271" s="24">
        <f>IFERROR(__xludf.DUMMYFUNCTION("""COMPUTED_VALUE"""),-205.0)</f>
        <v>-205</v>
      </c>
      <c r="D1271" s="24" t="str">
        <f>IFERROR(__xludf.DUMMYFUNCTION("""COMPUTED_VALUE"""),"Paper Products ")</f>
        <v>Paper Products </v>
      </c>
      <c r="F1271" s="23">
        <f>IFERROR(__xludf.DUMMYFUNCTION("""COMPUTED_VALUE"""),44775.59759833333)</f>
        <v>44775.5976</v>
      </c>
      <c r="G1271" s="24" t="str">
        <f>IFERROR(__xludf.DUMMYFUNCTION("""COMPUTED_VALUE"""),"Claire")</f>
        <v>Claire</v>
      </c>
      <c r="H1271" s="24">
        <f>IFERROR(__xludf.DUMMYFUNCTION("""COMPUTED_VALUE"""),966.0)</f>
        <v>966</v>
      </c>
      <c r="I1271" s="24" t="str">
        <f>IFERROR(__xludf.DUMMYFUNCTION("""COMPUTED_VALUE"""),"Amazon")</f>
        <v>Amazon</v>
      </c>
    </row>
    <row r="1272">
      <c r="A1272" s="23">
        <f>IFERROR(__xludf.DUMMYFUNCTION("""COMPUTED_VALUE"""),44759.53603206019)</f>
        <v>44759.53603</v>
      </c>
      <c r="B1272" s="24" t="str">
        <f>IFERROR(__xludf.DUMMYFUNCTION("""COMPUTED_VALUE"""),"Kaneesha ")</f>
        <v>Kaneesha </v>
      </c>
      <c r="C1272" s="24">
        <f>IFERROR(__xludf.DUMMYFUNCTION("""COMPUTED_VALUE"""),-139.0)</f>
        <v>-139</v>
      </c>
      <c r="D1272" s="24" t="str">
        <f>IFERROR(__xludf.DUMMYFUNCTION("""COMPUTED_VALUE"""),"Baby")</f>
        <v>Baby</v>
      </c>
      <c r="F1272" s="23">
        <f>IFERROR(__xludf.DUMMYFUNCTION("""COMPUTED_VALUE"""),44775.59834078703)</f>
        <v>44775.59834</v>
      </c>
      <c r="G1272" s="24" t="str">
        <f>IFERROR(__xludf.DUMMYFUNCTION("""COMPUTED_VALUE"""),"Claire")</f>
        <v>Claire</v>
      </c>
      <c r="H1272" s="24">
        <f>IFERROR(__xludf.DUMMYFUNCTION("""COMPUTED_VALUE"""),764.0)</f>
        <v>764</v>
      </c>
      <c r="I1272" s="24" t="str">
        <f>IFERROR(__xludf.DUMMYFUNCTION("""COMPUTED_VALUE"""),"Amazon")</f>
        <v>Amazon</v>
      </c>
    </row>
    <row r="1273">
      <c r="A1273" s="23">
        <f>IFERROR(__xludf.DUMMYFUNCTION("""COMPUTED_VALUE"""),44759.53666945602)</f>
        <v>44759.53667</v>
      </c>
      <c r="B1273" s="24" t="str">
        <f>IFERROR(__xludf.DUMMYFUNCTION("""COMPUTED_VALUE"""),"Kaneesha ")</f>
        <v>Kaneesha </v>
      </c>
      <c r="C1273" s="24">
        <f>IFERROR(__xludf.DUMMYFUNCTION("""COMPUTED_VALUE"""),-70.0)</f>
        <v>-70</v>
      </c>
      <c r="D1273" s="24" t="str">
        <f>IFERROR(__xludf.DUMMYFUNCTION("""COMPUTED_VALUE"""),"Grains (rice, pasta, etc.)")</f>
        <v>Grains (rice, pasta, etc.)</v>
      </c>
      <c r="F1273" s="23">
        <f>IFERROR(__xludf.DUMMYFUNCTION("""COMPUTED_VALUE"""),44775.59860981481)</f>
        <v>44775.59861</v>
      </c>
      <c r="G1273" s="24" t="str">
        <f>IFERROR(__xludf.DUMMYFUNCTION("""COMPUTED_VALUE"""),"Claire")</f>
        <v>Claire</v>
      </c>
      <c r="H1273" s="24">
        <f>IFERROR(__xludf.DUMMYFUNCTION("""COMPUTED_VALUE"""),1077.0)</f>
        <v>1077</v>
      </c>
      <c r="I1273" s="24" t="str">
        <f>IFERROR(__xludf.DUMMYFUNCTION("""COMPUTED_VALUE"""),"Amazon")</f>
        <v>Amazon</v>
      </c>
    </row>
    <row r="1274">
      <c r="A1274" s="23">
        <f>IFERROR(__xludf.DUMMYFUNCTION("""COMPUTED_VALUE"""),44759.53737466435)</f>
        <v>44759.53737</v>
      </c>
      <c r="B1274" s="24" t="str">
        <f>IFERROR(__xludf.DUMMYFUNCTION("""COMPUTED_VALUE"""),"Kaneesha ")</f>
        <v>Kaneesha </v>
      </c>
      <c r="C1274" s="24">
        <f>IFERROR(__xludf.DUMMYFUNCTION("""COMPUTED_VALUE"""),-148.0)</f>
        <v>-148</v>
      </c>
      <c r="D1274" s="24" t="str">
        <f>IFERROR(__xludf.DUMMYFUNCTION("""COMPUTED_VALUE"""),"Personal Care")</f>
        <v>Personal Care</v>
      </c>
      <c r="F1274" s="23">
        <f>IFERROR(__xludf.DUMMYFUNCTION("""COMPUTED_VALUE"""),44775.598790613425)</f>
        <v>44775.59879</v>
      </c>
      <c r="G1274" s="24" t="str">
        <f>IFERROR(__xludf.DUMMYFUNCTION("""COMPUTED_VALUE"""),"Claire")</f>
        <v>Claire</v>
      </c>
      <c r="H1274" s="24">
        <f>IFERROR(__xludf.DUMMYFUNCTION("""COMPUTED_VALUE"""),579.0)</f>
        <v>579</v>
      </c>
      <c r="I1274" s="24" t="str">
        <f>IFERROR(__xludf.DUMMYFUNCTION("""COMPUTED_VALUE"""),"Amazon")</f>
        <v>Amazon</v>
      </c>
    </row>
    <row r="1275">
      <c r="A1275" s="23">
        <f>IFERROR(__xludf.DUMMYFUNCTION("""COMPUTED_VALUE"""),44759.712250462966)</f>
        <v>44759.71225</v>
      </c>
      <c r="B1275" s="24" t="str">
        <f>IFERROR(__xludf.DUMMYFUNCTION("""COMPUTED_VALUE"""),"Ausar")</f>
        <v>Ausar</v>
      </c>
      <c r="C1275" s="24">
        <f>IFERROR(__xludf.DUMMYFUNCTION("""COMPUTED_VALUE"""),9.0)</f>
        <v>9</v>
      </c>
      <c r="D1275" s="24" t="str">
        <f>IFERROR(__xludf.DUMMYFUNCTION("""COMPUTED_VALUE"""),"Assorted option")</f>
        <v>Assorted option</v>
      </c>
      <c r="F1275" s="23">
        <f>IFERROR(__xludf.DUMMYFUNCTION("""COMPUTED_VALUE"""),44775.5989608912)</f>
        <v>44775.59896</v>
      </c>
      <c r="G1275" s="24" t="str">
        <f>IFERROR(__xludf.DUMMYFUNCTION("""COMPUTED_VALUE"""),"Claire")</f>
        <v>Claire</v>
      </c>
      <c r="H1275" s="24">
        <f>IFERROR(__xludf.DUMMYFUNCTION("""COMPUTED_VALUE"""),1070.0)</f>
        <v>1070</v>
      </c>
      <c r="I1275" s="24" t="str">
        <f>IFERROR(__xludf.DUMMYFUNCTION("""COMPUTED_VALUE"""),"Amazon")</f>
        <v>Amazon</v>
      </c>
    </row>
    <row r="1276">
      <c r="A1276" s="23">
        <f>IFERROR(__xludf.DUMMYFUNCTION("""COMPUTED_VALUE"""),44759.716314606485)</f>
        <v>44759.71631</v>
      </c>
      <c r="B1276" s="24" t="str">
        <f>IFERROR(__xludf.DUMMYFUNCTION("""COMPUTED_VALUE"""),"Ausar ")</f>
        <v>Ausar </v>
      </c>
      <c r="C1276" s="24">
        <f>IFERROR(__xludf.DUMMYFUNCTION("""COMPUTED_VALUE"""),70.0)</f>
        <v>70</v>
      </c>
      <c r="D1276" s="24" t="str">
        <f>IFERROR(__xludf.DUMMYFUNCTION("""COMPUTED_VALUE"""),"Grains (rice, pasta, etc.)")</f>
        <v>Grains (rice, pasta, etc.)</v>
      </c>
      <c r="F1276" s="23">
        <f>IFERROR(__xludf.DUMMYFUNCTION("""COMPUTED_VALUE"""),44775.59915502314)</f>
        <v>44775.59916</v>
      </c>
      <c r="G1276" s="24" t="str">
        <f>IFERROR(__xludf.DUMMYFUNCTION("""COMPUTED_VALUE"""),"Claire")</f>
        <v>Claire</v>
      </c>
      <c r="H1276" s="24">
        <f>IFERROR(__xludf.DUMMYFUNCTION("""COMPUTED_VALUE"""),506.0)</f>
        <v>506</v>
      </c>
      <c r="I1276" s="24" t="str">
        <f>IFERROR(__xludf.DUMMYFUNCTION("""COMPUTED_VALUE"""),"Amazon")</f>
        <v>Amazon</v>
      </c>
    </row>
    <row r="1277">
      <c r="A1277" s="23">
        <f>IFERROR(__xludf.DUMMYFUNCTION("""COMPUTED_VALUE"""),44759.7168933912)</f>
        <v>44759.71689</v>
      </c>
      <c r="B1277" s="24" t="str">
        <f>IFERROR(__xludf.DUMMYFUNCTION("""COMPUTED_VALUE"""),"Ausar ")</f>
        <v>Ausar </v>
      </c>
      <c r="C1277" s="24">
        <f>IFERROR(__xludf.DUMMYFUNCTION("""COMPUTED_VALUE"""),390.0)</f>
        <v>390</v>
      </c>
      <c r="D1277" s="24" t="str">
        <f>IFERROR(__xludf.DUMMYFUNCTION("""COMPUTED_VALUE"""),"Cleaning ")</f>
        <v>Cleaning </v>
      </c>
      <c r="F1277" s="23">
        <f>IFERROR(__xludf.DUMMYFUNCTION("""COMPUTED_VALUE"""),44775.59933981481)</f>
        <v>44775.59934</v>
      </c>
      <c r="G1277" s="24" t="str">
        <f>IFERROR(__xludf.DUMMYFUNCTION("""COMPUTED_VALUE"""),"Claire")</f>
        <v>Claire</v>
      </c>
      <c r="H1277" s="24">
        <f>IFERROR(__xludf.DUMMYFUNCTION("""COMPUTED_VALUE"""),1069.0)</f>
        <v>1069</v>
      </c>
      <c r="I1277" s="24" t="str">
        <f>IFERROR(__xludf.DUMMYFUNCTION("""COMPUTED_VALUE"""),"Amazon")</f>
        <v>Amazon</v>
      </c>
    </row>
    <row r="1278">
      <c r="A1278" s="23">
        <f>IFERROR(__xludf.DUMMYFUNCTION("""COMPUTED_VALUE"""),44759.71855243055)</f>
        <v>44759.71855</v>
      </c>
      <c r="B1278" s="24" t="str">
        <f>IFERROR(__xludf.DUMMYFUNCTION("""COMPUTED_VALUE"""),"Ausar ")</f>
        <v>Ausar </v>
      </c>
      <c r="C1278" s="24">
        <f>IFERROR(__xludf.DUMMYFUNCTION("""COMPUTED_VALUE"""),205.0)</f>
        <v>205</v>
      </c>
      <c r="D1278" s="24" t="str">
        <f>IFERROR(__xludf.DUMMYFUNCTION("""COMPUTED_VALUE"""),"Paper products ")</f>
        <v>Paper products </v>
      </c>
      <c r="F1278" s="23">
        <f>IFERROR(__xludf.DUMMYFUNCTION("""COMPUTED_VALUE"""),44775.62039135417)</f>
        <v>44775.62039</v>
      </c>
      <c r="G1278" s="24" t="str">
        <f>IFERROR(__xludf.DUMMYFUNCTION("""COMPUTED_VALUE"""),"Claire")</f>
        <v>Claire</v>
      </c>
      <c r="H1278" s="24">
        <f>IFERROR(__xludf.DUMMYFUNCTION("""COMPUTED_VALUE"""),84.0)</f>
        <v>84</v>
      </c>
      <c r="I1278" s="24" t="str">
        <f>IFERROR(__xludf.DUMMYFUNCTION("""COMPUTED_VALUE"""),"Bread")</f>
        <v>Bread</v>
      </c>
    </row>
    <row r="1279">
      <c r="A1279" s="23">
        <f>IFERROR(__xludf.DUMMYFUNCTION("""COMPUTED_VALUE"""),44759.71964105324)</f>
        <v>44759.71964</v>
      </c>
      <c r="B1279" s="24" t="str">
        <f>IFERROR(__xludf.DUMMYFUNCTION("""COMPUTED_VALUE"""),"Ausar")</f>
        <v>Ausar</v>
      </c>
      <c r="C1279" s="24">
        <f>IFERROR(__xludf.DUMMYFUNCTION("""COMPUTED_VALUE"""),139.0)</f>
        <v>139</v>
      </c>
      <c r="D1279" s="24" t="str">
        <f>IFERROR(__xludf.DUMMYFUNCTION("""COMPUTED_VALUE"""),"Baked")</f>
        <v>Baked</v>
      </c>
      <c r="F1279" s="23">
        <f>IFERROR(__xludf.DUMMYFUNCTION("""COMPUTED_VALUE"""),44775.62084974537)</f>
        <v>44775.62085</v>
      </c>
      <c r="G1279" s="24" t="str">
        <f>IFERROR(__xludf.DUMMYFUNCTION("""COMPUTED_VALUE"""),"Claire")</f>
        <v>Claire</v>
      </c>
      <c r="H1279" s="24">
        <f>IFERROR(__xludf.DUMMYFUNCTION("""COMPUTED_VALUE"""),221.0)</f>
        <v>221</v>
      </c>
      <c r="I1279" s="24" t="str">
        <f>IFERROR(__xludf.DUMMYFUNCTION("""COMPUTED_VALUE"""),"Detergent ")</f>
        <v>Detergent </v>
      </c>
    </row>
    <row r="1280">
      <c r="A1280" s="23">
        <f>IFERROR(__xludf.DUMMYFUNCTION("""COMPUTED_VALUE"""),44759.71996476853)</f>
        <v>44759.71996</v>
      </c>
      <c r="B1280" s="24" t="str">
        <f>IFERROR(__xludf.DUMMYFUNCTION("""COMPUTED_VALUE"""),"Ausar")</f>
        <v>Ausar</v>
      </c>
      <c r="C1280" s="24">
        <f>IFERROR(__xludf.DUMMYFUNCTION("""COMPUTED_VALUE"""),323.0)</f>
        <v>323</v>
      </c>
      <c r="D1280" s="24" t="str">
        <f>IFERROR(__xludf.DUMMYFUNCTION("""COMPUTED_VALUE"""),"Assorted option")</f>
        <v>Assorted option</v>
      </c>
      <c r="F1280" s="23">
        <f>IFERROR(__xludf.DUMMYFUNCTION("""COMPUTED_VALUE"""),44775.62112559028)</f>
        <v>44775.62113</v>
      </c>
      <c r="G1280" s="24" t="str">
        <f>IFERROR(__xludf.DUMMYFUNCTION("""COMPUTED_VALUE"""),"Claire")</f>
        <v>Claire</v>
      </c>
      <c r="H1280" s="24">
        <f>IFERROR(__xludf.DUMMYFUNCTION("""COMPUTED_VALUE"""),190.0)</f>
        <v>190</v>
      </c>
      <c r="I1280" s="24" t="str">
        <f>IFERROR(__xludf.DUMMYFUNCTION("""COMPUTED_VALUE"""),"Produce")</f>
        <v>Produce</v>
      </c>
    </row>
    <row r="1281">
      <c r="A1281" s="23">
        <f>IFERROR(__xludf.DUMMYFUNCTION("""COMPUTED_VALUE"""),44759.71996699074)</f>
        <v>44759.71997</v>
      </c>
      <c r="B1281" s="24" t="str">
        <f>IFERROR(__xludf.DUMMYFUNCTION("""COMPUTED_VALUE"""),"Zoe")</f>
        <v>Zoe</v>
      </c>
      <c r="C1281" s="24">
        <f>IFERROR(__xludf.DUMMYFUNCTION("""COMPUTED_VALUE"""),219.0)</f>
        <v>219</v>
      </c>
      <c r="D1281" s="24" t="str">
        <f>IFERROR(__xludf.DUMMYFUNCTION("""COMPUTED_VALUE"""),"Drink")</f>
        <v>Drink</v>
      </c>
      <c r="F1281" s="23">
        <f>IFERROR(__xludf.DUMMYFUNCTION("""COMPUTED_VALUE"""),44775.62140732638)</f>
        <v>44775.62141</v>
      </c>
      <c r="G1281" s="24" t="str">
        <f>IFERROR(__xludf.DUMMYFUNCTION("""COMPUTED_VALUE"""),"Claire")</f>
        <v>Claire</v>
      </c>
      <c r="H1281" s="24">
        <f>IFERROR(__xludf.DUMMYFUNCTION("""COMPUTED_VALUE"""),124.0)</f>
        <v>124</v>
      </c>
      <c r="I1281" s="24" t="str">
        <f>IFERROR(__xludf.DUMMYFUNCTION("""COMPUTED_VALUE"""),"Assorted option")</f>
        <v>Assorted option</v>
      </c>
    </row>
    <row r="1282">
      <c r="A1282" s="23">
        <f>IFERROR(__xludf.DUMMYFUNCTION("""COMPUTED_VALUE"""),44759.72046458333)</f>
        <v>44759.72046</v>
      </c>
      <c r="B1282" s="24" t="str">
        <f>IFERROR(__xludf.DUMMYFUNCTION("""COMPUTED_VALUE"""),"Zoe ")</f>
        <v>Zoe </v>
      </c>
      <c r="C1282" s="24">
        <f>IFERROR(__xludf.DUMMYFUNCTION("""COMPUTED_VALUE"""),139.0)</f>
        <v>139</v>
      </c>
      <c r="D1282" s="24" t="str">
        <f>IFERROR(__xludf.DUMMYFUNCTION("""COMPUTED_VALUE"""),"Baby stuff")</f>
        <v>Baby stuff</v>
      </c>
      <c r="F1282" s="23">
        <f>IFERROR(__xludf.DUMMYFUNCTION("""COMPUTED_VALUE"""),44775.62189689815)</f>
        <v>44775.6219</v>
      </c>
      <c r="G1282" s="24" t="str">
        <f>IFERROR(__xludf.DUMMYFUNCTION("""COMPUTED_VALUE"""),"Claire")</f>
        <v>Claire</v>
      </c>
      <c r="H1282" s="24">
        <f>IFERROR(__xludf.DUMMYFUNCTION("""COMPUTED_VALUE"""),144.0)</f>
        <v>144</v>
      </c>
      <c r="I1282" s="24" t="str">
        <f>IFERROR(__xludf.DUMMYFUNCTION("""COMPUTED_VALUE"""),"Assorted option")</f>
        <v>Assorted option</v>
      </c>
    </row>
    <row r="1283">
      <c r="A1283" s="23">
        <f>IFERROR(__xludf.DUMMYFUNCTION("""COMPUTED_VALUE"""),44759.72060743055)</f>
        <v>44759.72061</v>
      </c>
      <c r="B1283" s="24" t="str">
        <f>IFERROR(__xludf.DUMMYFUNCTION("""COMPUTED_VALUE"""),"Ausar")</f>
        <v>Ausar</v>
      </c>
      <c r="C1283" s="24">
        <f>IFERROR(__xludf.DUMMYFUNCTION("""COMPUTED_VALUE"""),110.0)</f>
        <v>110</v>
      </c>
      <c r="D1283" s="24" t="str">
        <f>IFERROR(__xludf.DUMMYFUNCTION("""COMPUTED_VALUE"""),"Dish soap")</f>
        <v>Dish soap</v>
      </c>
      <c r="F1283" s="23">
        <f>IFERROR(__xludf.DUMMYFUNCTION("""COMPUTED_VALUE"""),44775.695775057866)</f>
        <v>44775.69578</v>
      </c>
      <c r="G1283" s="24" t="str">
        <f>IFERROR(__xludf.DUMMYFUNCTION("""COMPUTED_VALUE"""),"Kaneesha ")</f>
        <v>Kaneesha </v>
      </c>
      <c r="H1283" s="24">
        <f>IFERROR(__xludf.DUMMYFUNCTION("""COMPUTED_VALUE"""),19.0)</f>
        <v>19</v>
      </c>
      <c r="I1283" s="24"/>
    </row>
    <row r="1284">
      <c r="A1284" s="23">
        <f>IFERROR(__xludf.DUMMYFUNCTION("""COMPUTED_VALUE"""),44759.72103260417)</f>
        <v>44759.72103</v>
      </c>
      <c r="B1284" s="24" t="str">
        <f>IFERROR(__xludf.DUMMYFUNCTION("""COMPUTED_VALUE"""),"Zoe")</f>
        <v>Zoe</v>
      </c>
      <c r="C1284" s="24">
        <f>IFERROR(__xludf.DUMMYFUNCTION("""COMPUTED_VALUE"""),118.0)</f>
        <v>118</v>
      </c>
      <c r="D1284" s="24" t="str">
        <f>IFERROR(__xludf.DUMMYFUNCTION("""COMPUTED_VALUE"""),"Meat")</f>
        <v>Meat</v>
      </c>
      <c r="F1284" s="23">
        <f>IFERROR(__xludf.DUMMYFUNCTION("""COMPUTED_VALUE"""),44775.69661540509)</f>
        <v>44775.69662</v>
      </c>
      <c r="G1284" s="24" t="str">
        <f>IFERROR(__xludf.DUMMYFUNCTION("""COMPUTED_VALUE"""),"Kaneesha (extra)")</f>
        <v>Kaneesha (extra)</v>
      </c>
      <c r="H1284" s="24">
        <f>IFERROR(__xludf.DUMMYFUNCTION("""COMPUTED_VALUE"""),12.0)</f>
        <v>12</v>
      </c>
      <c r="I1284" s="24"/>
    </row>
    <row r="1285">
      <c r="A1285" s="23">
        <f>IFERROR(__xludf.DUMMYFUNCTION("""COMPUTED_VALUE"""),44759.72104858796)</f>
        <v>44759.72105</v>
      </c>
      <c r="B1285" s="24" t="str">
        <f>IFERROR(__xludf.DUMMYFUNCTION("""COMPUTED_VALUE"""),"Ausar")</f>
        <v>Ausar</v>
      </c>
      <c r="C1285" s="24">
        <f>IFERROR(__xludf.DUMMYFUNCTION("""COMPUTED_VALUE"""),31.0)</f>
        <v>31</v>
      </c>
      <c r="D1285" s="24" t="str">
        <f>IFERROR(__xludf.DUMMYFUNCTION("""COMPUTED_VALUE"""),"Spices")</f>
        <v>Spices</v>
      </c>
      <c r="F1285" s="23">
        <f>IFERROR(__xludf.DUMMYFUNCTION("""COMPUTED_VALUE"""),44775.69966167824)</f>
        <v>44775.69966</v>
      </c>
      <c r="G1285" s="24" t="str">
        <f>IFERROR(__xludf.DUMMYFUNCTION("""COMPUTED_VALUE"""),"Jan Kleinman")</f>
        <v>Jan Kleinman</v>
      </c>
      <c r="H1285" s="24">
        <f>IFERROR(__xludf.DUMMYFUNCTION("""COMPUTED_VALUE"""),19.0)</f>
        <v>19</v>
      </c>
      <c r="I1285" s="24"/>
    </row>
    <row r="1286">
      <c r="A1286" s="23">
        <f>IFERROR(__xludf.DUMMYFUNCTION("""COMPUTED_VALUE"""),44759.72139048611)</f>
        <v>44759.72139</v>
      </c>
      <c r="B1286" s="24" t="str">
        <f>IFERROR(__xludf.DUMMYFUNCTION("""COMPUTED_VALUE"""),"Zoe")</f>
        <v>Zoe</v>
      </c>
      <c r="C1286" s="24">
        <f>IFERROR(__xludf.DUMMYFUNCTION("""COMPUTED_VALUE"""),652.0)</f>
        <v>652</v>
      </c>
      <c r="D1286" s="24" t="str">
        <f>IFERROR(__xludf.DUMMYFUNCTION("""COMPUTED_VALUE"""),"Produce")</f>
        <v>Produce</v>
      </c>
      <c r="F1286" s="23">
        <f>IFERROR(__xludf.DUMMYFUNCTION("""COMPUTED_VALUE"""),44775.70107771991)</f>
        <v>44775.70108</v>
      </c>
      <c r="G1286" s="24" t="str">
        <f>IFERROR(__xludf.DUMMYFUNCTION("""COMPUTED_VALUE"""),"Beverly Pinn")</f>
        <v>Beverly Pinn</v>
      </c>
      <c r="H1286" s="24">
        <f>IFERROR(__xludf.DUMMYFUNCTION("""COMPUTED_VALUE"""),17.0)</f>
        <v>17</v>
      </c>
      <c r="I1286" s="24"/>
    </row>
    <row r="1287">
      <c r="A1287" s="23">
        <f>IFERROR(__xludf.DUMMYFUNCTION("""COMPUTED_VALUE"""),44759.721540474544)</f>
        <v>44759.72154</v>
      </c>
      <c r="B1287" s="24" t="str">
        <f>IFERROR(__xludf.DUMMYFUNCTION("""COMPUTED_VALUE"""),"Ausar")</f>
        <v>Ausar</v>
      </c>
      <c r="C1287" s="24">
        <f>IFERROR(__xludf.DUMMYFUNCTION("""COMPUTED_VALUE"""),100.0)</f>
        <v>100</v>
      </c>
      <c r="D1287" s="24" t="str">
        <f>IFERROR(__xludf.DUMMYFUNCTION("""COMPUTED_VALUE"""),"Feminine care")</f>
        <v>Feminine care</v>
      </c>
      <c r="F1287" s="23">
        <f>IFERROR(__xludf.DUMMYFUNCTION("""COMPUTED_VALUE"""),44775.70138530093)</f>
        <v>44775.70139</v>
      </c>
      <c r="G1287" s="24" t="str">
        <f>IFERROR(__xludf.DUMMYFUNCTION("""COMPUTED_VALUE"""),"Beverly Pinn")</f>
        <v>Beverly Pinn</v>
      </c>
      <c r="H1287" s="24">
        <f>IFERROR(__xludf.DUMMYFUNCTION("""COMPUTED_VALUE"""),23.0)</f>
        <v>23</v>
      </c>
      <c r="I1287" s="24"/>
    </row>
    <row r="1288">
      <c r="A1288" s="23">
        <f>IFERROR(__xludf.DUMMYFUNCTION("""COMPUTED_VALUE"""),44759.7219003125)</f>
        <v>44759.7219</v>
      </c>
      <c r="B1288" s="24" t="str">
        <f>IFERROR(__xludf.DUMMYFUNCTION("""COMPUTED_VALUE"""),"Zoe")</f>
        <v>Zoe</v>
      </c>
      <c r="C1288" s="24">
        <f>IFERROR(__xludf.DUMMYFUNCTION("""COMPUTED_VALUE"""),100.0)</f>
        <v>100</v>
      </c>
      <c r="D1288" s="24" t="str">
        <f>IFERROR(__xludf.DUMMYFUNCTION("""COMPUTED_VALUE"""),"Assorted option")</f>
        <v>Assorted option</v>
      </c>
      <c r="F1288" s="23">
        <f>IFERROR(__xludf.DUMMYFUNCTION("""COMPUTED_VALUE"""),44775.708416030095)</f>
        <v>44775.70842</v>
      </c>
      <c r="G1288" s="24" t="str">
        <f>IFERROR(__xludf.DUMMYFUNCTION("""COMPUTED_VALUE"""),"Claire")</f>
        <v>Claire</v>
      </c>
      <c r="H1288" s="24">
        <f>IFERROR(__xludf.DUMMYFUNCTION("""COMPUTED_VALUE"""),532.0)</f>
        <v>532</v>
      </c>
      <c r="I1288" s="24" t="str">
        <f>IFERROR(__xludf.DUMMYFUNCTION("""COMPUTED_VALUE"""),"Frozen")</f>
        <v>Frozen</v>
      </c>
    </row>
    <row r="1289">
      <c r="A1289" s="23">
        <f>IFERROR(__xludf.DUMMYFUNCTION("""COMPUTED_VALUE"""),44759.7221905787)</f>
        <v>44759.72219</v>
      </c>
      <c r="B1289" s="24" t="str">
        <f>IFERROR(__xludf.DUMMYFUNCTION("""COMPUTED_VALUE"""),"Ausar ")</f>
        <v>Ausar </v>
      </c>
      <c r="C1289" s="24">
        <f>IFERROR(__xludf.DUMMYFUNCTION("""COMPUTED_VALUE"""),285.0)</f>
        <v>285</v>
      </c>
      <c r="D1289" s="24" t="str">
        <f>IFERROR(__xludf.DUMMYFUNCTION("""COMPUTED_VALUE"""),"Plates")</f>
        <v>Plates</v>
      </c>
      <c r="F1289" s="23">
        <f>IFERROR(__xludf.DUMMYFUNCTION("""COMPUTED_VALUE"""),44775.7094737963)</f>
        <v>44775.70947</v>
      </c>
      <c r="G1289" s="24" t="str">
        <f>IFERROR(__xludf.DUMMYFUNCTION("""COMPUTED_VALUE"""),"Claire")</f>
        <v>Claire</v>
      </c>
      <c r="H1289" s="24">
        <f>IFERROR(__xludf.DUMMYFUNCTION("""COMPUTED_VALUE"""),362.0)</f>
        <v>362</v>
      </c>
      <c r="I1289" s="24" t="str">
        <f>IFERROR(__xludf.DUMMYFUNCTION("""COMPUTED_VALUE"""),"Frozen")</f>
        <v>Frozen</v>
      </c>
    </row>
    <row r="1290">
      <c r="A1290" s="23">
        <f>IFERROR(__xludf.DUMMYFUNCTION("""COMPUTED_VALUE"""),44760.60750863426)</f>
        <v>44760.60751</v>
      </c>
      <c r="B1290" s="24" t="str">
        <f>IFERROR(__xludf.DUMMYFUNCTION("""COMPUTED_VALUE"""),"JC")</f>
        <v>JC</v>
      </c>
      <c r="C1290" s="24">
        <f>IFERROR(__xludf.DUMMYFUNCTION("""COMPUTED_VALUE"""),607.0)</f>
        <v>607</v>
      </c>
      <c r="D1290" s="24" t="str">
        <f>IFERROR(__xludf.DUMMYFUNCTION("""COMPUTED_VALUE"""),"Snacks")</f>
        <v>Snacks</v>
      </c>
      <c r="F1290" s="23">
        <f>IFERROR(__xludf.DUMMYFUNCTION("""COMPUTED_VALUE"""),44776.0)</f>
        <v>44776</v>
      </c>
      <c r="G1290" s="24" t="str">
        <f>IFERROR(__xludf.DUMMYFUNCTION("""COMPUTED_VALUE"""),"Juanita C")</f>
        <v>Juanita C</v>
      </c>
      <c r="H1290" s="24">
        <f>IFERROR(__xludf.DUMMYFUNCTION("""COMPUTED_VALUE"""),2.0)</f>
        <v>2</v>
      </c>
      <c r="I1290" s="24"/>
    </row>
    <row r="1291">
      <c r="A1291" s="23">
        <f>IFERROR(__xludf.DUMMYFUNCTION("""COMPUTED_VALUE"""),44762.66482413195)</f>
        <v>44762.66482</v>
      </c>
      <c r="B1291" s="24" t="str">
        <f>IFERROR(__xludf.DUMMYFUNCTION("""COMPUTED_VALUE"""),"Ausar ")</f>
        <v>Ausar </v>
      </c>
      <c r="C1291" s="24">
        <f>IFERROR(__xludf.DUMMYFUNCTION("""COMPUTED_VALUE"""),521.0)</f>
        <v>521</v>
      </c>
      <c r="D1291" s="24" t="str">
        <f>IFERROR(__xludf.DUMMYFUNCTION("""COMPUTED_VALUE"""),"Assorted option")</f>
        <v>Assorted option</v>
      </c>
      <c r="F1291" s="23">
        <f>IFERROR(__xludf.DUMMYFUNCTION("""COMPUTED_VALUE"""),44776.0)</f>
        <v>44776</v>
      </c>
      <c r="G1291" s="24" t="str">
        <f>IFERROR(__xludf.DUMMYFUNCTION("""COMPUTED_VALUE"""),"Karen Moore")</f>
        <v>Karen Moore</v>
      </c>
      <c r="H1291" s="24">
        <f>IFERROR(__xludf.DUMMYFUNCTION("""COMPUTED_VALUE"""),10.0)</f>
        <v>10</v>
      </c>
      <c r="I1291" s="24"/>
    </row>
    <row r="1292">
      <c r="A1292" s="23">
        <f>IFERROR(__xludf.DUMMYFUNCTION("""COMPUTED_VALUE"""),44762.6780478588)</f>
        <v>44762.67805</v>
      </c>
      <c r="B1292" s="24" t="str">
        <f>IFERROR(__xludf.DUMMYFUNCTION("""COMPUTED_VALUE"""),"Ausar ")</f>
        <v>Ausar </v>
      </c>
      <c r="C1292" s="24">
        <f>IFERROR(__xludf.DUMMYFUNCTION("""COMPUTED_VALUE"""),484.0)</f>
        <v>484</v>
      </c>
      <c r="D1292" s="24" t="str">
        <f>IFERROR(__xludf.DUMMYFUNCTION("""COMPUTED_VALUE"""),"Assorted option")</f>
        <v>Assorted option</v>
      </c>
      <c r="F1292" s="23">
        <f>IFERROR(__xludf.DUMMYFUNCTION("""COMPUTED_VALUE"""),44776.0)</f>
        <v>44776</v>
      </c>
      <c r="G1292" s="24" t="str">
        <f>IFERROR(__xludf.DUMMYFUNCTION("""COMPUTED_VALUE"""),"Karen Moore")</f>
        <v>Karen Moore</v>
      </c>
      <c r="H1292" s="24">
        <f>IFERROR(__xludf.DUMMYFUNCTION("""COMPUTED_VALUE"""),12.0)</f>
        <v>12</v>
      </c>
      <c r="I1292" s="24"/>
    </row>
    <row r="1293">
      <c r="A1293" s="23">
        <f>IFERROR(__xludf.DUMMYFUNCTION("""COMPUTED_VALUE"""),44762.67895729167)</f>
        <v>44762.67896</v>
      </c>
      <c r="B1293" s="24" t="str">
        <f>IFERROR(__xludf.DUMMYFUNCTION("""COMPUTED_VALUE"""),"Ausar ")</f>
        <v>Ausar </v>
      </c>
      <c r="C1293" s="24">
        <f>IFERROR(__xludf.DUMMYFUNCTION("""COMPUTED_VALUE"""),560.0)</f>
        <v>560</v>
      </c>
      <c r="D1293" s="24" t="str">
        <f>IFERROR(__xludf.DUMMYFUNCTION("""COMPUTED_VALUE"""),"Water")</f>
        <v>Water</v>
      </c>
      <c r="F1293" s="23">
        <f>IFERROR(__xludf.DUMMYFUNCTION("""COMPUTED_VALUE"""),44776.0)</f>
        <v>44776</v>
      </c>
      <c r="G1293" s="24" t="str">
        <f>IFERROR(__xludf.DUMMYFUNCTION("""COMPUTED_VALUE"""),"Aurora Dustin")</f>
        <v>Aurora Dustin</v>
      </c>
      <c r="H1293" s="24">
        <f>IFERROR(__xludf.DUMMYFUNCTION("""COMPUTED_VALUE"""),10.0)</f>
        <v>10</v>
      </c>
      <c r="I1293" s="24"/>
    </row>
    <row r="1294">
      <c r="A1294" s="23">
        <f>IFERROR(__xludf.DUMMYFUNCTION("""COMPUTED_VALUE"""),44762.67975170139)</f>
        <v>44762.67975</v>
      </c>
      <c r="B1294" s="24" t="str">
        <f>IFERROR(__xludf.DUMMYFUNCTION("""COMPUTED_VALUE"""),"Ausar ")</f>
        <v>Ausar </v>
      </c>
      <c r="C1294" s="24">
        <f>IFERROR(__xludf.DUMMYFUNCTION("""COMPUTED_VALUE"""),208.0)</f>
        <v>208</v>
      </c>
      <c r="D1294" s="24" t="str">
        <f>IFERROR(__xludf.DUMMYFUNCTION("""COMPUTED_VALUE"""),"Meat")</f>
        <v>Meat</v>
      </c>
      <c r="F1294" s="23">
        <f>IFERROR(__xludf.DUMMYFUNCTION("""COMPUTED_VALUE"""),44776.0)</f>
        <v>44776</v>
      </c>
      <c r="G1294" s="24" t="str">
        <f>IFERROR(__xludf.DUMMYFUNCTION("""COMPUTED_VALUE"""),"Aurora Dustin")</f>
        <v>Aurora Dustin</v>
      </c>
      <c r="H1294" s="24">
        <f>IFERROR(__xludf.DUMMYFUNCTION("""COMPUTED_VALUE"""),13.0)</f>
        <v>13</v>
      </c>
      <c r="I1294" s="24"/>
    </row>
    <row r="1295">
      <c r="A1295" s="23">
        <f>IFERROR(__xludf.DUMMYFUNCTION("""COMPUTED_VALUE"""),44762.68053387732)</f>
        <v>44762.68053</v>
      </c>
      <c r="B1295" s="24" t="str">
        <f>IFERROR(__xludf.DUMMYFUNCTION("""COMPUTED_VALUE"""),"Ausar ")</f>
        <v>Ausar </v>
      </c>
      <c r="C1295" s="24">
        <f>IFERROR(__xludf.DUMMYFUNCTION("""COMPUTED_VALUE"""),500.0)</f>
        <v>500</v>
      </c>
      <c r="D1295" s="24" t="str">
        <f>IFERROR(__xludf.DUMMYFUNCTION("""COMPUTED_VALUE"""),"Assorted option")</f>
        <v>Assorted option</v>
      </c>
      <c r="F1295" s="23">
        <f>IFERROR(__xludf.DUMMYFUNCTION("""COMPUTED_VALUE"""),44776.0)</f>
        <v>44776</v>
      </c>
      <c r="G1295" s="24" t="str">
        <f>IFERROR(__xludf.DUMMYFUNCTION("""COMPUTED_VALUE"""),"Daniel Huff")</f>
        <v>Daniel Huff</v>
      </c>
      <c r="H1295" s="24">
        <f>IFERROR(__xludf.DUMMYFUNCTION("""COMPUTED_VALUE"""),20.0)</f>
        <v>20</v>
      </c>
      <c r="I1295" s="24"/>
    </row>
    <row r="1296">
      <c r="A1296" s="23">
        <f>IFERROR(__xludf.DUMMYFUNCTION("""COMPUTED_VALUE"""),44762.73878900464)</f>
        <v>44762.73879</v>
      </c>
      <c r="B1296" s="24" t="str">
        <f>IFERROR(__xludf.DUMMYFUNCTION("""COMPUTED_VALUE"""),"Karen")</f>
        <v>Karen</v>
      </c>
      <c r="C1296" s="24">
        <f>IFERROR(__xludf.DUMMYFUNCTION("""COMPUTED_VALUE"""),36.0)</f>
        <v>36</v>
      </c>
      <c r="D1296" s="24" t="str">
        <f>IFERROR(__xludf.DUMMYFUNCTION("""COMPUTED_VALUE"""),"Baby")</f>
        <v>Baby</v>
      </c>
      <c r="F1296" s="23">
        <f>IFERROR(__xludf.DUMMYFUNCTION("""COMPUTED_VALUE"""),44776.0)</f>
        <v>44776</v>
      </c>
      <c r="G1296" s="24" t="str">
        <f>IFERROR(__xludf.DUMMYFUNCTION("""COMPUTED_VALUE"""),"Daniel Huff")</f>
        <v>Daniel Huff</v>
      </c>
      <c r="H1296" s="24">
        <f>IFERROR(__xludf.DUMMYFUNCTION("""COMPUTED_VALUE"""),11.0)</f>
        <v>11</v>
      </c>
      <c r="I1296" s="24"/>
    </row>
    <row r="1297">
      <c r="A1297" s="23">
        <f>IFERROR(__xludf.DUMMYFUNCTION("""COMPUTED_VALUE"""),44762.739555520835)</f>
        <v>44762.73956</v>
      </c>
      <c r="B1297" s="24" t="str">
        <f>IFERROR(__xludf.DUMMYFUNCTION("""COMPUTED_VALUE"""),"Karen")</f>
        <v>Karen</v>
      </c>
      <c r="C1297" s="24">
        <f>IFERROR(__xludf.DUMMYFUNCTION("""COMPUTED_VALUE"""),8.0)</f>
        <v>8</v>
      </c>
      <c r="D1297" s="24" t="str">
        <f>IFERROR(__xludf.DUMMYFUNCTION("""COMPUTED_VALUE"""),"Meat")</f>
        <v>Meat</v>
      </c>
      <c r="F1297" s="23">
        <f>IFERROR(__xludf.DUMMYFUNCTION("""COMPUTED_VALUE"""),44776.0)</f>
        <v>44776</v>
      </c>
      <c r="G1297" s="24" t="str">
        <f>IFERROR(__xludf.DUMMYFUNCTION("""COMPUTED_VALUE"""),"Darcil Gangoo")</f>
        <v>Darcil Gangoo</v>
      </c>
      <c r="H1297" s="24">
        <f>IFERROR(__xludf.DUMMYFUNCTION("""COMPUTED_VALUE"""),7.0)</f>
        <v>7</v>
      </c>
      <c r="I1297" s="24"/>
    </row>
    <row r="1298">
      <c r="A1298" s="23">
        <f>IFERROR(__xludf.DUMMYFUNCTION("""COMPUTED_VALUE"""),44763.6813183912)</f>
        <v>44763.68132</v>
      </c>
      <c r="B1298" s="24" t="str">
        <f>IFERROR(__xludf.DUMMYFUNCTION("""COMPUTED_VALUE"""),"Norma")</f>
        <v>Norma</v>
      </c>
      <c r="C1298" s="24">
        <f>IFERROR(__xludf.DUMMYFUNCTION("""COMPUTED_VALUE"""),72.0)</f>
        <v>72</v>
      </c>
      <c r="D1298" s="24" t="str">
        <f>IFERROR(__xludf.DUMMYFUNCTION("""COMPUTED_VALUE"""),"Meat")</f>
        <v>Meat</v>
      </c>
      <c r="F1298" s="23">
        <f>IFERROR(__xludf.DUMMYFUNCTION("""COMPUTED_VALUE"""),44776.0)</f>
        <v>44776</v>
      </c>
      <c r="G1298" s="24" t="str">
        <f>IFERROR(__xludf.DUMMYFUNCTION("""COMPUTED_VALUE"""),"Darcil Gangoo")</f>
        <v>Darcil Gangoo</v>
      </c>
      <c r="H1298" s="24">
        <f>IFERROR(__xludf.DUMMYFUNCTION("""COMPUTED_VALUE"""),1.0)</f>
        <v>1</v>
      </c>
      <c r="I1298" s="24"/>
    </row>
    <row r="1299">
      <c r="A1299" s="23">
        <f>IFERROR(__xludf.DUMMYFUNCTION("""COMPUTED_VALUE"""),44763.68187545138)</f>
        <v>44763.68188</v>
      </c>
      <c r="B1299" s="24" t="str">
        <f>IFERROR(__xludf.DUMMYFUNCTION("""COMPUTED_VALUE"""),"Norma")</f>
        <v>Norma</v>
      </c>
      <c r="C1299" s="24">
        <f>IFERROR(__xludf.DUMMYFUNCTION("""COMPUTED_VALUE"""),500.0)</f>
        <v>500</v>
      </c>
      <c r="D1299" s="24" t="str">
        <f>IFERROR(__xludf.DUMMYFUNCTION("""COMPUTED_VALUE"""),"Assorted option")</f>
        <v>Assorted option</v>
      </c>
      <c r="F1299" s="23">
        <f>IFERROR(__xludf.DUMMYFUNCTION("""COMPUTED_VALUE"""),44776.0)</f>
        <v>44776</v>
      </c>
      <c r="G1299" s="24" t="str">
        <f>IFERROR(__xludf.DUMMYFUNCTION("""COMPUTED_VALUE"""),"Melissa Thomas")</f>
        <v>Melissa Thomas</v>
      </c>
      <c r="H1299" s="24">
        <f>IFERROR(__xludf.DUMMYFUNCTION("""COMPUTED_VALUE"""),21.0)</f>
        <v>21</v>
      </c>
      <c r="I1299" s="24"/>
    </row>
    <row r="1300">
      <c r="A1300" s="23">
        <f>IFERROR(__xludf.DUMMYFUNCTION("""COMPUTED_VALUE"""),44764.70505892361)</f>
        <v>44764.70506</v>
      </c>
      <c r="B1300" s="24" t="str">
        <f>IFERROR(__xludf.DUMMYFUNCTION("""COMPUTED_VALUE"""),"Sunita Pathik")</f>
        <v>Sunita Pathik</v>
      </c>
      <c r="C1300" s="24">
        <f>IFERROR(__xludf.DUMMYFUNCTION("""COMPUTED_VALUE"""),59.0)</f>
        <v>59</v>
      </c>
      <c r="D1300" s="24" t="str">
        <f>IFERROR(__xludf.DUMMYFUNCTION("""COMPUTED_VALUE"""),"Assorted option")</f>
        <v>Assorted option</v>
      </c>
      <c r="F1300" s="23">
        <f>IFERROR(__xludf.DUMMYFUNCTION("""COMPUTED_VALUE"""),44776.0)</f>
        <v>44776</v>
      </c>
      <c r="G1300" s="24" t="str">
        <f>IFERROR(__xludf.DUMMYFUNCTION("""COMPUTED_VALUE"""),"Melissa Thomas")</f>
        <v>Melissa Thomas</v>
      </c>
      <c r="H1300" s="24">
        <f>IFERROR(__xludf.DUMMYFUNCTION("""COMPUTED_VALUE"""),21.0)</f>
        <v>21</v>
      </c>
      <c r="I1300" s="24"/>
    </row>
    <row r="1301">
      <c r="A1301" s="23">
        <f>IFERROR(__xludf.DUMMYFUNCTION("""COMPUTED_VALUE"""),44764.70602780092)</f>
        <v>44764.70603</v>
      </c>
      <c r="B1301" s="24" t="str">
        <f>IFERROR(__xludf.DUMMYFUNCTION("""COMPUTED_VALUE"""),"Claire")</f>
        <v>Claire</v>
      </c>
      <c r="C1301" s="24">
        <f>IFERROR(__xludf.DUMMYFUNCTION("""COMPUTED_VALUE"""),613.0)</f>
        <v>613</v>
      </c>
      <c r="D1301" s="24" t="str">
        <f>IFERROR(__xludf.DUMMYFUNCTION("""COMPUTED_VALUE"""),"Produce/meat")</f>
        <v>Produce/meat</v>
      </c>
      <c r="F1301" s="23">
        <f>IFERROR(__xludf.DUMMYFUNCTION("""COMPUTED_VALUE"""),44776.0)</f>
        <v>44776</v>
      </c>
      <c r="G1301" s="24" t="str">
        <f>IFERROR(__xludf.DUMMYFUNCTION("""COMPUTED_VALUE"""),"Julia Buckson")</f>
        <v>Julia Buckson</v>
      </c>
      <c r="H1301" s="24">
        <f>IFERROR(__xludf.DUMMYFUNCTION("""COMPUTED_VALUE"""),19.0)</f>
        <v>19</v>
      </c>
      <c r="I1301" s="24"/>
    </row>
    <row r="1302">
      <c r="A1302" s="23">
        <f>IFERROR(__xludf.DUMMYFUNCTION("""COMPUTED_VALUE"""),44764.70631488426)</f>
        <v>44764.70631</v>
      </c>
      <c r="B1302" s="24" t="str">
        <f>IFERROR(__xludf.DUMMYFUNCTION("""COMPUTED_VALUE"""),"Claire")</f>
        <v>Claire</v>
      </c>
      <c r="C1302" s="24">
        <f>IFERROR(__xludf.DUMMYFUNCTION("""COMPUTED_VALUE"""),741.0)</f>
        <v>741</v>
      </c>
      <c r="D1302" s="24" t="str">
        <f>IFERROR(__xludf.DUMMYFUNCTION("""COMPUTED_VALUE"""),"Assorted option")</f>
        <v>Assorted option</v>
      </c>
      <c r="F1302" s="23">
        <f>IFERROR(__xludf.DUMMYFUNCTION("""COMPUTED_VALUE"""),44776.0)</f>
        <v>44776</v>
      </c>
      <c r="G1302" s="24" t="str">
        <f>IFERROR(__xludf.DUMMYFUNCTION("""COMPUTED_VALUE"""),"Julia Buckson")</f>
        <v>Julia Buckson</v>
      </c>
      <c r="H1302" s="24">
        <f>IFERROR(__xludf.DUMMYFUNCTION("""COMPUTED_VALUE"""),27.0)</f>
        <v>27</v>
      </c>
      <c r="I1302" s="24"/>
    </row>
    <row r="1303">
      <c r="A1303" s="23">
        <f>IFERROR(__xludf.DUMMYFUNCTION("""COMPUTED_VALUE"""),44765.49662046296)</f>
        <v>44765.49662</v>
      </c>
      <c r="B1303" s="24" t="str">
        <f>IFERROR(__xludf.DUMMYFUNCTION("""COMPUTED_VALUE"""),"Ausar ")</f>
        <v>Ausar </v>
      </c>
      <c r="C1303" s="24">
        <f>IFERROR(__xludf.DUMMYFUNCTION("""COMPUTED_VALUE"""),271.0)</f>
        <v>271</v>
      </c>
      <c r="D1303" s="24" t="str">
        <f>IFERROR(__xludf.DUMMYFUNCTION("""COMPUTED_VALUE"""),"Assorted option")</f>
        <v>Assorted option</v>
      </c>
      <c r="F1303" s="23">
        <f>IFERROR(__xludf.DUMMYFUNCTION("""COMPUTED_VALUE"""),44776.0)</f>
        <v>44776</v>
      </c>
      <c r="G1303" s="24" t="str">
        <f>IFERROR(__xludf.DUMMYFUNCTION("""COMPUTED_VALUE"""),"Gina Privette")</f>
        <v>Gina Privette</v>
      </c>
      <c r="H1303" s="24">
        <f>IFERROR(__xludf.DUMMYFUNCTION("""COMPUTED_VALUE"""),19.0)</f>
        <v>19</v>
      </c>
      <c r="I1303" s="24"/>
    </row>
    <row r="1304">
      <c r="A1304" s="23">
        <f>IFERROR(__xludf.DUMMYFUNCTION("""COMPUTED_VALUE"""),44765.49882045139)</f>
        <v>44765.49882</v>
      </c>
      <c r="B1304" s="24" t="str">
        <f>IFERROR(__xludf.DUMMYFUNCTION("""COMPUTED_VALUE"""),"Ausar ")</f>
        <v>Ausar </v>
      </c>
      <c r="C1304" s="24">
        <f>IFERROR(__xludf.DUMMYFUNCTION("""COMPUTED_VALUE"""),87.0)</f>
        <v>87</v>
      </c>
      <c r="D1304" s="24" t="str">
        <f>IFERROR(__xludf.DUMMYFUNCTION("""COMPUTED_VALUE"""),"Oxo")</f>
        <v>Oxo</v>
      </c>
      <c r="F1304" s="23">
        <f>IFERROR(__xludf.DUMMYFUNCTION("""COMPUTED_VALUE"""),44776.0)</f>
        <v>44776</v>
      </c>
      <c r="G1304" s="24" t="str">
        <f>IFERROR(__xludf.DUMMYFUNCTION("""COMPUTED_VALUE"""),"Gina Privette")</f>
        <v>Gina Privette</v>
      </c>
      <c r="H1304" s="24">
        <f>IFERROR(__xludf.DUMMYFUNCTION("""COMPUTED_VALUE"""),24.0)</f>
        <v>24</v>
      </c>
      <c r="I1304" s="24"/>
    </row>
    <row r="1305">
      <c r="A1305" s="23">
        <f>IFERROR(__xludf.DUMMYFUNCTION("""COMPUTED_VALUE"""),44765.49928373843)</f>
        <v>44765.49928</v>
      </c>
      <c r="B1305" s="24" t="str">
        <f>IFERROR(__xludf.DUMMYFUNCTION("""COMPUTED_VALUE"""),"Ausar ")</f>
        <v>Ausar </v>
      </c>
      <c r="C1305" s="24">
        <f>IFERROR(__xludf.DUMMYFUNCTION("""COMPUTED_VALUE"""),260.0)</f>
        <v>260</v>
      </c>
      <c r="D1305" s="24" t="str">
        <f>IFERROR(__xludf.DUMMYFUNCTION("""COMPUTED_VALUE"""),"Pet ")</f>
        <v>Pet </v>
      </c>
      <c r="F1305" s="23">
        <f>IFERROR(__xludf.DUMMYFUNCTION("""COMPUTED_VALUE"""),44776.0)</f>
        <v>44776</v>
      </c>
      <c r="G1305" s="24" t="str">
        <f>IFERROR(__xludf.DUMMYFUNCTION("""COMPUTED_VALUE"""),"Sharron Robinson")</f>
        <v>Sharron Robinson</v>
      </c>
      <c r="H1305" s="24">
        <f>IFERROR(__xludf.DUMMYFUNCTION("""COMPUTED_VALUE"""),20.0)</f>
        <v>20</v>
      </c>
      <c r="I1305" s="24"/>
    </row>
    <row r="1306">
      <c r="A1306" s="23">
        <f>IFERROR(__xludf.DUMMYFUNCTION("""COMPUTED_VALUE"""),44765.50634810185)</f>
        <v>44765.50635</v>
      </c>
      <c r="B1306" s="24" t="str">
        <f>IFERROR(__xludf.DUMMYFUNCTION("""COMPUTED_VALUE"""),"Claire")</f>
        <v>Claire</v>
      </c>
      <c r="C1306" s="24">
        <f>IFERROR(__xludf.DUMMYFUNCTION("""COMPUTED_VALUE"""),1094.0)</f>
        <v>1094</v>
      </c>
      <c r="D1306" s="24" t="str">
        <f>IFERROR(__xludf.DUMMYFUNCTION("""COMPUTED_VALUE"""),"Pet supplies")</f>
        <v>Pet supplies</v>
      </c>
      <c r="F1306" s="23">
        <f>IFERROR(__xludf.DUMMYFUNCTION("""COMPUTED_VALUE"""),44776.0)</f>
        <v>44776</v>
      </c>
      <c r="G1306" s="24" t="str">
        <f>IFERROR(__xludf.DUMMYFUNCTION("""COMPUTED_VALUE"""),"Sharron Robinson")</f>
        <v>Sharron Robinson</v>
      </c>
      <c r="H1306" s="24">
        <f>IFERROR(__xludf.DUMMYFUNCTION("""COMPUTED_VALUE"""),7.0)</f>
        <v>7</v>
      </c>
      <c r="I1306" s="24"/>
    </row>
    <row r="1307">
      <c r="A1307" s="23">
        <f>IFERROR(__xludf.DUMMYFUNCTION("""COMPUTED_VALUE"""),44765.50670564815)</f>
        <v>44765.50671</v>
      </c>
      <c r="B1307" s="24" t="str">
        <f>IFERROR(__xludf.DUMMYFUNCTION("""COMPUTED_VALUE"""),"Claire")</f>
        <v>Claire</v>
      </c>
      <c r="C1307" s="24">
        <f>IFERROR(__xludf.DUMMYFUNCTION("""COMPUTED_VALUE"""),390.0)</f>
        <v>390</v>
      </c>
      <c r="D1307" s="24" t="str">
        <f>IFERROR(__xludf.DUMMYFUNCTION("""COMPUTED_VALUE"""),"Baby supplies")</f>
        <v>Baby supplies</v>
      </c>
      <c r="F1307" s="23">
        <f>IFERROR(__xludf.DUMMYFUNCTION("""COMPUTED_VALUE"""),44776.55065508102)</f>
        <v>44776.55066</v>
      </c>
      <c r="G1307" s="24" t="str">
        <f>IFERROR(__xludf.DUMMYFUNCTION("""COMPUTED_VALUE"""),"Deborah Claridy")</f>
        <v>Deborah Claridy</v>
      </c>
      <c r="H1307" s="24">
        <f>IFERROR(__xludf.DUMMYFUNCTION("""COMPUTED_VALUE"""),661.0)</f>
        <v>661</v>
      </c>
      <c r="I1307" s="24" t="str">
        <f>IFERROR(__xludf.DUMMYFUNCTION("""COMPUTED_VALUE"""),"first fruits farm")</f>
        <v>first fruits farm</v>
      </c>
    </row>
    <row r="1308">
      <c r="A1308" s="23">
        <f>IFERROR(__xludf.DUMMYFUNCTION("""COMPUTED_VALUE"""),44765.50703981482)</f>
        <v>44765.50704</v>
      </c>
      <c r="B1308" s="24" t="str">
        <f>IFERROR(__xludf.DUMMYFUNCTION("""COMPUTED_VALUE"""),"Claire")</f>
        <v>Claire</v>
      </c>
      <c r="C1308" s="24">
        <f>IFERROR(__xludf.DUMMYFUNCTION("""COMPUTED_VALUE"""),1030.0)</f>
        <v>1030</v>
      </c>
      <c r="D1308" s="24" t="str">
        <f>IFERROR(__xludf.DUMMYFUNCTION("""COMPUTED_VALUE"""),"Drinks")</f>
        <v>Drinks</v>
      </c>
      <c r="F1308" s="23">
        <f>IFERROR(__xludf.DUMMYFUNCTION("""COMPUTED_VALUE"""),44776.55164376157)</f>
        <v>44776.55164</v>
      </c>
      <c r="G1308" s="24" t="str">
        <f>IFERROR(__xludf.DUMMYFUNCTION("""COMPUTED_VALUE"""),"Deborah Claridy ")</f>
        <v>Deborah Claridy </v>
      </c>
      <c r="H1308" s="24">
        <f>IFERROR(__xludf.DUMMYFUNCTION("""COMPUTED_VALUE"""),608.0)</f>
        <v>608</v>
      </c>
      <c r="I1308" s="24" t="str">
        <f>IFERROR(__xludf.DUMMYFUNCTION("""COMPUTED_VALUE"""),"First farm fruits")</f>
        <v>First farm fruits</v>
      </c>
    </row>
    <row r="1309">
      <c r="A1309" s="23">
        <f>IFERROR(__xludf.DUMMYFUNCTION("""COMPUTED_VALUE"""),44765.50730289352)</f>
        <v>44765.5073</v>
      </c>
      <c r="B1309" s="24" t="str">
        <f>IFERROR(__xludf.DUMMYFUNCTION("""COMPUTED_VALUE"""),"Claire")</f>
        <v>Claire</v>
      </c>
      <c r="C1309" s="24">
        <f>IFERROR(__xludf.DUMMYFUNCTION("""COMPUTED_VALUE"""),1614.0)</f>
        <v>1614</v>
      </c>
      <c r="D1309" s="24" t="str">
        <f>IFERROR(__xludf.DUMMYFUNCTION("""COMPUTED_VALUE"""),"Drinks")</f>
        <v>Drinks</v>
      </c>
      <c r="F1309" s="23">
        <f>IFERROR(__xludf.DUMMYFUNCTION("""COMPUTED_VALUE"""),44776.55621289352)</f>
        <v>44776.55621</v>
      </c>
      <c r="G1309" s="24" t="str">
        <f>IFERROR(__xludf.DUMMYFUNCTION("""COMPUTED_VALUE"""),"Bud- Sisson st water/drinks ")</f>
        <v>Bud- Sisson st water/drinks </v>
      </c>
      <c r="H1309" s="24">
        <f>IFERROR(__xludf.DUMMYFUNCTION("""COMPUTED_VALUE"""),14.0)</f>
        <v>14</v>
      </c>
      <c r="I1309" s="24"/>
    </row>
    <row r="1310">
      <c r="A1310" s="23">
        <f>IFERROR(__xludf.DUMMYFUNCTION("""COMPUTED_VALUE"""),44765.5076027662)</f>
        <v>44765.5076</v>
      </c>
      <c r="B1310" s="24" t="str">
        <f>IFERROR(__xludf.DUMMYFUNCTION("""COMPUTED_VALUE"""),"Claire")</f>
        <v>Claire</v>
      </c>
      <c r="C1310" s="24">
        <f>IFERROR(__xludf.DUMMYFUNCTION("""COMPUTED_VALUE"""),280.0)</f>
        <v>280</v>
      </c>
      <c r="D1310" s="24" t="str">
        <f>IFERROR(__xludf.DUMMYFUNCTION("""COMPUTED_VALUE"""),"Paper goods")</f>
        <v>Paper goods</v>
      </c>
      <c r="F1310" s="23">
        <f>IFERROR(__xludf.DUMMYFUNCTION("""COMPUTED_VALUE"""),44776.57785269676)</f>
        <v>44776.57785</v>
      </c>
      <c r="G1310" s="24" t="str">
        <f>IFERROR(__xludf.DUMMYFUNCTION("""COMPUTED_VALUE"""),"Bud Stracker-personal ")</f>
        <v>Bud Stracker-personal </v>
      </c>
      <c r="H1310" s="24">
        <f>IFERROR(__xludf.DUMMYFUNCTION("""COMPUTED_VALUE"""),13.0)</f>
        <v>13</v>
      </c>
      <c r="I1310" s="24"/>
    </row>
    <row r="1311">
      <c r="A1311" s="23">
        <f>IFERROR(__xludf.DUMMYFUNCTION("""COMPUTED_VALUE"""),44765.50786552083)</f>
        <v>44765.50787</v>
      </c>
      <c r="B1311" s="24" t="str">
        <f>IFERROR(__xludf.DUMMYFUNCTION("""COMPUTED_VALUE"""),"Claire")</f>
        <v>Claire</v>
      </c>
      <c r="C1311" s="24">
        <f>IFERROR(__xludf.DUMMYFUNCTION("""COMPUTED_VALUE"""),146.0)</f>
        <v>146</v>
      </c>
      <c r="D1311" s="24" t="str">
        <f>IFERROR(__xludf.DUMMYFUNCTION("""COMPUTED_VALUE"""),"Paper goods")</f>
        <v>Paper goods</v>
      </c>
      <c r="F1311" s="23">
        <f>IFERROR(__xludf.DUMMYFUNCTION("""COMPUTED_VALUE"""),44776.63519953704)</f>
        <v>44776.6352</v>
      </c>
      <c r="G1311" s="24" t="str">
        <f>IFERROR(__xludf.DUMMYFUNCTION("""COMPUTED_VALUE"""),"Claire")</f>
        <v>Claire</v>
      </c>
      <c r="H1311" s="24">
        <f>IFERROR(__xludf.DUMMYFUNCTION("""COMPUTED_VALUE"""),548.0)</f>
        <v>548</v>
      </c>
      <c r="I1311" s="24" t="str">
        <f>IFERROR(__xludf.DUMMYFUNCTION("""COMPUTED_VALUE"""),"First fruit farm")</f>
        <v>First fruit farm</v>
      </c>
    </row>
    <row r="1312">
      <c r="A1312" s="23">
        <f>IFERROR(__xludf.DUMMYFUNCTION("""COMPUTED_VALUE"""),44765.573939606475)</f>
        <v>44765.57394</v>
      </c>
      <c r="B1312" s="24" t="str">
        <f>IFERROR(__xludf.DUMMYFUNCTION("""COMPUTED_VALUE"""),"Emily Stucke")</f>
        <v>Emily Stucke</v>
      </c>
      <c r="C1312" s="24">
        <f>IFERROR(__xludf.DUMMYFUNCTION("""COMPUTED_VALUE"""),306.0)</f>
        <v>306</v>
      </c>
      <c r="D1312" s="24" t="str">
        <f>IFERROR(__xludf.DUMMYFUNCTION("""COMPUTED_VALUE"""),"Dry goods")</f>
        <v>Dry goods</v>
      </c>
      <c r="F1312" s="23">
        <f>IFERROR(__xludf.DUMMYFUNCTION("""COMPUTED_VALUE"""),44776.63545717592)</f>
        <v>44776.63546</v>
      </c>
      <c r="G1312" s="24" t="str">
        <f>IFERROR(__xludf.DUMMYFUNCTION("""COMPUTED_VALUE"""),"Claire")</f>
        <v>Claire</v>
      </c>
      <c r="H1312" s="24">
        <f>IFERROR(__xludf.DUMMYFUNCTION("""COMPUTED_VALUE"""),443.0)</f>
        <v>443</v>
      </c>
      <c r="I1312" s="24" t="str">
        <f>IFERROR(__xludf.DUMMYFUNCTION("""COMPUTED_VALUE"""),"First fruit farm")</f>
        <v>First fruit farm</v>
      </c>
    </row>
    <row r="1313">
      <c r="A1313" s="23">
        <f>IFERROR(__xludf.DUMMYFUNCTION("""COMPUTED_VALUE"""),44765.574347303234)</f>
        <v>44765.57435</v>
      </c>
      <c r="B1313" s="24" t="str">
        <f>IFERROR(__xludf.DUMMYFUNCTION("""COMPUTED_VALUE"""),"Emily ")</f>
        <v>Emily </v>
      </c>
      <c r="C1313" s="24">
        <f>IFERROR(__xludf.DUMMYFUNCTION("""COMPUTED_VALUE"""),666.0)</f>
        <v>666</v>
      </c>
      <c r="D1313" s="24" t="str">
        <f>IFERROR(__xludf.DUMMYFUNCTION("""COMPUTED_VALUE"""),"Cleaning")</f>
        <v>Cleaning</v>
      </c>
      <c r="F1313" s="23">
        <f>IFERROR(__xludf.DUMMYFUNCTION("""COMPUTED_VALUE"""),44776.63568017361)</f>
        <v>44776.63568</v>
      </c>
      <c r="G1313" s="24" t="str">
        <f>IFERROR(__xludf.DUMMYFUNCTION("""COMPUTED_VALUE"""),"Claire")</f>
        <v>Claire</v>
      </c>
      <c r="H1313" s="24">
        <f>IFERROR(__xludf.DUMMYFUNCTION("""COMPUTED_VALUE"""),955.0)</f>
        <v>955</v>
      </c>
      <c r="I1313" s="24" t="str">
        <f>IFERROR(__xludf.DUMMYFUNCTION("""COMPUTED_VALUE"""),"First fruit farm")</f>
        <v>First fruit farm</v>
      </c>
    </row>
    <row r="1314">
      <c r="A1314" s="23">
        <f>IFERROR(__xludf.DUMMYFUNCTION("""COMPUTED_VALUE"""),44765.574641597224)</f>
        <v>44765.57464</v>
      </c>
      <c r="B1314" s="24" t="str">
        <f>IFERROR(__xludf.DUMMYFUNCTION("""COMPUTED_VALUE"""),"Emily")</f>
        <v>Emily</v>
      </c>
      <c r="C1314" s="24">
        <f>IFERROR(__xludf.DUMMYFUNCTION("""COMPUTED_VALUE"""),578.0)</f>
        <v>578</v>
      </c>
      <c r="D1314" s="24" t="str">
        <f>IFERROR(__xludf.DUMMYFUNCTION("""COMPUTED_VALUE"""),"Cleaning")</f>
        <v>Cleaning</v>
      </c>
      <c r="F1314" s="23">
        <f>IFERROR(__xludf.DUMMYFUNCTION("""COMPUTED_VALUE"""),44776.63583708333)</f>
        <v>44776.63584</v>
      </c>
      <c r="G1314" s="24" t="str">
        <f>IFERROR(__xludf.DUMMYFUNCTION("""COMPUTED_VALUE"""),"Claire")</f>
        <v>Claire</v>
      </c>
      <c r="H1314" s="24">
        <f>IFERROR(__xludf.DUMMYFUNCTION("""COMPUTED_VALUE"""),198.0)</f>
        <v>198</v>
      </c>
      <c r="I1314" s="24" t="str">
        <f>IFERROR(__xludf.DUMMYFUNCTION("""COMPUTED_VALUE"""),"Amazon")</f>
        <v>Amazon</v>
      </c>
    </row>
    <row r="1315">
      <c r="A1315" s="23">
        <f>IFERROR(__xludf.DUMMYFUNCTION("""COMPUTED_VALUE"""),44765.57498204861)</f>
        <v>44765.57498</v>
      </c>
      <c r="B1315" s="24" t="str">
        <f>IFERROR(__xludf.DUMMYFUNCTION("""COMPUTED_VALUE"""),"Emily")</f>
        <v>Emily</v>
      </c>
      <c r="C1315" s="24">
        <f>IFERROR(__xludf.DUMMYFUNCTION("""COMPUTED_VALUE"""),578.0)</f>
        <v>578</v>
      </c>
      <c r="D1315" s="24" t="str">
        <f>IFERROR(__xludf.DUMMYFUNCTION("""COMPUTED_VALUE"""),"Produce")</f>
        <v>Produce</v>
      </c>
      <c r="F1315" s="23">
        <f>IFERROR(__xludf.DUMMYFUNCTION("""COMPUTED_VALUE"""),44776.63609432871)</f>
        <v>44776.63609</v>
      </c>
      <c r="G1315" s="24" t="str">
        <f>IFERROR(__xludf.DUMMYFUNCTION("""COMPUTED_VALUE"""),"Claire")</f>
        <v>Claire</v>
      </c>
      <c r="H1315" s="24">
        <f>IFERROR(__xludf.DUMMYFUNCTION("""COMPUTED_VALUE"""),423.0)</f>
        <v>423</v>
      </c>
      <c r="I1315" s="24" t="str">
        <f>IFERROR(__xludf.DUMMYFUNCTION("""COMPUTED_VALUE"""),"First fruit farm")</f>
        <v>First fruit farm</v>
      </c>
    </row>
    <row r="1316">
      <c r="A1316" s="23">
        <f>IFERROR(__xludf.DUMMYFUNCTION("""COMPUTED_VALUE"""),44765.575207546295)</f>
        <v>44765.57521</v>
      </c>
      <c r="B1316" s="24" t="str">
        <f>IFERROR(__xludf.DUMMYFUNCTION("""COMPUTED_VALUE"""),"Emily")</f>
        <v>Emily</v>
      </c>
      <c r="C1316" s="24">
        <f>IFERROR(__xludf.DUMMYFUNCTION("""COMPUTED_VALUE"""),424.0)</f>
        <v>424</v>
      </c>
      <c r="D1316" s="24" t="str">
        <f>IFERROR(__xludf.DUMMYFUNCTION("""COMPUTED_VALUE"""),"Produce")</f>
        <v>Produce</v>
      </c>
      <c r="F1316" s="23">
        <f>IFERROR(__xludf.DUMMYFUNCTION("""COMPUTED_VALUE"""),44776.63627934028)</f>
        <v>44776.63628</v>
      </c>
      <c r="G1316" s="24" t="str">
        <f>IFERROR(__xludf.DUMMYFUNCTION("""COMPUTED_VALUE"""),"Claire")</f>
        <v>Claire</v>
      </c>
      <c r="H1316" s="24">
        <f>IFERROR(__xludf.DUMMYFUNCTION("""COMPUTED_VALUE"""),426.0)</f>
        <v>426</v>
      </c>
      <c r="I1316" s="24" t="str">
        <f>IFERROR(__xludf.DUMMYFUNCTION("""COMPUTED_VALUE"""),"Amazon")</f>
        <v>Amazon</v>
      </c>
    </row>
    <row r="1317">
      <c r="A1317" s="23">
        <f>IFERROR(__xludf.DUMMYFUNCTION("""COMPUTED_VALUE"""),44765.57543615741)</f>
        <v>44765.57544</v>
      </c>
      <c r="B1317" s="24" t="str">
        <f>IFERROR(__xludf.DUMMYFUNCTION("""COMPUTED_VALUE"""),"Emily")</f>
        <v>Emily</v>
      </c>
      <c r="C1317" s="24">
        <f>IFERROR(__xludf.DUMMYFUNCTION("""COMPUTED_VALUE"""),707.0)</f>
        <v>707</v>
      </c>
      <c r="D1317" s="24" t="str">
        <f>IFERROR(__xludf.DUMMYFUNCTION("""COMPUTED_VALUE"""),"Frozen")</f>
        <v>Frozen</v>
      </c>
      <c r="F1317" s="23">
        <f>IFERROR(__xludf.DUMMYFUNCTION("""COMPUTED_VALUE"""),44776.63648487268)</f>
        <v>44776.63648</v>
      </c>
      <c r="G1317" s="24" t="str">
        <f>IFERROR(__xludf.DUMMYFUNCTION("""COMPUTED_VALUE"""),"Claire")</f>
        <v>Claire</v>
      </c>
      <c r="H1317" s="24">
        <f>IFERROR(__xludf.DUMMYFUNCTION("""COMPUTED_VALUE"""),580.0)</f>
        <v>580</v>
      </c>
      <c r="I1317" s="24" t="str">
        <f>IFERROR(__xludf.DUMMYFUNCTION("""COMPUTED_VALUE"""),"Walmart")</f>
        <v>Walmart</v>
      </c>
    </row>
    <row r="1318">
      <c r="A1318" s="23">
        <f>IFERROR(__xludf.DUMMYFUNCTION("""COMPUTED_VALUE"""),44765.575636064816)</f>
        <v>44765.57564</v>
      </c>
      <c r="B1318" s="24" t="str">
        <f>IFERROR(__xludf.DUMMYFUNCTION("""COMPUTED_VALUE"""),"Emily")</f>
        <v>Emily</v>
      </c>
      <c r="C1318" s="24">
        <f>IFERROR(__xludf.DUMMYFUNCTION("""COMPUTED_VALUE"""),552.0)</f>
        <v>552</v>
      </c>
      <c r="D1318" s="24" t="str">
        <f>IFERROR(__xludf.DUMMYFUNCTION("""COMPUTED_VALUE"""),"Frozen")</f>
        <v>Frozen</v>
      </c>
      <c r="F1318" s="23">
        <f>IFERROR(__xludf.DUMMYFUNCTION("""COMPUTED_VALUE"""),44776.63674574074)</f>
        <v>44776.63675</v>
      </c>
      <c r="G1318" s="24" t="str">
        <f>IFERROR(__xludf.DUMMYFUNCTION("""COMPUTED_VALUE"""),"Claire")</f>
        <v>Claire</v>
      </c>
      <c r="H1318" s="24">
        <f>IFERROR(__xludf.DUMMYFUNCTION("""COMPUTED_VALUE"""),364.0)</f>
        <v>364</v>
      </c>
      <c r="I1318" s="24" t="str">
        <f>IFERROR(__xludf.DUMMYFUNCTION("""COMPUTED_VALUE"""),"Walmart")</f>
        <v>Walmart</v>
      </c>
    </row>
    <row r="1319">
      <c r="A1319" s="23">
        <f>IFERROR(__xludf.DUMMYFUNCTION("""COMPUTED_VALUE"""),44765.63052797454)</f>
        <v>44765.63053</v>
      </c>
      <c r="B1319" s="24" t="str">
        <f>IFERROR(__xludf.DUMMYFUNCTION("""COMPUTED_VALUE"""),"Ausar ")</f>
        <v>Ausar </v>
      </c>
      <c r="C1319" s="24">
        <f>IFERROR(__xludf.DUMMYFUNCTION("""COMPUTED_VALUE"""),475.0)</f>
        <v>475</v>
      </c>
      <c r="D1319" s="24" t="str">
        <f>IFERROR(__xludf.DUMMYFUNCTION("""COMPUTED_VALUE"""),"Paper products ")</f>
        <v>Paper products </v>
      </c>
      <c r="F1319" s="23">
        <f>IFERROR(__xludf.DUMMYFUNCTION("""COMPUTED_VALUE"""),44776.63699568287)</f>
        <v>44776.637</v>
      </c>
      <c r="G1319" s="24" t="str">
        <f>IFERROR(__xludf.DUMMYFUNCTION("""COMPUTED_VALUE"""),"Claire")</f>
        <v>Claire</v>
      </c>
      <c r="H1319" s="24">
        <f>IFERROR(__xludf.DUMMYFUNCTION("""COMPUTED_VALUE"""),243.0)</f>
        <v>243</v>
      </c>
      <c r="I1319" s="24" t="str">
        <f>IFERROR(__xludf.DUMMYFUNCTION("""COMPUTED_VALUE"""),"Walmart")</f>
        <v>Walmart</v>
      </c>
    </row>
    <row r="1320">
      <c r="A1320" s="23">
        <f>IFERROR(__xludf.DUMMYFUNCTION("""COMPUTED_VALUE"""),44765.64254872685)</f>
        <v>44765.64255</v>
      </c>
      <c r="B1320" s="24" t="str">
        <f>IFERROR(__xludf.DUMMYFUNCTION("""COMPUTED_VALUE"""),"Ausar ")</f>
        <v>Ausar </v>
      </c>
      <c r="C1320" s="24">
        <f>IFERROR(__xludf.DUMMYFUNCTION("""COMPUTED_VALUE"""),944.0)</f>
        <v>944</v>
      </c>
      <c r="D1320" s="24" t="str">
        <f>IFERROR(__xludf.DUMMYFUNCTION("""COMPUTED_VALUE"""),"Drinks ")</f>
        <v>Drinks </v>
      </c>
      <c r="F1320" s="23">
        <f>IFERROR(__xludf.DUMMYFUNCTION("""COMPUTED_VALUE"""),44776.637205555555)</f>
        <v>44776.63721</v>
      </c>
      <c r="G1320" s="24" t="str">
        <f>IFERROR(__xludf.DUMMYFUNCTION("""COMPUTED_VALUE"""),"Claire")</f>
        <v>Claire</v>
      </c>
      <c r="H1320" s="24">
        <f>IFERROR(__xludf.DUMMYFUNCTION("""COMPUTED_VALUE"""),90.0)</f>
        <v>90</v>
      </c>
      <c r="I1320" s="24" t="str">
        <f>IFERROR(__xludf.DUMMYFUNCTION("""COMPUTED_VALUE"""),"Walmart")</f>
        <v>Walmart</v>
      </c>
    </row>
    <row r="1321">
      <c r="A1321" s="23">
        <f>IFERROR(__xludf.DUMMYFUNCTION("""COMPUTED_VALUE"""),44765.66388168981)</f>
        <v>44765.66388</v>
      </c>
      <c r="B1321" s="24" t="str">
        <f>IFERROR(__xludf.DUMMYFUNCTION("""COMPUTED_VALUE"""),"Ausar ")</f>
        <v>Ausar </v>
      </c>
      <c r="C1321" s="24">
        <f>IFERROR(__xludf.DUMMYFUNCTION("""COMPUTED_VALUE"""),122.0)</f>
        <v>122</v>
      </c>
      <c r="D1321" s="24" t="str">
        <f>IFERROR(__xludf.DUMMYFUNCTION("""COMPUTED_VALUE"""),"Meat")</f>
        <v>Meat</v>
      </c>
      <c r="F1321" s="23">
        <f>IFERROR(__xludf.DUMMYFUNCTION("""COMPUTED_VALUE"""),44776.63743675926)</f>
        <v>44776.63744</v>
      </c>
      <c r="G1321" s="24" t="str">
        <f>IFERROR(__xludf.DUMMYFUNCTION("""COMPUTED_VALUE"""),"Claire")</f>
        <v>Claire</v>
      </c>
      <c r="H1321" s="24">
        <f>IFERROR(__xludf.DUMMYFUNCTION("""COMPUTED_VALUE"""),194.0)</f>
        <v>194</v>
      </c>
      <c r="I1321" s="24" t="str">
        <f>IFERROR(__xludf.DUMMYFUNCTION("""COMPUTED_VALUE"""),"Walmart")</f>
        <v>Walmart</v>
      </c>
    </row>
    <row r="1322">
      <c r="A1322" s="23">
        <f>IFERROR(__xludf.DUMMYFUNCTION("""COMPUTED_VALUE"""),44765.68642366899)</f>
        <v>44765.68642</v>
      </c>
      <c r="B1322" s="24" t="str">
        <f>IFERROR(__xludf.DUMMYFUNCTION("""COMPUTED_VALUE"""),"Ausar ")</f>
        <v>Ausar </v>
      </c>
      <c r="C1322" s="24">
        <f>IFERROR(__xludf.DUMMYFUNCTION("""COMPUTED_VALUE"""),200.0)</f>
        <v>200</v>
      </c>
      <c r="D1322" s="24" t="str">
        <f>IFERROR(__xludf.DUMMYFUNCTION("""COMPUTED_VALUE"""),"Water")</f>
        <v>Water</v>
      </c>
      <c r="F1322" s="23">
        <f>IFERROR(__xludf.DUMMYFUNCTION("""COMPUTED_VALUE"""),44776.63800459491)</f>
        <v>44776.638</v>
      </c>
      <c r="G1322" s="24" t="str">
        <f>IFERROR(__xludf.DUMMYFUNCTION("""COMPUTED_VALUE"""),"Claire")</f>
        <v>Claire</v>
      </c>
      <c r="H1322" s="24">
        <f>IFERROR(__xludf.DUMMYFUNCTION("""COMPUTED_VALUE"""),1073.0)</f>
        <v>1073</v>
      </c>
      <c r="I1322" s="24" t="str">
        <f>IFERROR(__xludf.DUMMYFUNCTION("""COMPUTED_VALUE"""),"Frozen")</f>
        <v>Frozen</v>
      </c>
    </row>
    <row r="1323">
      <c r="A1323" s="23">
        <f>IFERROR(__xludf.DUMMYFUNCTION("""COMPUTED_VALUE"""),44765.70138665509)</f>
        <v>44765.70139</v>
      </c>
      <c r="B1323" s="24" t="str">
        <f>IFERROR(__xludf.DUMMYFUNCTION("""COMPUTED_VALUE"""),"Ausar ")</f>
        <v>Ausar </v>
      </c>
      <c r="C1323" s="24">
        <f>IFERROR(__xludf.DUMMYFUNCTION("""COMPUTED_VALUE"""),-42.0)</f>
        <v>-42</v>
      </c>
      <c r="D1323" s="24" t="str">
        <f>IFERROR(__xludf.DUMMYFUNCTION("""COMPUTED_VALUE"""),"Water")</f>
        <v>Water</v>
      </c>
      <c r="F1323" s="23">
        <f>IFERROR(__xludf.DUMMYFUNCTION("""COMPUTED_VALUE"""),44776.63826393519)</f>
        <v>44776.63826</v>
      </c>
      <c r="G1323" s="24" t="str">
        <f>IFERROR(__xludf.DUMMYFUNCTION("""COMPUTED_VALUE"""),"Claire")</f>
        <v>Claire</v>
      </c>
      <c r="H1323" s="24">
        <f>IFERROR(__xludf.DUMMYFUNCTION("""COMPUTED_VALUE"""),247.0)</f>
        <v>247</v>
      </c>
      <c r="I1323" s="24" t="str">
        <f>IFERROR(__xludf.DUMMYFUNCTION("""COMPUTED_VALUE"""),"Produce")</f>
        <v>Produce</v>
      </c>
    </row>
    <row r="1324">
      <c r="A1324" s="23">
        <f>IFERROR(__xludf.DUMMYFUNCTION("""COMPUTED_VALUE"""),44765.70333032407)</f>
        <v>44765.70333</v>
      </c>
      <c r="B1324" s="24" t="str">
        <f>IFERROR(__xludf.DUMMYFUNCTION("""COMPUTED_VALUE"""),"Ausar ")</f>
        <v>Ausar </v>
      </c>
      <c r="C1324" s="24">
        <f>IFERROR(__xludf.DUMMYFUNCTION("""COMPUTED_VALUE"""),-129.0)</f>
        <v>-129</v>
      </c>
      <c r="D1324" s="24" t="str">
        <f>IFERROR(__xludf.DUMMYFUNCTION("""COMPUTED_VALUE"""),"Paper ")</f>
        <v>Paper </v>
      </c>
      <c r="F1324" s="23">
        <f>IFERROR(__xludf.DUMMYFUNCTION("""COMPUTED_VALUE"""),44776.63849498843)</f>
        <v>44776.63849</v>
      </c>
      <c r="G1324" s="24" t="str">
        <f>IFERROR(__xludf.DUMMYFUNCTION("""COMPUTED_VALUE"""),"Claire")</f>
        <v>Claire</v>
      </c>
      <c r="H1324" s="24">
        <f>IFERROR(__xludf.DUMMYFUNCTION("""COMPUTED_VALUE"""),567.0)</f>
        <v>567</v>
      </c>
      <c r="I1324" s="24" t="str">
        <f>IFERROR(__xludf.DUMMYFUNCTION("""COMPUTED_VALUE"""),"Produce")</f>
        <v>Produce</v>
      </c>
    </row>
    <row r="1325">
      <c r="A1325" s="23">
        <f>IFERROR(__xludf.DUMMYFUNCTION("""COMPUTED_VALUE"""),44765.70750953704)</f>
        <v>44765.70751</v>
      </c>
      <c r="B1325" s="24" t="str">
        <f>IFERROR(__xludf.DUMMYFUNCTION("""COMPUTED_VALUE"""),"Ausar ")</f>
        <v>Ausar </v>
      </c>
      <c r="C1325" s="24">
        <f>IFERROR(__xludf.DUMMYFUNCTION("""COMPUTED_VALUE"""),-123.0)</f>
        <v>-123</v>
      </c>
      <c r="D1325" s="24" t="str">
        <f>IFERROR(__xludf.DUMMYFUNCTION("""COMPUTED_VALUE"""),"Protein powders ")</f>
        <v>Protein powders </v>
      </c>
      <c r="F1325" s="23">
        <f>IFERROR(__xludf.DUMMYFUNCTION("""COMPUTED_VALUE"""),44776.64771482639)</f>
        <v>44776.64771</v>
      </c>
      <c r="G1325" s="24" t="str">
        <f>IFERROR(__xludf.DUMMYFUNCTION("""COMPUTED_VALUE"""),"Vincent Faulk")</f>
        <v>Vincent Faulk</v>
      </c>
      <c r="H1325" s="24">
        <f>IFERROR(__xludf.DUMMYFUNCTION("""COMPUTED_VALUE"""),767.0)</f>
        <v>767</v>
      </c>
      <c r="I1325" s="24" t="str">
        <f>IFERROR(__xludf.DUMMYFUNCTION("""COMPUTED_VALUE"""),"Assorted option")</f>
        <v>Assorted option</v>
      </c>
    </row>
    <row r="1326">
      <c r="A1326" s="23">
        <f>IFERROR(__xludf.DUMMYFUNCTION("""COMPUTED_VALUE"""),44765.712440462965)</f>
        <v>44765.71244</v>
      </c>
      <c r="B1326" s="24" t="str">
        <f>IFERROR(__xludf.DUMMYFUNCTION("""COMPUTED_VALUE"""),"Ausar ")</f>
        <v>Ausar </v>
      </c>
      <c r="C1326" s="24">
        <f>IFERROR(__xludf.DUMMYFUNCTION("""COMPUTED_VALUE"""),-103.0)</f>
        <v>-103</v>
      </c>
      <c r="D1326" s="24" t="str">
        <f>IFERROR(__xludf.DUMMYFUNCTION("""COMPUTED_VALUE"""),"Produce")</f>
        <v>Produce</v>
      </c>
      <c r="F1326" s="23">
        <f>IFERROR(__xludf.DUMMYFUNCTION("""COMPUTED_VALUE"""),44776.661372500006)</f>
        <v>44776.66137</v>
      </c>
      <c r="G1326" s="24" t="str">
        <f>IFERROR(__xludf.DUMMYFUNCTION("""COMPUTED_VALUE"""),"Vincent Faulk")</f>
        <v>Vincent Faulk</v>
      </c>
      <c r="H1326" s="24">
        <f>IFERROR(__xludf.DUMMYFUNCTION("""COMPUTED_VALUE"""),697.0)</f>
        <v>697</v>
      </c>
      <c r="I1326" s="24" t="str">
        <f>IFERROR(__xludf.DUMMYFUNCTION("""COMPUTED_VALUE"""),"Frozen")</f>
        <v>Frozen</v>
      </c>
    </row>
    <row r="1327">
      <c r="A1327" s="23">
        <f>IFERROR(__xludf.DUMMYFUNCTION("""COMPUTED_VALUE"""),44765.728424201385)</f>
        <v>44765.72842</v>
      </c>
      <c r="B1327" s="24" t="str">
        <f>IFERROR(__xludf.DUMMYFUNCTION("""COMPUTED_VALUE"""),"Claire")</f>
        <v>Claire</v>
      </c>
      <c r="C1327" s="24">
        <f>IFERROR(__xludf.DUMMYFUNCTION("""COMPUTED_VALUE"""),-122.0)</f>
        <v>-122</v>
      </c>
      <c r="D1327" s="24" t="str">
        <f>IFERROR(__xludf.DUMMYFUNCTION("""COMPUTED_VALUE"""),"Cleaning")</f>
        <v>Cleaning</v>
      </c>
      <c r="F1327" s="23">
        <f>IFERROR(__xludf.DUMMYFUNCTION("""COMPUTED_VALUE"""),44776.7219362037)</f>
        <v>44776.72194</v>
      </c>
      <c r="G1327" s="24" t="str">
        <f>IFERROR(__xludf.DUMMYFUNCTION("""COMPUTED_VALUE"""),"Deborah Claridy ")</f>
        <v>Deborah Claridy </v>
      </c>
      <c r="H1327" s="24">
        <f>IFERROR(__xludf.DUMMYFUNCTION("""COMPUTED_VALUE"""),9.0)</f>
        <v>9</v>
      </c>
      <c r="I1327" s="24"/>
    </row>
    <row r="1328">
      <c r="A1328" s="23">
        <f>IFERROR(__xludf.DUMMYFUNCTION("""COMPUTED_VALUE"""),44765.73019980324)</f>
        <v>44765.7302</v>
      </c>
      <c r="B1328" s="24" t="str">
        <f>IFERROR(__xludf.DUMMYFUNCTION("""COMPUTED_VALUE"""),"Claire")</f>
        <v>Claire</v>
      </c>
      <c r="C1328" s="24">
        <f>IFERROR(__xludf.DUMMYFUNCTION("""COMPUTED_VALUE"""),-37.0)</f>
        <v>-37</v>
      </c>
      <c r="D1328" s="24" t="str">
        <f>IFERROR(__xludf.DUMMYFUNCTION("""COMPUTED_VALUE"""),"Assorted option")</f>
        <v>Assorted option</v>
      </c>
      <c r="F1328" s="23">
        <f>IFERROR(__xludf.DUMMYFUNCTION("""COMPUTED_VALUE"""),44776.72246870371)</f>
        <v>44776.72247</v>
      </c>
      <c r="G1328" s="24" t="str">
        <f>IFERROR(__xludf.DUMMYFUNCTION("""COMPUTED_VALUE"""),"Deborah Claridy ")</f>
        <v>Deborah Claridy </v>
      </c>
      <c r="H1328" s="24">
        <f>IFERROR(__xludf.DUMMYFUNCTION("""COMPUTED_VALUE"""),3.0)</f>
        <v>3</v>
      </c>
      <c r="I1328" s="24"/>
    </row>
    <row r="1329">
      <c r="A1329" s="23">
        <f>IFERROR(__xludf.DUMMYFUNCTION("""COMPUTED_VALUE"""),44765.75619939815)</f>
        <v>44765.7562</v>
      </c>
      <c r="B1329" s="24" t="str">
        <f>IFERROR(__xludf.DUMMYFUNCTION("""COMPUTED_VALUE"""),"Lynnette  ")</f>
        <v>Lynnette  </v>
      </c>
      <c r="C1329" s="24">
        <f>IFERROR(__xludf.DUMMYFUNCTION("""COMPUTED_VALUE"""),5.0)</f>
        <v>5</v>
      </c>
      <c r="D1329" s="24" t="str">
        <f>IFERROR(__xludf.DUMMYFUNCTION("""COMPUTED_VALUE"""),"Meat")</f>
        <v>Meat</v>
      </c>
      <c r="F1329" s="23">
        <f>IFERROR(__xludf.DUMMYFUNCTION("""COMPUTED_VALUE"""),44776.85150824074)</f>
        <v>44776.85151</v>
      </c>
      <c r="G1329" s="24" t="str">
        <f>IFERROR(__xludf.DUMMYFUNCTION("""COMPUTED_VALUE"""),"Connor Gephart")</f>
        <v>Connor Gephart</v>
      </c>
      <c r="H1329" s="24">
        <f>IFERROR(__xludf.DUMMYFUNCTION("""COMPUTED_VALUE"""),12.0)</f>
        <v>12</v>
      </c>
      <c r="I1329" s="24"/>
    </row>
    <row r="1330">
      <c r="A1330" s="23">
        <f>IFERROR(__xludf.DUMMYFUNCTION("""COMPUTED_VALUE"""),44766.51157003472)</f>
        <v>44766.51157</v>
      </c>
      <c r="B1330" s="24" t="str">
        <f>IFERROR(__xludf.DUMMYFUNCTION("""COMPUTED_VALUE"""),"Alex")</f>
        <v>Alex</v>
      </c>
      <c r="C1330" s="24">
        <f>IFERROR(__xludf.DUMMYFUNCTION("""COMPUTED_VALUE"""),181.0)</f>
        <v>181</v>
      </c>
      <c r="D1330" s="24" t="str">
        <f>IFERROR(__xludf.DUMMYFUNCTION("""COMPUTED_VALUE"""),"Assorted option")</f>
        <v>Assorted option</v>
      </c>
      <c r="F1330" s="23">
        <f>IFERROR(__xludf.DUMMYFUNCTION("""COMPUTED_VALUE"""),44776.863107418976)</f>
        <v>44776.86311</v>
      </c>
      <c r="G1330" s="24" t="str">
        <f>IFERROR(__xludf.DUMMYFUNCTION("""COMPUTED_VALUE"""),"Dee Satterfield")</f>
        <v>Dee Satterfield</v>
      </c>
      <c r="H1330" s="24">
        <f>IFERROR(__xludf.DUMMYFUNCTION("""COMPUTED_VALUE"""),20.0)</f>
        <v>20</v>
      </c>
      <c r="I1330" s="24"/>
    </row>
    <row r="1331">
      <c r="A1331" s="23">
        <f>IFERROR(__xludf.DUMMYFUNCTION("""COMPUTED_VALUE"""),44766.51183336806)</f>
        <v>44766.51183</v>
      </c>
      <c r="B1331" s="24" t="str">
        <f>IFERROR(__xludf.DUMMYFUNCTION("""COMPUTED_VALUE"""),"Alex")</f>
        <v>Alex</v>
      </c>
      <c r="C1331" s="24">
        <f>IFERROR(__xludf.DUMMYFUNCTION("""COMPUTED_VALUE"""),427.0)</f>
        <v>427</v>
      </c>
      <c r="D1331" s="24" t="str">
        <f>IFERROR(__xludf.DUMMYFUNCTION("""COMPUTED_VALUE"""),"Assorted option")</f>
        <v>Assorted option</v>
      </c>
      <c r="F1331" s="23">
        <f>IFERROR(__xludf.DUMMYFUNCTION("""COMPUTED_VALUE"""),44776.863597812495)</f>
        <v>44776.8636</v>
      </c>
      <c r="G1331" s="24" t="str">
        <f>IFERROR(__xludf.DUMMYFUNCTION("""COMPUTED_VALUE"""),"Dee Satterfield")</f>
        <v>Dee Satterfield</v>
      </c>
      <c r="H1331" s="24">
        <f>IFERROR(__xludf.DUMMYFUNCTION("""COMPUTED_VALUE"""),37.0)</f>
        <v>37</v>
      </c>
      <c r="I1331" s="24"/>
    </row>
    <row r="1332">
      <c r="A1332" s="23">
        <f>IFERROR(__xludf.DUMMYFUNCTION("""COMPUTED_VALUE"""),44766.51389815973)</f>
        <v>44766.5139</v>
      </c>
      <c r="B1332" s="24" t="str">
        <f>IFERROR(__xludf.DUMMYFUNCTION("""COMPUTED_VALUE"""),"Alex")</f>
        <v>Alex</v>
      </c>
      <c r="C1332" s="24">
        <f>IFERROR(__xludf.DUMMYFUNCTION("""COMPUTED_VALUE"""),406.0)</f>
        <v>406</v>
      </c>
      <c r="D1332" s="24" t="str">
        <f>IFERROR(__xludf.DUMMYFUNCTION("""COMPUTED_VALUE"""),"Produce")</f>
        <v>Produce</v>
      </c>
      <c r="F1332" s="23">
        <f>IFERROR(__xludf.DUMMYFUNCTION("""COMPUTED_VALUE"""),44777.0)</f>
        <v>44777</v>
      </c>
      <c r="G1332" s="24" t="str">
        <f>IFERROR(__xludf.DUMMYFUNCTION("""COMPUTED_VALUE"""),"Norma K")</f>
        <v>Norma K</v>
      </c>
      <c r="H1332" s="24">
        <f>IFERROR(__xludf.DUMMYFUNCTION("""COMPUTED_VALUE"""),27.0)</f>
        <v>27</v>
      </c>
      <c r="I1332" s="24"/>
    </row>
    <row r="1333">
      <c r="A1333" s="23">
        <f>IFERROR(__xludf.DUMMYFUNCTION("""COMPUTED_VALUE"""),44766.54327577546)</f>
        <v>44766.54328</v>
      </c>
      <c r="B1333" s="24" t="str">
        <f>IFERROR(__xludf.DUMMYFUNCTION("""COMPUTED_VALUE"""),"Ausar ")</f>
        <v>Ausar </v>
      </c>
      <c r="C1333" s="24">
        <f>IFERROR(__xludf.DUMMYFUNCTION("""COMPUTED_VALUE"""),50.0)</f>
        <v>50</v>
      </c>
      <c r="D1333" s="24" t="str">
        <f>IFERROR(__xludf.DUMMYFUNCTION("""COMPUTED_VALUE"""),"Meat")</f>
        <v>Meat</v>
      </c>
      <c r="F1333" s="23">
        <f>IFERROR(__xludf.DUMMYFUNCTION("""COMPUTED_VALUE"""),44777.0)</f>
        <v>44777</v>
      </c>
      <c r="G1333" s="24" t="str">
        <f>IFERROR(__xludf.DUMMYFUNCTION("""COMPUTED_VALUE"""),"Hong Xue")</f>
        <v>Hong Xue</v>
      </c>
      <c r="H1333" s="24">
        <f>IFERROR(__xludf.DUMMYFUNCTION("""COMPUTED_VALUE"""),21.0)</f>
        <v>21</v>
      </c>
      <c r="I1333" s="24"/>
    </row>
    <row r="1334">
      <c r="A1334" s="23">
        <f>IFERROR(__xludf.DUMMYFUNCTION("""COMPUTED_VALUE"""),44766.550497233795)</f>
        <v>44766.5505</v>
      </c>
      <c r="B1334" s="24" t="str">
        <f>IFERROR(__xludf.DUMMYFUNCTION("""COMPUTED_VALUE"""),"Kaneesha ")</f>
        <v>Kaneesha </v>
      </c>
      <c r="C1334" s="24">
        <f>IFERROR(__xludf.DUMMYFUNCTION("""COMPUTED_VALUE"""),130.0)</f>
        <v>130</v>
      </c>
      <c r="D1334" s="24" t="str">
        <f>IFERROR(__xludf.DUMMYFUNCTION("""COMPUTED_VALUE"""),"Assorted option")</f>
        <v>Assorted option</v>
      </c>
      <c r="F1334" s="23">
        <f>IFERROR(__xludf.DUMMYFUNCTION("""COMPUTED_VALUE"""),44777.0)</f>
        <v>44777</v>
      </c>
      <c r="G1334" s="24" t="str">
        <f>IFERROR(__xludf.DUMMYFUNCTION("""COMPUTED_VALUE"""),"Hong Xue")</f>
        <v>Hong Xue</v>
      </c>
      <c r="H1334" s="24">
        <f>IFERROR(__xludf.DUMMYFUNCTION("""COMPUTED_VALUE"""),47.0)</f>
        <v>47</v>
      </c>
      <c r="I1334" s="24"/>
    </row>
    <row r="1335">
      <c r="A1335" s="23">
        <f>IFERROR(__xludf.DUMMYFUNCTION("""COMPUTED_VALUE"""),44766.63473915509)</f>
        <v>44766.63474</v>
      </c>
      <c r="B1335" s="24" t="str">
        <f>IFERROR(__xludf.DUMMYFUNCTION("""COMPUTED_VALUE"""),"Ausar ")</f>
        <v>Ausar </v>
      </c>
      <c r="C1335" s="24">
        <f>IFERROR(__xludf.DUMMYFUNCTION("""COMPUTED_VALUE"""),51.0)</f>
        <v>51</v>
      </c>
      <c r="D1335" s="24" t="str">
        <f>IFERROR(__xludf.DUMMYFUNCTION("""COMPUTED_VALUE"""),"Assorted option")</f>
        <v>Assorted option</v>
      </c>
      <c r="F1335" s="23">
        <f>IFERROR(__xludf.DUMMYFUNCTION("""COMPUTED_VALUE"""),44777.0)</f>
        <v>44777</v>
      </c>
      <c r="G1335" s="24" t="str">
        <f>IFERROR(__xludf.DUMMYFUNCTION("""COMPUTED_VALUE"""),"Nathaniel McClean")</f>
        <v>Nathaniel McClean</v>
      </c>
      <c r="H1335" s="24">
        <f>IFERROR(__xludf.DUMMYFUNCTION("""COMPUTED_VALUE"""),20.0)</f>
        <v>20</v>
      </c>
      <c r="I1335" s="24"/>
    </row>
    <row r="1336">
      <c r="A1336" s="23">
        <f>IFERROR(__xludf.DUMMYFUNCTION("""COMPUTED_VALUE"""),44766.67847775463)</f>
        <v>44766.67848</v>
      </c>
      <c r="B1336" s="24" t="str">
        <f>IFERROR(__xludf.DUMMYFUNCTION("""COMPUTED_VALUE"""),"Travis")</f>
        <v>Travis</v>
      </c>
      <c r="C1336" s="24">
        <f>IFERROR(__xludf.DUMMYFUNCTION("""COMPUTED_VALUE"""),22.0)</f>
        <v>22</v>
      </c>
      <c r="D1336" s="24" t="str">
        <f>IFERROR(__xludf.DUMMYFUNCTION("""COMPUTED_VALUE"""),"Assorted option")</f>
        <v>Assorted option</v>
      </c>
      <c r="F1336" s="23">
        <f>IFERROR(__xludf.DUMMYFUNCTION("""COMPUTED_VALUE"""),44777.0)</f>
        <v>44777</v>
      </c>
      <c r="G1336" s="24" t="str">
        <f>IFERROR(__xludf.DUMMYFUNCTION("""COMPUTED_VALUE"""),"Nathaniel McClean")</f>
        <v>Nathaniel McClean</v>
      </c>
      <c r="H1336" s="24">
        <f>IFERROR(__xludf.DUMMYFUNCTION("""COMPUTED_VALUE"""),16.0)</f>
        <v>16</v>
      </c>
      <c r="I1336" s="24"/>
    </row>
    <row r="1337">
      <c r="A1337" s="23">
        <f>IFERROR(__xludf.DUMMYFUNCTION("""COMPUTED_VALUE"""),44769.620792326394)</f>
        <v>44769.62079</v>
      </c>
      <c r="B1337" s="24" t="str">
        <f>IFERROR(__xludf.DUMMYFUNCTION("""COMPUTED_VALUE"""),"Claire ")</f>
        <v>Claire </v>
      </c>
      <c r="C1337" s="24">
        <f>IFERROR(__xludf.DUMMYFUNCTION("""COMPUTED_VALUE"""),132.0)</f>
        <v>132</v>
      </c>
      <c r="D1337" s="24" t="str">
        <f>IFERROR(__xludf.DUMMYFUNCTION("""COMPUTED_VALUE"""),"Meat")</f>
        <v>Meat</v>
      </c>
      <c r="F1337" s="23">
        <f>IFERROR(__xludf.DUMMYFUNCTION("""COMPUTED_VALUE"""),44777.65923578704)</f>
        <v>44777.65924</v>
      </c>
      <c r="G1337" s="24" t="str">
        <f>IFERROR(__xludf.DUMMYFUNCTION("""COMPUTED_VALUE"""),"Spencer Ellsworth ")</f>
        <v>Spencer Ellsworth </v>
      </c>
      <c r="H1337" s="24">
        <f>IFERROR(__xludf.DUMMYFUNCTION("""COMPUTED_VALUE"""),266.0)</f>
        <v>266</v>
      </c>
      <c r="I1337" s="24" t="str">
        <f>IFERROR(__xludf.DUMMYFUNCTION("""COMPUTED_VALUE"""),"Alto Dale Farm")</f>
        <v>Alto Dale Farm</v>
      </c>
    </row>
    <row r="1338">
      <c r="A1338" s="23">
        <f>IFERROR(__xludf.DUMMYFUNCTION("""COMPUTED_VALUE"""),44769.621106134255)</f>
        <v>44769.62111</v>
      </c>
      <c r="B1338" s="24" t="str">
        <f>IFERROR(__xludf.DUMMYFUNCTION("""COMPUTED_VALUE"""),"Claire")</f>
        <v>Claire</v>
      </c>
      <c r="C1338" s="24">
        <f>IFERROR(__xludf.DUMMYFUNCTION("""COMPUTED_VALUE"""),400.0)</f>
        <v>400</v>
      </c>
      <c r="D1338" s="24" t="str">
        <f>IFERROR(__xludf.DUMMYFUNCTION("""COMPUTED_VALUE"""),"Produce")</f>
        <v>Produce</v>
      </c>
      <c r="F1338" s="23">
        <f>IFERROR(__xludf.DUMMYFUNCTION("""COMPUTED_VALUE"""),44777.69422210648)</f>
        <v>44777.69422</v>
      </c>
      <c r="G1338" s="24" t="str">
        <f>IFERROR(__xludf.DUMMYFUNCTION("""COMPUTED_VALUE"""),"Claire")</f>
        <v>Claire</v>
      </c>
      <c r="H1338" s="24">
        <f>IFERROR(__xludf.DUMMYFUNCTION("""COMPUTED_VALUE"""),142.0)</f>
        <v>142</v>
      </c>
      <c r="I1338" s="24" t="str">
        <f>IFERROR(__xludf.DUMMYFUNCTION("""COMPUTED_VALUE"""),"Produce")</f>
        <v>Produce</v>
      </c>
    </row>
    <row r="1339">
      <c r="A1339" s="23">
        <f>IFERROR(__xludf.DUMMYFUNCTION("""COMPUTED_VALUE"""),44769.62129571759)</f>
        <v>44769.6213</v>
      </c>
      <c r="B1339" s="24" t="str">
        <f>IFERROR(__xludf.DUMMYFUNCTION("""COMPUTED_VALUE"""),"Claire")</f>
        <v>Claire</v>
      </c>
      <c r="C1339" s="24">
        <f>IFERROR(__xludf.DUMMYFUNCTION("""COMPUTED_VALUE"""),415.0)</f>
        <v>415</v>
      </c>
      <c r="D1339" s="24" t="str">
        <f>IFERROR(__xludf.DUMMYFUNCTION("""COMPUTED_VALUE"""),"Dairy")</f>
        <v>Dairy</v>
      </c>
      <c r="F1339" s="23">
        <f>IFERROR(__xludf.DUMMYFUNCTION("""COMPUTED_VALUE"""),44777.695033020835)</f>
        <v>44777.69503</v>
      </c>
      <c r="G1339" s="24" t="str">
        <f>IFERROR(__xludf.DUMMYFUNCTION("""COMPUTED_VALUE"""),"Claire")</f>
        <v>Claire</v>
      </c>
      <c r="H1339" s="24">
        <f>IFERROR(__xludf.DUMMYFUNCTION("""COMPUTED_VALUE"""),483.0)</f>
        <v>483</v>
      </c>
      <c r="I1339" s="24" t="str">
        <f>IFERROR(__xludf.DUMMYFUNCTION("""COMPUTED_VALUE"""),"Frozen")</f>
        <v>Frozen</v>
      </c>
    </row>
    <row r="1340">
      <c r="A1340" s="23">
        <f>IFERROR(__xludf.DUMMYFUNCTION("""COMPUTED_VALUE"""),44769.656273217595)</f>
        <v>44769.65627</v>
      </c>
      <c r="B1340" s="24" t="str">
        <f>IFERROR(__xludf.DUMMYFUNCTION("""COMPUTED_VALUE"""),"Claire")</f>
        <v>Claire</v>
      </c>
      <c r="C1340" s="24">
        <f>IFERROR(__xludf.DUMMYFUNCTION("""COMPUTED_VALUE"""),48.0)</f>
        <v>48</v>
      </c>
      <c r="D1340" s="24" t="str">
        <f>IFERROR(__xludf.DUMMYFUNCTION("""COMPUTED_VALUE"""),"Meat")</f>
        <v>Meat</v>
      </c>
      <c r="F1340" s="23">
        <f>IFERROR(__xludf.DUMMYFUNCTION("""COMPUTED_VALUE"""),44778.0)</f>
        <v>44778</v>
      </c>
      <c r="G1340" s="24" t="str">
        <f>IFERROR(__xludf.DUMMYFUNCTION("""COMPUTED_VALUE"""),"Juanita Chandler ")</f>
        <v>Juanita Chandler </v>
      </c>
      <c r="H1340" s="24">
        <f>IFERROR(__xludf.DUMMYFUNCTION("""COMPUTED_VALUE"""),8.0)</f>
        <v>8</v>
      </c>
      <c r="I1340" s="24"/>
    </row>
    <row r="1341">
      <c r="A1341" s="23">
        <f>IFERROR(__xludf.DUMMYFUNCTION("""COMPUTED_VALUE"""),44770.84251396991)</f>
        <v>44770.84251</v>
      </c>
      <c r="B1341" s="24" t="str">
        <f>IFERROR(__xludf.DUMMYFUNCTION("""COMPUTED_VALUE"""),"JC")</f>
        <v>JC</v>
      </c>
      <c r="C1341" s="24">
        <f>IFERROR(__xludf.DUMMYFUNCTION("""COMPUTED_VALUE"""),931.0)</f>
        <v>931</v>
      </c>
      <c r="D1341" s="24" t="str">
        <f>IFERROR(__xludf.DUMMYFUNCTION("""COMPUTED_VALUE"""),"Assorted Boxes")</f>
        <v>Assorted Boxes</v>
      </c>
      <c r="F1341" s="23">
        <f>IFERROR(__xludf.DUMMYFUNCTION("""COMPUTED_VALUE"""),44778.0)</f>
        <v>44778</v>
      </c>
      <c r="G1341" s="24" t="str">
        <f>IFERROR(__xludf.DUMMYFUNCTION("""COMPUTED_VALUE"""),"Juanita Chandler ")</f>
        <v>Juanita Chandler </v>
      </c>
      <c r="H1341" s="24">
        <f>IFERROR(__xludf.DUMMYFUNCTION("""COMPUTED_VALUE"""),12.0)</f>
        <v>12</v>
      </c>
      <c r="I1341" s="24"/>
    </row>
    <row r="1342">
      <c r="A1342" s="23">
        <f>IFERROR(__xludf.DUMMYFUNCTION("""COMPUTED_VALUE"""),44770.843042430555)</f>
        <v>44770.84304</v>
      </c>
      <c r="B1342" s="24" t="str">
        <f>IFERROR(__xludf.DUMMYFUNCTION("""COMPUTED_VALUE"""),"JC")</f>
        <v>JC</v>
      </c>
      <c r="C1342" s="24">
        <f>IFERROR(__xludf.DUMMYFUNCTION("""COMPUTED_VALUE"""),432.0)</f>
        <v>432</v>
      </c>
      <c r="D1342" s="24" t="str">
        <f>IFERROR(__xludf.DUMMYFUNCTION("""COMPUTED_VALUE"""),"Assorted Bixes")</f>
        <v>Assorted Bixes</v>
      </c>
      <c r="F1342" s="23">
        <f>IFERROR(__xludf.DUMMYFUNCTION("""COMPUTED_VALUE"""),44778.66621998843)</f>
        <v>44778.66622</v>
      </c>
      <c r="G1342" s="24" t="str">
        <f>IFERROR(__xludf.DUMMYFUNCTION("""COMPUTED_VALUE"""),"JC")</f>
        <v>JC</v>
      </c>
      <c r="H1342" s="24">
        <f>IFERROR(__xludf.DUMMYFUNCTION("""COMPUTED_VALUE"""),216.0)</f>
        <v>216</v>
      </c>
      <c r="I1342" s="24" t="str">
        <f>IFERROR(__xludf.DUMMYFUNCTION("""COMPUTED_VALUE"""),"Clothes")</f>
        <v>Clothes</v>
      </c>
    </row>
    <row r="1343">
      <c r="A1343" s="23">
        <f>IFERROR(__xludf.DUMMYFUNCTION("""COMPUTED_VALUE"""),44770.84346780092)</f>
        <v>44770.84347</v>
      </c>
      <c r="B1343" s="24" t="str">
        <f>IFERROR(__xludf.DUMMYFUNCTION("""COMPUTED_VALUE"""),"JC")</f>
        <v>JC</v>
      </c>
      <c r="C1343" s="24">
        <f>IFERROR(__xludf.DUMMYFUNCTION("""COMPUTED_VALUE"""),996.0)</f>
        <v>996</v>
      </c>
      <c r="D1343" s="24" t="str">
        <f>IFERROR(__xludf.DUMMYFUNCTION("""COMPUTED_VALUE"""),"Assorted Boxes")</f>
        <v>Assorted Boxes</v>
      </c>
      <c r="F1343" s="23">
        <f>IFERROR(__xludf.DUMMYFUNCTION("""COMPUTED_VALUE"""),44778.6665083912)</f>
        <v>44778.66651</v>
      </c>
      <c r="G1343" s="24" t="str">
        <f>IFERROR(__xludf.DUMMYFUNCTION("""COMPUTED_VALUE"""),"JC")</f>
        <v>JC</v>
      </c>
      <c r="H1343" s="24">
        <f>IFERROR(__xludf.DUMMYFUNCTION("""COMPUTED_VALUE"""),306.0)</f>
        <v>306</v>
      </c>
      <c r="I1343" s="24" t="str">
        <f>IFERROR(__xludf.DUMMYFUNCTION("""COMPUTED_VALUE"""),"Drinks")</f>
        <v>Drinks</v>
      </c>
    </row>
    <row r="1344">
      <c r="A1344" s="23">
        <f>IFERROR(__xludf.DUMMYFUNCTION("""COMPUTED_VALUE"""),44770.864178460644)</f>
        <v>44770.86418</v>
      </c>
      <c r="B1344" s="24" t="str">
        <f>IFERROR(__xludf.DUMMYFUNCTION("""COMPUTED_VALUE"""),"Vincent Faulk")</f>
        <v>Vincent Faulk</v>
      </c>
      <c r="C1344" s="24">
        <f>IFERROR(__xludf.DUMMYFUNCTION("""COMPUTED_VALUE"""),1082.0)</f>
        <v>1082</v>
      </c>
      <c r="D1344" s="24" t="str">
        <f>IFERROR(__xludf.DUMMYFUNCTION("""COMPUTED_VALUE"""),"Assorted option")</f>
        <v>Assorted option</v>
      </c>
      <c r="F1344" s="23">
        <f>IFERROR(__xludf.DUMMYFUNCTION("""COMPUTED_VALUE"""),44778.666754722224)</f>
        <v>44778.66675</v>
      </c>
      <c r="G1344" s="24" t="str">
        <f>IFERROR(__xludf.DUMMYFUNCTION("""COMPUTED_VALUE"""),"JC")</f>
        <v>JC</v>
      </c>
      <c r="H1344" s="24">
        <f>IFERROR(__xludf.DUMMYFUNCTION("""COMPUTED_VALUE"""),664.0)</f>
        <v>664</v>
      </c>
      <c r="I1344" s="24" t="str">
        <f>IFERROR(__xludf.DUMMYFUNCTION("""COMPUTED_VALUE"""),"Frozen")</f>
        <v>Frozen</v>
      </c>
    </row>
    <row r="1345">
      <c r="A1345" s="23">
        <f>IFERROR(__xludf.DUMMYFUNCTION("""COMPUTED_VALUE"""),44771.57204369213)</f>
        <v>44771.57204</v>
      </c>
      <c r="B1345" s="24" t="str">
        <f>IFERROR(__xludf.DUMMYFUNCTION("""COMPUTED_VALUE"""),"JC")</f>
        <v>JC</v>
      </c>
      <c r="C1345" s="24">
        <f>IFERROR(__xludf.DUMMYFUNCTION("""COMPUTED_VALUE"""),1897.0)</f>
        <v>1897</v>
      </c>
      <c r="D1345" s="24" t="str">
        <f>IFERROR(__xludf.DUMMYFUNCTION("""COMPUTED_VALUE"""),"Water")</f>
        <v>Water</v>
      </c>
      <c r="F1345" s="23">
        <f>IFERROR(__xludf.DUMMYFUNCTION("""COMPUTED_VALUE"""),44778.667051296296)</f>
        <v>44778.66705</v>
      </c>
      <c r="G1345" s="24" t="str">
        <f>IFERROR(__xludf.DUMMYFUNCTION("""COMPUTED_VALUE"""),"JC")</f>
        <v>JC</v>
      </c>
      <c r="H1345" s="24">
        <f>IFERROR(__xludf.DUMMYFUNCTION("""COMPUTED_VALUE"""),587.0)</f>
        <v>587</v>
      </c>
      <c r="I1345" s="24" t="str">
        <f>IFERROR(__xludf.DUMMYFUNCTION("""COMPUTED_VALUE"""),"Water")</f>
        <v>Water</v>
      </c>
    </row>
    <row r="1346">
      <c r="A1346" s="23">
        <f>IFERROR(__xludf.DUMMYFUNCTION("""COMPUTED_VALUE"""),44771.57242728009)</f>
        <v>44771.57243</v>
      </c>
      <c r="B1346" s="24" t="str">
        <f>IFERROR(__xludf.DUMMYFUNCTION("""COMPUTED_VALUE"""),"JC")</f>
        <v>JC</v>
      </c>
      <c r="C1346" s="24">
        <f>IFERROR(__xludf.DUMMYFUNCTION("""COMPUTED_VALUE"""),349.0)</f>
        <v>349</v>
      </c>
      <c r="D1346" s="24" t="str">
        <f>IFERROR(__xludf.DUMMYFUNCTION("""COMPUTED_VALUE"""),"Baby")</f>
        <v>Baby</v>
      </c>
      <c r="F1346" s="23">
        <f>IFERROR(__xludf.DUMMYFUNCTION("""COMPUTED_VALUE"""),44779.0)</f>
        <v>44779</v>
      </c>
      <c r="G1346" s="24" t="str">
        <f>IFERROR(__xludf.DUMMYFUNCTION("""COMPUTED_VALUE"""),"Claire")</f>
        <v>Claire</v>
      </c>
      <c r="H1346" s="24">
        <f>IFERROR(__xludf.DUMMYFUNCTION("""COMPUTED_VALUE"""),275.0)</f>
        <v>275</v>
      </c>
      <c r="I1346" s="24" t="str">
        <f>IFERROR(__xludf.DUMMYFUNCTION("""COMPUTED_VALUE"""),"Amazon")</f>
        <v>Amazon</v>
      </c>
    </row>
    <row r="1347">
      <c r="A1347" s="23">
        <f>IFERROR(__xludf.DUMMYFUNCTION("""COMPUTED_VALUE"""),44771.57284710648)</f>
        <v>44771.57285</v>
      </c>
      <c r="B1347" s="24" t="str">
        <f>IFERROR(__xludf.DUMMYFUNCTION("""COMPUTED_VALUE"""),"JC")</f>
        <v>JC</v>
      </c>
      <c r="C1347" s="24">
        <f>IFERROR(__xludf.DUMMYFUNCTION("""COMPUTED_VALUE"""),969.0)</f>
        <v>969</v>
      </c>
      <c r="D1347" s="24" t="str">
        <f>IFERROR(__xludf.DUMMYFUNCTION("""COMPUTED_VALUE"""),"Drinks")</f>
        <v>Drinks</v>
      </c>
      <c r="F1347" s="23">
        <f>IFERROR(__xludf.DUMMYFUNCTION("""COMPUTED_VALUE"""),44779.0)</f>
        <v>44779</v>
      </c>
      <c r="G1347" s="24" t="str">
        <f>IFERROR(__xludf.DUMMYFUNCTION("""COMPUTED_VALUE"""),"Claire")</f>
        <v>Claire</v>
      </c>
      <c r="H1347" s="24">
        <f>IFERROR(__xludf.DUMMYFUNCTION("""COMPUTED_VALUE"""),1293.0)</f>
        <v>1293</v>
      </c>
      <c r="I1347" s="24" t="str">
        <f>IFERROR(__xludf.DUMMYFUNCTION("""COMPUTED_VALUE"""),"Amazon")</f>
        <v>Amazon</v>
      </c>
    </row>
    <row r="1348">
      <c r="A1348" s="23">
        <f>IFERROR(__xludf.DUMMYFUNCTION("""COMPUTED_VALUE"""),44771.573206319445)</f>
        <v>44771.57321</v>
      </c>
      <c r="B1348" s="24" t="str">
        <f>IFERROR(__xludf.DUMMYFUNCTION("""COMPUTED_VALUE"""),"JC")</f>
        <v>JC</v>
      </c>
      <c r="C1348" s="24">
        <f>IFERROR(__xludf.DUMMYFUNCTION("""COMPUTED_VALUE"""),228.0)</f>
        <v>228</v>
      </c>
      <c r="D1348" s="24" t="str">
        <f>IFERROR(__xludf.DUMMYFUNCTION("""COMPUTED_VALUE"""),"Paper Products")</f>
        <v>Paper Products</v>
      </c>
      <c r="F1348" s="23">
        <f>IFERROR(__xludf.DUMMYFUNCTION("""COMPUTED_VALUE"""),44779.0)</f>
        <v>44779</v>
      </c>
      <c r="G1348" s="24" t="str">
        <f>IFERROR(__xludf.DUMMYFUNCTION("""COMPUTED_VALUE"""),"Claire")</f>
        <v>Claire</v>
      </c>
      <c r="H1348" s="24">
        <f>IFERROR(__xludf.DUMMYFUNCTION("""COMPUTED_VALUE"""),1037.0)</f>
        <v>1037</v>
      </c>
      <c r="I1348" s="24" t="str">
        <f>IFERROR(__xludf.DUMMYFUNCTION("""COMPUTED_VALUE"""),"Amazon")</f>
        <v>Amazon</v>
      </c>
    </row>
    <row r="1349">
      <c r="A1349" s="23">
        <f>IFERROR(__xludf.DUMMYFUNCTION("""COMPUTED_VALUE"""),44771.57369103009)</f>
        <v>44771.57369</v>
      </c>
      <c r="B1349" s="24" t="str">
        <f>IFERROR(__xludf.DUMMYFUNCTION("""COMPUTED_VALUE"""),"JC")</f>
        <v>JC</v>
      </c>
      <c r="C1349" s="24">
        <f>IFERROR(__xludf.DUMMYFUNCTION("""COMPUTED_VALUE"""),915.0)</f>
        <v>915</v>
      </c>
      <c r="D1349" s="24" t="str">
        <f>IFERROR(__xludf.DUMMYFUNCTION("""COMPUTED_VALUE"""),"Cleaning Supplies")</f>
        <v>Cleaning Supplies</v>
      </c>
      <c r="F1349" s="23">
        <f>IFERROR(__xludf.DUMMYFUNCTION("""COMPUTED_VALUE"""),44779.0)</f>
        <v>44779</v>
      </c>
      <c r="G1349" s="24" t="str">
        <f>IFERROR(__xludf.DUMMYFUNCTION("""COMPUTED_VALUE"""),"Claire")</f>
        <v>Claire</v>
      </c>
      <c r="H1349" s="24">
        <f>IFERROR(__xludf.DUMMYFUNCTION("""COMPUTED_VALUE"""),1690.0)</f>
        <v>1690</v>
      </c>
      <c r="I1349" s="24" t="str">
        <f>IFERROR(__xludf.DUMMYFUNCTION("""COMPUTED_VALUE"""),"Amazon")</f>
        <v>Amazon</v>
      </c>
    </row>
    <row r="1350">
      <c r="A1350" s="23">
        <f>IFERROR(__xludf.DUMMYFUNCTION("""COMPUTED_VALUE"""),44771.59829914352)</f>
        <v>44771.5983</v>
      </c>
      <c r="B1350" s="24" t="str">
        <f>IFERROR(__xludf.DUMMYFUNCTION("""COMPUTED_VALUE"""),"Vincent Faulk")</f>
        <v>Vincent Faulk</v>
      </c>
      <c r="C1350" s="24">
        <f>IFERROR(__xludf.DUMMYFUNCTION("""COMPUTED_VALUE"""),570.0)</f>
        <v>570</v>
      </c>
      <c r="D1350" s="24" t="str">
        <f>IFERROR(__xludf.DUMMYFUNCTION("""COMPUTED_VALUE"""),"Produce")</f>
        <v>Produce</v>
      </c>
      <c r="F1350" s="23">
        <f>IFERROR(__xludf.DUMMYFUNCTION("""COMPUTED_VALUE"""),44779.0)</f>
        <v>44779</v>
      </c>
      <c r="G1350" s="24" t="str">
        <f>IFERROR(__xludf.DUMMYFUNCTION("""COMPUTED_VALUE"""),"Claire")</f>
        <v>Claire</v>
      </c>
      <c r="H1350" s="24">
        <f>IFERROR(__xludf.DUMMYFUNCTION("""COMPUTED_VALUE"""),1479.0)</f>
        <v>1479</v>
      </c>
      <c r="I1350" s="24" t="str">
        <f>IFERROR(__xludf.DUMMYFUNCTION("""COMPUTED_VALUE"""),"Amazon")</f>
        <v>Amazon</v>
      </c>
    </row>
    <row r="1351">
      <c r="A1351" s="23">
        <f>IFERROR(__xludf.DUMMYFUNCTION("""COMPUTED_VALUE"""),44771.605246481486)</f>
        <v>44771.60525</v>
      </c>
      <c r="B1351" s="24" t="str">
        <f>IFERROR(__xludf.DUMMYFUNCTION("""COMPUTED_VALUE"""),"Vincent Faulk")</f>
        <v>Vincent Faulk</v>
      </c>
      <c r="C1351" s="24">
        <f>IFERROR(__xludf.DUMMYFUNCTION("""COMPUTED_VALUE"""),83.0)</f>
        <v>83</v>
      </c>
      <c r="D1351" s="24" t="str">
        <f>IFERROR(__xludf.DUMMYFUNCTION("""COMPUTED_VALUE"""),"Plates ")</f>
        <v>Plates </v>
      </c>
      <c r="F1351" s="23">
        <f>IFERROR(__xludf.DUMMYFUNCTION("""COMPUTED_VALUE"""),44779.0)</f>
        <v>44779</v>
      </c>
      <c r="G1351" s="24" t="str">
        <f>IFERROR(__xludf.DUMMYFUNCTION("""COMPUTED_VALUE"""),"Claire")</f>
        <v>Claire</v>
      </c>
      <c r="H1351" s="24">
        <f>IFERROR(__xludf.DUMMYFUNCTION("""COMPUTED_VALUE"""),1611.0)</f>
        <v>1611</v>
      </c>
      <c r="I1351" s="24" t="str">
        <f>IFERROR(__xludf.DUMMYFUNCTION("""COMPUTED_VALUE"""),"Amazon")</f>
        <v>Amazon</v>
      </c>
    </row>
    <row r="1352">
      <c r="A1352" s="23">
        <f>IFERROR(__xludf.DUMMYFUNCTION("""COMPUTED_VALUE"""),44771.61873280093)</f>
        <v>44771.61873</v>
      </c>
      <c r="B1352" s="24" t="str">
        <f>IFERROR(__xludf.DUMMYFUNCTION("""COMPUTED_VALUE"""),"Vincent Faulk")</f>
        <v>Vincent Faulk</v>
      </c>
      <c r="C1352" s="24">
        <f>IFERROR(__xludf.DUMMYFUNCTION("""COMPUTED_VALUE"""),307.0)</f>
        <v>307</v>
      </c>
      <c r="D1352" s="24" t="str">
        <f>IFERROR(__xludf.DUMMYFUNCTION("""COMPUTED_VALUE"""),"Meat")</f>
        <v>Meat</v>
      </c>
      <c r="F1352" s="23">
        <f>IFERROR(__xludf.DUMMYFUNCTION("""COMPUTED_VALUE"""),44779.0)</f>
        <v>44779</v>
      </c>
      <c r="G1352" s="24" t="str">
        <f>IFERROR(__xludf.DUMMYFUNCTION("""COMPUTED_VALUE"""),"Claire")</f>
        <v>Claire</v>
      </c>
      <c r="H1352" s="24">
        <f>IFERROR(__xludf.DUMMYFUNCTION("""COMPUTED_VALUE"""),1589.0)</f>
        <v>1589</v>
      </c>
      <c r="I1352" s="24" t="str">
        <f>IFERROR(__xludf.DUMMYFUNCTION("""COMPUTED_VALUE"""),"Amazon")</f>
        <v>Amazon</v>
      </c>
    </row>
    <row r="1353">
      <c r="A1353" s="23">
        <f>IFERROR(__xludf.DUMMYFUNCTION("""COMPUTED_VALUE"""),44771.65528738426)</f>
        <v>44771.65529</v>
      </c>
      <c r="B1353" s="24" t="str">
        <f>IFERROR(__xludf.DUMMYFUNCTION("""COMPUTED_VALUE"""),"Vincent Faulk")</f>
        <v>Vincent Faulk</v>
      </c>
      <c r="C1353" s="24">
        <f>IFERROR(__xludf.DUMMYFUNCTION("""COMPUTED_VALUE"""),761.0)</f>
        <v>761</v>
      </c>
      <c r="D1353" s="24" t="str">
        <f>IFERROR(__xludf.DUMMYFUNCTION("""COMPUTED_VALUE"""),"Frozen")</f>
        <v>Frozen</v>
      </c>
      <c r="F1353" s="23">
        <f>IFERROR(__xludf.DUMMYFUNCTION("""COMPUTED_VALUE"""),44779.0)</f>
        <v>44779</v>
      </c>
      <c r="G1353" s="24" t="str">
        <f>IFERROR(__xludf.DUMMYFUNCTION("""COMPUTED_VALUE"""),"Claire")</f>
        <v>Claire</v>
      </c>
      <c r="H1353" s="24">
        <f>IFERROR(__xludf.DUMMYFUNCTION("""COMPUTED_VALUE"""),983.0)</f>
        <v>983</v>
      </c>
      <c r="I1353" s="24" t="str">
        <f>IFERROR(__xludf.DUMMYFUNCTION("""COMPUTED_VALUE"""),"Amazon")</f>
        <v>Amazon</v>
      </c>
    </row>
    <row r="1354">
      <c r="A1354" s="23">
        <f>IFERROR(__xludf.DUMMYFUNCTION("""COMPUTED_VALUE"""),44771.71102091435)</f>
        <v>44771.71102</v>
      </c>
      <c r="B1354" s="24" t="str">
        <f>IFERROR(__xludf.DUMMYFUNCTION("""COMPUTED_VALUE"""),"JC")</f>
        <v>JC</v>
      </c>
      <c r="C1354" s="24">
        <f>IFERROR(__xludf.DUMMYFUNCTION("""COMPUTED_VALUE"""),102.0)</f>
        <v>102</v>
      </c>
      <c r="D1354" s="24" t="str">
        <f>IFERROR(__xludf.DUMMYFUNCTION("""COMPUTED_VALUE"""),"Bags")</f>
        <v>Bags</v>
      </c>
      <c r="F1354" s="23">
        <f>IFERROR(__xludf.DUMMYFUNCTION("""COMPUTED_VALUE"""),44779.0)</f>
        <v>44779</v>
      </c>
      <c r="G1354" s="24" t="str">
        <f>IFERROR(__xludf.DUMMYFUNCTION("""COMPUTED_VALUE"""),"Claire")</f>
        <v>Claire</v>
      </c>
      <c r="H1354" s="24">
        <f>IFERROR(__xludf.DUMMYFUNCTION("""COMPUTED_VALUE"""),1395.0)</f>
        <v>1395</v>
      </c>
      <c r="I1354" s="24" t="str">
        <f>IFERROR(__xludf.DUMMYFUNCTION("""COMPUTED_VALUE"""),"Amazon")</f>
        <v>Amazon</v>
      </c>
    </row>
    <row r="1355">
      <c r="A1355" s="23">
        <f>IFERROR(__xludf.DUMMYFUNCTION("""COMPUTED_VALUE"""),44772.62900241897)</f>
        <v>44772.629</v>
      </c>
      <c r="B1355" s="24" t="str">
        <f>IFERROR(__xludf.DUMMYFUNCTION("""COMPUTED_VALUE"""),"JC")</f>
        <v>JC</v>
      </c>
      <c r="C1355" s="24">
        <f>IFERROR(__xludf.DUMMYFUNCTION("""COMPUTED_VALUE"""),643.0)</f>
        <v>643</v>
      </c>
      <c r="D1355" s="24" t="str">
        <f>IFERROR(__xludf.DUMMYFUNCTION("""COMPUTED_VALUE"""),"Produce")</f>
        <v>Produce</v>
      </c>
      <c r="F1355" s="23">
        <f>IFERROR(__xludf.DUMMYFUNCTION("""COMPUTED_VALUE"""),44779.0)</f>
        <v>44779</v>
      </c>
      <c r="G1355" s="24" t="str">
        <f>IFERROR(__xludf.DUMMYFUNCTION("""COMPUTED_VALUE"""),"Claire")</f>
        <v>Claire</v>
      </c>
      <c r="H1355" s="24">
        <f>IFERROR(__xludf.DUMMYFUNCTION("""COMPUTED_VALUE"""),1365.0)</f>
        <v>1365</v>
      </c>
      <c r="I1355" s="24" t="str">
        <f>IFERROR(__xludf.DUMMYFUNCTION("""COMPUTED_VALUE"""),"Amazon")</f>
        <v>Amazon</v>
      </c>
    </row>
    <row r="1356">
      <c r="A1356" s="23">
        <f>IFERROR(__xludf.DUMMYFUNCTION("""COMPUTED_VALUE"""),44772.629376944446)</f>
        <v>44772.62938</v>
      </c>
      <c r="B1356" s="24" t="str">
        <f>IFERROR(__xludf.DUMMYFUNCTION("""COMPUTED_VALUE"""),"JC")</f>
        <v>JC</v>
      </c>
      <c r="C1356" s="24">
        <f>IFERROR(__xludf.DUMMYFUNCTION("""COMPUTED_VALUE"""),242.0)</f>
        <v>242</v>
      </c>
      <c r="D1356" s="24" t="str">
        <f>IFERROR(__xludf.DUMMYFUNCTION("""COMPUTED_VALUE"""),"Cleaning Supplies")</f>
        <v>Cleaning Supplies</v>
      </c>
      <c r="F1356" s="23">
        <f>IFERROR(__xludf.DUMMYFUNCTION("""COMPUTED_VALUE"""),44779.0)</f>
        <v>44779</v>
      </c>
      <c r="G1356" s="24" t="str">
        <f>IFERROR(__xludf.DUMMYFUNCTION("""COMPUTED_VALUE"""),"Claire")</f>
        <v>Claire</v>
      </c>
      <c r="H1356" s="24">
        <f>IFERROR(__xludf.DUMMYFUNCTION("""COMPUTED_VALUE"""),716.0)</f>
        <v>716</v>
      </c>
      <c r="I1356" s="24" t="str">
        <f>IFERROR(__xludf.DUMMYFUNCTION("""COMPUTED_VALUE"""),"Amazon")</f>
        <v>Amazon</v>
      </c>
    </row>
    <row r="1357">
      <c r="A1357" s="23">
        <f>IFERROR(__xludf.DUMMYFUNCTION("""COMPUTED_VALUE"""),44772.6892380787)</f>
        <v>44772.68924</v>
      </c>
      <c r="B1357" s="24" t="str">
        <f>IFERROR(__xludf.DUMMYFUNCTION("""COMPUTED_VALUE"""),"Claire")</f>
        <v>Claire</v>
      </c>
      <c r="C1357" s="24">
        <f>IFERROR(__xludf.DUMMYFUNCTION("""COMPUTED_VALUE"""),200.0)</f>
        <v>200</v>
      </c>
      <c r="D1357" s="24" t="str">
        <f>IFERROR(__xludf.DUMMYFUNCTION("""COMPUTED_VALUE"""),"Frozen")</f>
        <v>Frozen</v>
      </c>
      <c r="F1357" s="23">
        <f>IFERROR(__xludf.DUMMYFUNCTION("""COMPUTED_VALUE"""),44779.0)</f>
        <v>44779</v>
      </c>
      <c r="G1357" s="24" t="str">
        <f>IFERROR(__xludf.DUMMYFUNCTION("""COMPUTED_VALUE"""),"Claire")</f>
        <v>Claire</v>
      </c>
      <c r="H1357" s="24">
        <f>IFERROR(__xludf.DUMMYFUNCTION("""COMPUTED_VALUE"""),529.0)</f>
        <v>529</v>
      </c>
      <c r="I1357" s="24" t="str">
        <f>IFERROR(__xludf.DUMMYFUNCTION("""COMPUTED_VALUE"""),"Amazon")</f>
        <v>Amazon</v>
      </c>
    </row>
    <row r="1358">
      <c r="A1358" s="23">
        <f>IFERROR(__xludf.DUMMYFUNCTION("""COMPUTED_VALUE"""),44772.69013130786)</f>
        <v>44772.69013</v>
      </c>
      <c r="B1358" s="24" t="str">
        <f>IFERROR(__xludf.DUMMYFUNCTION("""COMPUTED_VALUE"""),"Claire")</f>
        <v>Claire</v>
      </c>
      <c r="C1358" s="24">
        <f>IFERROR(__xludf.DUMMYFUNCTION("""COMPUTED_VALUE"""),442.0)</f>
        <v>442</v>
      </c>
      <c r="D1358" s="24" t="str">
        <f>IFERROR(__xludf.DUMMYFUNCTION("""COMPUTED_VALUE"""),"Bags")</f>
        <v>Bags</v>
      </c>
      <c r="F1358" s="23">
        <f>IFERROR(__xludf.DUMMYFUNCTION("""COMPUTED_VALUE"""),44779.0)</f>
        <v>44779</v>
      </c>
      <c r="G1358" s="24" t="str">
        <f>IFERROR(__xludf.DUMMYFUNCTION("""COMPUTED_VALUE"""),"Denise Brown")</f>
        <v>Denise Brown</v>
      </c>
      <c r="H1358" s="24">
        <f>IFERROR(__xludf.DUMMYFUNCTION("""COMPUTED_VALUE"""),10.0)</f>
        <v>10</v>
      </c>
      <c r="I1358" s="24"/>
    </row>
    <row r="1359">
      <c r="A1359" s="23">
        <f>IFERROR(__xludf.DUMMYFUNCTION("""COMPUTED_VALUE"""),44772.69065251158)</f>
        <v>44772.69065</v>
      </c>
      <c r="B1359" s="24" t="str">
        <f>IFERROR(__xludf.DUMMYFUNCTION("""COMPUTED_VALUE"""),"Claire")</f>
        <v>Claire</v>
      </c>
      <c r="C1359" s="24">
        <f>IFERROR(__xludf.DUMMYFUNCTION("""COMPUTED_VALUE"""),671.0)</f>
        <v>671</v>
      </c>
      <c r="D1359" s="24" t="str">
        <f>IFERROR(__xludf.DUMMYFUNCTION("""COMPUTED_VALUE"""),"Produce")</f>
        <v>Produce</v>
      </c>
      <c r="F1359" s="23">
        <f>IFERROR(__xludf.DUMMYFUNCTION("""COMPUTED_VALUE"""),44779.0)</f>
        <v>44779</v>
      </c>
      <c r="G1359" s="24" t="str">
        <f>IFERROR(__xludf.DUMMYFUNCTION("""COMPUTED_VALUE"""),"Cheryl Utsey")</f>
        <v>Cheryl Utsey</v>
      </c>
      <c r="H1359" s="24">
        <f>IFERROR(__xludf.DUMMYFUNCTION("""COMPUTED_VALUE"""),20.0)</f>
        <v>20</v>
      </c>
      <c r="I1359" s="24"/>
    </row>
    <row r="1360">
      <c r="A1360" s="23">
        <f>IFERROR(__xludf.DUMMYFUNCTION("""COMPUTED_VALUE"""),44772.690946215276)</f>
        <v>44772.69095</v>
      </c>
      <c r="B1360" s="24" t="str">
        <f>IFERROR(__xludf.DUMMYFUNCTION("""COMPUTED_VALUE"""),"Claire")</f>
        <v>Claire</v>
      </c>
      <c r="C1360" s="24">
        <f>IFERROR(__xludf.DUMMYFUNCTION("""COMPUTED_VALUE"""),327.0)</f>
        <v>327</v>
      </c>
      <c r="D1360" s="24" t="str">
        <f>IFERROR(__xludf.DUMMYFUNCTION("""COMPUTED_VALUE"""),"Produce")</f>
        <v>Produce</v>
      </c>
      <c r="F1360" s="23">
        <f>IFERROR(__xludf.DUMMYFUNCTION("""COMPUTED_VALUE"""),44779.0)</f>
        <v>44779</v>
      </c>
      <c r="G1360" s="24" t="str">
        <f>IFERROR(__xludf.DUMMYFUNCTION("""COMPUTED_VALUE"""),"Zach Brilliant")</f>
        <v>Zach Brilliant</v>
      </c>
      <c r="H1360" s="24">
        <f>IFERROR(__xludf.DUMMYFUNCTION("""COMPUTED_VALUE"""),3.0)</f>
        <v>3</v>
      </c>
      <c r="I1360" s="24"/>
    </row>
    <row r="1361">
      <c r="A1361" s="23">
        <f>IFERROR(__xludf.DUMMYFUNCTION("""COMPUTED_VALUE"""),44772.69119273148)</f>
        <v>44772.69119</v>
      </c>
      <c r="B1361" s="24" t="str">
        <f>IFERROR(__xludf.DUMMYFUNCTION("""COMPUTED_VALUE"""),"Claire")</f>
        <v>Claire</v>
      </c>
      <c r="C1361" s="24">
        <f>IFERROR(__xludf.DUMMYFUNCTION("""COMPUTED_VALUE"""),1087.0)</f>
        <v>1087</v>
      </c>
      <c r="D1361" s="24" t="str">
        <f>IFERROR(__xludf.DUMMYFUNCTION("""COMPUTED_VALUE"""),"Frozen")</f>
        <v>Frozen</v>
      </c>
      <c r="F1361" s="23">
        <f>IFERROR(__xludf.DUMMYFUNCTION("""COMPUTED_VALUE"""),44779.0)</f>
        <v>44779</v>
      </c>
      <c r="G1361" s="24" t="str">
        <f>IFERROR(__xludf.DUMMYFUNCTION("""COMPUTED_VALUE"""),"Luke Pitsenbarger")</f>
        <v>Luke Pitsenbarger</v>
      </c>
      <c r="H1361" s="24">
        <f>IFERROR(__xludf.DUMMYFUNCTION("""COMPUTED_VALUE"""),3.0)</f>
        <v>3</v>
      </c>
      <c r="I1361" s="24"/>
    </row>
    <row r="1362">
      <c r="A1362" s="23">
        <f>IFERROR(__xludf.DUMMYFUNCTION("""COMPUTED_VALUE"""),44772.69214085649)</f>
        <v>44772.69214</v>
      </c>
      <c r="B1362" s="24" t="str">
        <f>IFERROR(__xludf.DUMMYFUNCTION("""COMPUTED_VALUE"""),"Claire")</f>
        <v>Claire</v>
      </c>
      <c r="C1362" s="24">
        <f>IFERROR(__xludf.DUMMYFUNCTION("""COMPUTED_VALUE"""),242.0)</f>
        <v>242</v>
      </c>
      <c r="D1362" s="24" t="str">
        <f>IFERROR(__xludf.DUMMYFUNCTION("""COMPUTED_VALUE"""),"Frozen")</f>
        <v>Frozen</v>
      </c>
      <c r="F1362" s="23">
        <f>IFERROR(__xludf.DUMMYFUNCTION("""COMPUTED_VALUE"""),44779.712543275455)</f>
        <v>44779.71254</v>
      </c>
      <c r="G1362" s="24" t="str">
        <f>IFERROR(__xludf.DUMMYFUNCTION("""COMPUTED_VALUE"""),"Cybil Bailey")</f>
        <v>Cybil Bailey</v>
      </c>
      <c r="H1362" s="24">
        <f>IFERROR(__xludf.DUMMYFUNCTION("""COMPUTED_VALUE"""),7.0)</f>
        <v>7</v>
      </c>
      <c r="I1362" s="24"/>
    </row>
    <row r="1363">
      <c r="A1363" s="23">
        <f>IFERROR(__xludf.DUMMYFUNCTION("""COMPUTED_VALUE"""),44772.69270938657)</f>
        <v>44772.69271</v>
      </c>
      <c r="B1363" s="24" t="str">
        <f>IFERROR(__xludf.DUMMYFUNCTION("""COMPUTED_VALUE"""),"Claire")</f>
        <v>Claire</v>
      </c>
      <c r="C1363" s="24">
        <f>IFERROR(__xludf.DUMMYFUNCTION("""COMPUTED_VALUE"""),-531.0)</f>
        <v>-531</v>
      </c>
      <c r="D1363" s="24" t="str">
        <f>IFERROR(__xludf.DUMMYFUNCTION("""COMPUTED_VALUE"""),"Frozen")</f>
        <v>Frozen</v>
      </c>
      <c r="F1363" s="23">
        <f>IFERROR(__xludf.DUMMYFUNCTION("""COMPUTED_VALUE"""),44779.716206550926)</f>
        <v>44779.71621</v>
      </c>
      <c r="G1363" s="24" t="str">
        <f>IFERROR(__xludf.DUMMYFUNCTION("""COMPUTED_VALUE"""),"Gilda castillo huertos ")</f>
        <v>Gilda castillo huertos </v>
      </c>
      <c r="H1363" s="24">
        <f>IFERROR(__xludf.DUMMYFUNCTION("""COMPUTED_VALUE"""),15.0)</f>
        <v>15</v>
      </c>
      <c r="I1363" s="24"/>
    </row>
    <row r="1364">
      <c r="A1364" s="23">
        <f>IFERROR(__xludf.DUMMYFUNCTION("""COMPUTED_VALUE"""),44772.69311193287)</f>
        <v>44772.69311</v>
      </c>
      <c r="B1364" s="24" t="str">
        <f>IFERROR(__xludf.DUMMYFUNCTION("""COMPUTED_VALUE"""),"Claire")</f>
        <v>Claire</v>
      </c>
      <c r="C1364" s="24">
        <f>IFERROR(__xludf.DUMMYFUNCTION("""COMPUTED_VALUE"""),-510.0)</f>
        <v>-510</v>
      </c>
      <c r="D1364" s="24" t="str">
        <f>IFERROR(__xludf.DUMMYFUNCTION("""COMPUTED_VALUE"""),"Produce")</f>
        <v>Produce</v>
      </c>
      <c r="F1364" s="23">
        <f>IFERROR(__xludf.DUMMYFUNCTION("""COMPUTED_VALUE"""),44779.71623877315)</f>
        <v>44779.71624</v>
      </c>
      <c r="G1364" s="24" t="str">
        <f>IFERROR(__xludf.DUMMYFUNCTION("""COMPUTED_VALUE"""),"Angeles cortes")</f>
        <v>Angeles cortes</v>
      </c>
      <c r="H1364" s="24">
        <f>IFERROR(__xludf.DUMMYFUNCTION("""COMPUTED_VALUE"""),20.0)</f>
        <v>20</v>
      </c>
      <c r="I1364" s="24"/>
    </row>
    <row r="1365">
      <c r="A1365" s="23">
        <f>IFERROR(__xludf.DUMMYFUNCTION("""COMPUTED_VALUE"""),44772.70294413195)</f>
        <v>44772.70294</v>
      </c>
      <c r="B1365" s="24" t="str">
        <f>IFERROR(__xludf.DUMMYFUNCTION("""COMPUTED_VALUE"""),"Claire")</f>
        <v>Claire</v>
      </c>
      <c r="C1365" s="24">
        <f>IFERROR(__xludf.DUMMYFUNCTION("""COMPUTED_VALUE"""),-659.0)</f>
        <v>-659</v>
      </c>
      <c r="D1365" s="24" t="str">
        <f>IFERROR(__xludf.DUMMYFUNCTION("""COMPUTED_VALUE"""),"Drinks&amp;cleaning")</f>
        <v>Drinks&amp;cleaning</v>
      </c>
      <c r="F1365" s="23">
        <f>IFERROR(__xludf.DUMMYFUNCTION("""COMPUTED_VALUE"""),44779.71829471065)</f>
        <v>44779.71829</v>
      </c>
      <c r="G1365" s="24" t="str">
        <f>IFERROR(__xludf.DUMMYFUNCTION("""COMPUTED_VALUE"""),"Sara B")</f>
        <v>Sara B</v>
      </c>
      <c r="H1365" s="24">
        <f>IFERROR(__xludf.DUMMYFUNCTION("""COMPUTED_VALUE"""),16.0)</f>
        <v>16</v>
      </c>
      <c r="I1365" s="24"/>
    </row>
    <row r="1366">
      <c r="A1366" s="23">
        <f>IFERROR(__xludf.DUMMYFUNCTION("""COMPUTED_VALUE"""),44772.703289062505)</f>
        <v>44772.70329</v>
      </c>
      <c r="B1366" s="24" t="str">
        <f>IFERROR(__xludf.DUMMYFUNCTION("""COMPUTED_VALUE"""),"Claire")</f>
        <v>Claire</v>
      </c>
      <c r="C1366" s="24">
        <f>IFERROR(__xludf.DUMMYFUNCTION("""COMPUTED_VALUE"""),-126.0)</f>
        <v>-126</v>
      </c>
      <c r="D1366" s="24" t="str">
        <f>IFERROR(__xludf.DUMMYFUNCTION("""COMPUTED_VALUE"""),"Paper products")</f>
        <v>Paper products</v>
      </c>
      <c r="F1366" s="23">
        <f>IFERROR(__xludf.DUMMYFUNCTION("""COMPUTED_VALUE"""),44779.722447870365)</f>
        <v>44779.72245</v>
      </c>
      <c r="G1366" s="24" t="str">
        <f>IFERROR(__xludf.DUMMYFUNCTION("""COMPUTED_VALUE"""),"Zach Brilliant")</f>
        <v>Zach Brilliant</v>
      </c>
      <c r="H1366" s="24">
        <f>IFERROR(__xludf.DUMMYFUNCTION("""COMPUTED_VALUE"""),19.0)</f>
        <v>19</v>
      </c>
      <c r="I1366" s="24"/>
    </row>
    <row r="1367">
      <c r="A1367" s="23">
        <f>IFERROR(__xludf.DUMMYFUNCTION("""COMPUTED_VALUE"""),44772.0)</f>
        <v>44772</v>
      </c>
      <c r="B1367" s="24" t="str">
        <f>IFERROR(__xludf.DUMMYFUNCTION("""COMPUTED_VALUE"""),"JC")</f>
        <v>JC</v>
      </c>
      <c r="C1367" s="24">
        <f>IFERROR(__xludf.DUMMYFUNCTION("""COMPUTED_VALUE"""),212.0)</f>
        <v>212</v>
      </c>
      <c r="D1367" s="24" t="str">
        <f>IFERROR(__xludf.DUMMYFUNCTION("""COMPUTED_VALUE"""),"Pampers")</f>
        <v>Pampers</v>
      </c>
      <c r="F1367" s="23">
        <f>IFERROR(__xludf.DUMMYFUNCTION("""COMPUTED_VALUE"""),44779.72325997685)</f>
        <v>44779.72326</v>
      </c>
      <c r="G1367" s="24" t="str">
        <f>IFERROR(__xludf.DUMMYFUNCTION("""COMPUTED_VALUE"""),"Beverly Pinn")</f>
        <v>Beverly Pinn</v>
      </c>
      <c r="H1367" s="24">
        <f>IFERROR(__xludf.DUMMYFUNCTION("""COMPUTED_VALUE"""),20.0)</f>
        <v>20</v>
      </c>
      <c r="I1367" s="24"/>
    </row>
    <row r="1368">
      <c r="A1368" s="23">
        <f>IFERROR(__xludf.DUMMYFUNCTION("""COMPUTED_VALUE"""),44772.0)</f>
        <v>44772</v>
      </c>
      <c r="B1368" s="24" t="str">
        <f>IFERROR(__xludf.DUMMYFUNCTION("""COMPUTED_VALUE"""),"JC")</f>
        <v>JC</v>
      </c>
      <c r="C1368" s="24">
        <f>IFERROR(__xludf.DUMMYFUNCTION("""COMPUTED_VALUE"""),902.0)</f>
        <v>902</v>
      </c>
      <c r="D1368" s="24" t="str">
        <f>IFERROR(__xludf.DUMMYFUNCTION("""COMPUTED_VALUE"""),"Frozen")</f>
        <v>Frozen</v>
      </c>
      <c r="F1368" s="23">
        <f>IFERROR(__xludf.DUMMYFUNCTION("""COMPUTED_VALUE"""),44779.723453969906)</f>
        <v>44779.72345</v>
      </c>
      <c r="G1368" s="24" t="str">
        <f>IFERROR(__xludf.DUMMYFUNCTION("""COMPUTED_VALUE"""),"Beverly Pinn")</f>
        <v>Beverly Pinn</v>
      </c>
      <c r="H1368" s="24">
        <f>IFERROR(__xludf.DUMMYFUNCTION("""COMPUTED_VALUE"""),5.0)</f>
        <v>5</v>
      </c>
      <c r="I1368" s="24"/>
    </row>
    <row r="1369">
      <c r="A1369" s="23">
        <f>IFERROR(__xludf.DUMMYFUNCTION("""COMPUTED_VALUE"""),44772.0)</f>
        <v>44772</v>
      </c>
      <c r="B1369" s="24" t="str">
        <f>IFERROR(__xludf.DUMMYFUNCTION("""COMPUTED_VALUE"""),"JC")</f>
        <v>JC</v>
      </c>
      <c r="C1369" s="24">
        <f>IFERROR(__xludf.DUMMYFUNCTION("""COMPUTED_VALUE"""),557.0)</f>
        <v>557</v>
      </c>
      <c r="D1369" s="24" t="str">
        <f>IFERROR(__xludf.DUMMYFUNCTION("""COMPUTED_VALUE"""),"Meat &amp; Frozen")</f>
        <v>Meat &amp; Frozen</v>
      </c>
      <c r="F1369" s="23">
        <f>IFERROR(__xludf.DUMMYFUNCTION("""COMPUTED_VALUE"""),44779.735232106475)</f>
        <v>44779.73523</v>
      </c>
      <c r="G1369" s="24" t="str">
        <f>IFERROR(__xludf.DUMMYFUNCTION("""COMPUTED_VALUE"""),"Emily ")</f>
        <v>Emily </v>
      </c>
      <c r="H1369" s="24">
        <f>IFERROR(__xludf.DUMMYFUNCTION("""COMPUTED_VALUE"""),5.0)</f>
        <v>5</v>
      </c>
      <c r="I1369" s="24"/>
    </row>
    <row r="1370">
      <c r="A1370" s="23">
        <f>IFERROR(__xludf.DUMMYFUNCTION("""COMPUTED_VALUE"""),44773.68022565972)</f>
        <v>44773.68023</v>
      </c>
      <c r="B1370" s="24" t="str">
        <f>IFERROR(__xludf.DUMMYFUNCTION("""COMPUTED_VALUE"""),"Travis")</f>
        <v>Travis</v>
      </c>
      <c r="C1370" s="24">
        <f>IFERROR(__xludf.DUMMYFUNCTION("""COMPUTED_VALUE"""),20.0)</f>
        <v>20</v>
      </c>
      <c r="D1370" s="24" t="str">
        <f>IFERROR(__xludf.DUMMYFUNCTION("""COMPUTED_VALUE"""),"Assorted option")</f>
        <v>Assorted option</v>
      </c>
      <c r="F1370" s="23">
        <f>IFERROR(__xludf.DUMMYFUNCTION("""COMPUTED_VALUE"""),44779.8717456713)</f>
        <v>44779.87175</v>
      </c>
      <c r="G1370" s="24" t="str">
        <f>IFERROR(__xludf.DUMMYFUNCTION("""COMPUTED_VALUE"""),"Luke Pitsenbarger")</f>
        <v>Luke Pitsenbarger</v>
      </c>
      <c r="H1370" s="24">
        <f>IFERROR(__xludf.DUMMYFUNCTION("""COMPUTED_VALUE"""),17.0)</f>
        <v>17</v>
      </c>
      <c r="I1370" s="24"/>
    </row>
    <row r="1371">
      <c r="A1371" s="23">
        <f>IFERROR(__xludf.DUMMYFUNCTION("""COMPUTED_VALUE"""),44773.719031643515)</f>
        <v>44773.71903</v>
      </c>
      <c r="B1371" s="24" t="str">
        <f>IFERROR(__xludf.DUMMYFUNCTION("""COMPUTED_VALUE"""),"Ausar ")</f>
        <v>Ausar </v>
      </c>
      <c r="C1371" s="24">
        <f>IFERROR(__xludf.DUMMYFUNCTION("""COMPUTED_VALUE"""),14.0)</f>
        <v>14</v>
      </c>
      <c r="D1371" s="24" t="str">
        <f>IFERROR(__xludf.DUMMYFUNCTION("""COMPUTED_VALUE"""),"Assorted option")</f>
        <v>Assorted option</v>
      </c>
      <c r="F1371" s="23">
        <f>IFERROR(__xludf.DUMMYFUNCTION("""COMPUTED_VALUE"""),44780.0)</f>
        <v>44780</v>
      </c>
      <c r="G1371" s="24" t="str">
        <f>IFERROR(__xludf.DUMMYFUNCTION("""COMPUTED_VALUE"""),"Marci")</f>
        <v>Marci</v>
      </c>
      <c r="H1371" s="24">
        <f>IFERROR(__xludf.DUMMYFUNCTION("""COMPUTED_VALUE"""),19.0)</f>
        <v>19</v>
      </c>
      <c r="I1371" s="24"/>
    </row>
    <row r="1372">
      <c r="A1372" s="23">
        <f>IFERROR(__xludf.DUMMYFUNCTION("""COMPUTED_VALUE"""),44773.0)</f>
        <v>44773</v>
      </c>
      <c r="B1372" s="24" t="str">
        <f>IFERROR(__xludf.DUMMYFUNCTION("""COMPUTED_VALUE"""),"JC")</f>
        <v>JC</v>
      </c>
      <c r="C1372" s="24">
        <f>IFERROR(__xludf.DUMMYFUNCTION("""COMPUTED_VALUE"""),504.0)</f>
        <v>504</v>
      </c>
      <c r="D1372" s="24" t="str">
        <f>IFERROR(__xludf.DUMMYFUNCTION("""COMPUTED_VALUE"""),"Cabbage")</f>
        <v>Cabbage</v>
      </c>
      <c r="F1372" s="23">
        <f>IFERROR(__xludf.DUMMYFUNCTION("""COMPUTED_VALUE"""),44780.0)</f>
        <v>44780</v>
      </c>
      <c r="G1372" s="24" t="str">
        <f>IFERROR(__xludf.DUMMYFUNCTION("""COMPUTED_VALUE"""),"Marci")</f>
        <v>Marci</v>
      </c>
      <c r="H1372" s="24">
        <f>IFERROR(__xludf.DUMMYFUNCTION("""COMPUTED_VALUE"""),58.0)</f>
        <v>58</v>
      </c>
      <c r="I1372" s="24"/>
    </row>
    <row r="1373">
      <c r="A1373" s="23">
        <f>IFERROR(__xludf.DUMMYFUNCTION("""COMPUTED_VALUE"""),44773.0)</f>
        <v>44773</v>
      </c>
      <c r="B1373" s="24" t="str">
        <f>IFERROR(__xludf.DUMMYFUNCTION("""COMPUTED_VALUE"""),"JC")</f>
        <v>JC</v>
      </c>
      <c r="C1373" s="24">
        <f>IFERROR(__xludf.DUMMYFUNCTION("""COMPUTED_VALUE"""),531.0)</f>
        <v>531</v>
      </c>
      <c r="D1373" s="24" t="str">
        <f>IFERROR(__xludf.DUMMYFUNCTION("""COMPUTED_VALUE"""),"Frozen")</f>
        <v>Frozen</v>
      </c>
      <c r="F1373" s="23">
        <f>IFERROR(__xludf.DUMMYFUNCTION("""COMPUTED_VALUE"""),44780.63892232639)</f>
        <v>44780.63892</v>
      </c>
      <c r="G1373" s="24" t="str">
        <f>IFERROR(__xludf.DUMMYFUNCTION("""COMPUTED_VALUE"""),"Vincent Faulk")</f>
        <v>Vincent Faulk</v>
      </c>
      <c r="H1373" s="24">
        <f>IFERROR(__xludf.DUMMYFUNCTION("""COMPUTED_VALUE"""),729.0)</f>
        <v>729</v>
      </c>
      <c r="I1373" s="24" t="str">
        <f>IFERROR(__xludf.DUMMYFUNCTION("""COMPUTED_VALUE"""),"Amazon")</f>
        <v>Amazon</v>
      </c>
    </row>
    <row r="1374">
      <c r="A1374" s="23">
        <f>IFERROR(__xludf.DUMMYFUNCTION("""COMPUTED_VALUE"""),44773.0)</f>
        <v>44773</v>
      </c>
      <c r="B1374" s="24" t="str">
        <f>IFERROR(__xludf.DUMMYFUNCTION("""COMPUTED_VALUE"""),"JC")</f>
        <v>JC</v>
      </c>
      <c r="C1374" s="24">
        <f>IFERROR(__xludf.DUMMYFUNCTION("""COMPUTED_VALUE"""),266.0)</f>
        <v>266</v>
      </c>
      <c r="D1374" s="24" t="str">
        <f>IFERROR(__xludf.DUMMYFUNCTION("""COMPUTED_VALUE"""),"Grapes")</f>
        <v>Grapes</v>
      </c>
      <c r="F1374" s="23">
        <f>IFERROR(__xludf.DUMMYFUNCTION("""COMPUTED_VALUE"""),44780.64079010417)</f>
        <v>44780.64079</v>
      </c>
      <c r="G1374" s="24" t="str">
        <f>IFERROR(__xludf.DUMMYFUNCTION("""COMPUTED_VALUE"""),"Vincent Faulk")</f>
        <v>Vincent Faulk</v>
      </c>
      <c r="H1374" s="24">
        <f>IFERROR(__xludf.DUMMYFUNCTION("""COMPUTED_VALUE"""),483.0)</f>
        <v>483</v>
      </c>
      <c r="I1374" s="24" t="str">
        <f>IFERROR(__xludf.DUMMYFUNCTION("""COMPUTED_VALUE"""),"Amazon")</f>
        <v>Amazon</v>
      </c>
    </row>
    <row r="1375">
      <c r="A1375" s="23">
        <f>IFERROR(__xludf.DUMMYFUNCTION("""COMPUTED_VALUE"""),44773.0)</f>
        <v>44773</v>
      </c>
      <c r="B1375" s="24" t="str">
        <f>IFERROR(__xludf.DUMMYFUNCTION("""COMPUTED_VALUE"""),"JC")</f>
        <v>JC</v>
      </c>
      <c r="C1375" s="24">
        <f>IFERROR(__xludf.DUMMYFUNCTION("""COMPUTED_VALUE"""),30.0)</f>
        <v>30</v>
      </c>
      <c r="D1375" s="24" t="str">
        <f>IFERROR(__xludf.DUMMYFUNCTION("""COMPUTED_VALUE"""),"Dog Food")</f>
        <v>Dog Food</v>
      </c>
      <c r="F1375" s="23">
        <f>IFERROR(__xludf.DUMMYFUNCTION("""COMPUTED_VALUE"""),44780.64108737268)</f>
        <v>44780.64109</v>
      </c>
      <c r="G1375" s="24" t="str">
        <f>IFERROR(__xludf.DUMMYFUNCTION("""COMPUTED_VALUE"""),"Vincent Faulk")</f>
        <v>Vincent Faulk</v>
      </c>
      <c r="H1375" s="24">
        <f>IFERROR(__xludf.DUMMYFUNCTION("""COMPUTED_VALUE"""),430.0)</f>
        <v>430</v>
      </c>
      <c r="I1375" s="24" t="str">
        <f>IFERROR(__xludf.DUMMYFUNCTION("""COMPUTED_VALUE"""),"Amazon")</f>
        <v>Amazon</v>
      </c>
    </row>
    <row r="1376">
      <c r="A1376" s="23">
        <f>IFERROR(__xludf.DUMMYFUNCTION("""COMPUTED_VALUE"""),44775.62039135417)</f>
        <v>44775.62039</v>
      </c>
      <c r="B1376" s="24" t="str">
        <f>IFERROR(__xludf.DUMMYFUNCTION("""COMPUTED_VALUE"""),"Claire")</f>
        <v>Claire</v>
      </c>
      <c r="C1376" s="24">
        <f>IFERROR(__xludf.DUMMYFUNCTION("""COMPUTED_VALUE"""),84.0)</f>
        <v>84</v>
      </c>
      <c r="D1376" s="24" t="str">
        <f>IFERROR(__xludf.DUMMYFUNCTION("""COMPUTED_VALUE"""),"Bread")</f>
        <v>Bread</v>
      </c>
      <c r="F1376" s="23">
        <f>IFERROR(__xludf.DUMMYFUNCTION("""COMPUTED_VALUE"""),44780.641434282414)</f>
        <v>44780.64143</v>
      </c>
      <c r="G1376" s="24" t="str">
        <f>IFERROR(__xludf.DUMMYFUNCTION("""COMPUTED_VALUE"""),"Vincent Faulk")</f>
        <v>Vincent Faulk</v>
      </c>
      <c r="H1376" s="24">
        <f>IFERROR(__xludf.DUMMYFUNCTION("""COMPUTED_VALUE"""),948.0)</f>
        <v>948</v>
      </c>
      <c r="I1376" s="24" t="str">
        <f>IFERROR(__xludf.DUMMYFUNCTION("""COMPUTED_VALUE"""),"Amazon")</f>
        <v>Amazon</v>
      </c>
    </row>
    <row r="1377">
      <c r="A1377" s="23">
        <f>IFERROR(__xludf.DUMMYFUNCTION("""COMPUTED_VALUE"""),44775.62084974537)</f>
        <v>44775.62085</v>
      </c>
      <c r="B1377" s="24" t="str">
        <f>IFERROR(__xludf.DUMMYFUNCTION("""COMPUTED_VALUE"""),"Claire")</f>
        <v>Claire</v>
      </c>
      <c r="C1377" s="24">
        <f>IFERROR(__xludf.DUMMYFUNCTION("""COMPUTED_VALUE"""),221.0)</f>
        <v>221</v>
      </c>
      <c r="D1377" s="24" t="str">
        <f>IFERROR(__xludf.DUMMYFUNCTION("""COMPUTED_VALUE"""),"Detergent ")</f>
        <v>Detergent </v>
      </c>
      <c r="F1377" s="23">
        <f>IFERROR(__xludf.DUMMYFUNCTION("""COMPUTED_VALUE"""),44780.64235774306)</f>
        <v>44780.64236</v>
      </c>
      <c r="G1377" s="24"/>
      <c r="H1377" s="24">
        <f>IFERROR(__xludf.DUMMYFUNCTION("""COMPUTED_VALUE"""),609.0)</f>
        <v>609</v>
      </c>
      <c r="I1377" s="24" t="str">
        <f>IFERROR(__xludf.DUMMYFUNCTION("""COMPUTED_VALUE"""),"Amazon")</f>
        <v>Amazon</v>
      </c>
    </row>
    <row r="1378">
      <c r="A1378" s="23">
        <f>IFERROR(__xludf.DUMMYFUNCTION("""COMPUTED_VALUE"""),44775.62112559028)</f>
        <v>44775.62113</v>
      </c>
      <c r="B1378" s="24" t="str">
        <f>IFERROR(__xludf.DUMMYFUNCTION("""COMPUTED_VALUE"""),"Claire")</f>
        <v>Claire</v>
      </c>
      <c r="C1378" s="24">
        <f>IFERROR(__xludf.DUMMYFUNCTION("""COMPUTED_VALUE"""),190.0)</f>
        <v>190</v>
      </c>
      <c r="D1378" s="24" t="str">
        <f>IFERROR(__xludf.DUMMYFUNCTION("""COMPUTED_VALUE"""),"Produce")</f>
        <v>Produce</v>
      </c>
      <c r="F1378" s="23">
        <f>IFERROR(__xludf.DUMMYFUNCTION("""COMPUTED_VALUE"""),44780.64271353009)</f>
        <v>44780.64271</v>
      </c>
      <c r="G1378" s="24" t="str">
        <f>IFERROR(__xludf.DUMMYFUNCTION("""COMPUTED_VALUE"""),"Vincent Faulk")</f>
        <v>Vincent Faulk</v>
      </c>
      <c r="H1378" s="24">
        <f>IFERROR(__xludf.DUMMYFUNCTION("""COMPUTED_VALUE"""),1175.0)</f>
        <v>1175</v>
      </c>
      <c r="I1378" s="24" t="str">
        <f>IFERROR(__xludf.DUMMYFUNCTION("""COMPUTED_VALUE"""),"Amazon")</f>
        <v>Amazon</v>
      </c>
    </row>
    <row r="1379">
      <c r="A1379" s="23">
        <f>IFERROR(__xludf.DUMMYFUNCTION("""COMPUTED_VALUE"""),44775.62140732638)</f>
        <v>44775.62141</v>
      </c>
      <c r="B1379" s="24" t="str">
        <f>IFERROR(__xludf.DUMMYFUNCTION("""COMPUTED_VALUE"""),"Claire")</f>
        <v>Claire</v>
      </c>
      <c r="C1379" s="24">
        <f>IFERROR(__xludf.DUMMYFUNCTION("""COMPUTED_VALUE"""),124.0)</f>
        <v>124</v>
      </c>
      <c r="D1379" s="24" t="str">
        <f>IFERROR(__xludf.DUMMYFUNCTION("""COMPUTED_VALUE"""),"Assorted option")</f>
        <v>Assorted option</v>
      </c>
      <c r="F1379" s="23">
        <f>IFERROR(__xludf.DUMMYFUNCTION("""COMPUTED_VALUE"""),44780.64298740741)</f>
        <v>44780.64299</v>
      </c>
      <c r="G1379" s="24" t="str">
        <f>IFERROR(__xludf.DUMMYFUNCTION("""COMPUTED_VALUE"""),"Vincent Faulk")</f>
        <v>Vincent Faulk</v>
      </c>
      <c r="H1379" s="24">
        <f>IFERROR(__xludf.DUMMYFUNCTION("""COMPUTED_VALUE"""),647.0)</f>
        <v>647</v>
      </c>
      <c r="I1379" s="24" t="str">
        <f>IFERROR(__xludf.DUMMYFUNCTION("""COMPUTED_VALUE"""),"Amazon")</f>
        <v>Amazon</v>
      </c>
    </row>
    <row r="1380">
      <c r="A1380" s="23">
        <f>IFERROR(__xludf.DUMMYFUNCTION("""COMPUTED_VALUE"""),44775.62189689815)</f>
        <v>44775.6219</v>
      </c>
      <c r="B1380" s="24" t="str">
        <f>IFERROR(__xludf.DUMMYFUNCTION("""COMPUTED_VALUE"""),"Claire")</f>
        <v>Claire</v>
      </c>
      <c r="C1380" s="24">
        <f>IFERROR(__xludf.DUMMYFUNCTION("""COMPUTED_VALUE"""),144.0)</f>
        <v>144</v>
      </c>
      <c r="D1380" s="24" t="str">
        <f>IFERROR(__xludf.DUMMYFUNCTION("""COMPUTED_VALUE"""),"Assorted option")</f>
        <v>Assorted option</v>
      </c>
      <c r="F1380" s="23">
        <f>IFERROR(__xludf.DUMMYFUNCTION("""COMPUTED_VALUE"""),44780.643346689816)</f>
        <v>44780.64335</v>
      </c>
      <c r="G1380" s="24" t="str">
        <f>IFERROR(__xludf.DUMMYFUNCTION("""COMPUTED_VALUE"""),"Vincent Faulk")</f>
        <v>Vincent Faulk</v>
      </c>
      <c r="H1380" s="24">
        <f>IFERROR(__xludf.DUMMYFUNCTION("""COMPUTED_VALUE"""),1221.0)</f>
        <v>1221</v>
      </c>
      <c r="I1380" s="24" t="str">
        <f>IFERROR(__xludf.DUMMYFUNCTION("""COMPUTED_VALUE"""),"Amazon")</f>
        <v>Amazon</v>
      </c>
    </row>
    <row r="1381">
      <c r="A1381" s="23">
        <f>IFERROR(__xludf.DUMMYFUNCTION("""COMPUTED_VALUE"""),44775.708416030095)</f>
        <v>44775.70842</v>
      </c>
      <c r="B1381" s="24" t="str">
        <f>IFERROR(__xludf.DUMMYFUNCTION("""COMPUTED_VALUE"""),"Claire")</f>
        <v>Claire</v>
      </c>
      <c r="C1381" s="24">
        <f>IFERROR(__xludf.DUMMYFUNCTION("""COMPUTED_VALUE"""),532.0)</f>
        <v>532</v>
      </c>
      <c r="D1381" s="24" t="str">
        <f>IFERROR(__xludf.DUMMYFUNCTION("""COMPUTED_VALUE"""),"Frozen")</f>
        <v>Frozen</v>
      </c>
      <c r="F1381" s="23">
        <f>IFERROR(__xludf.DUMMYFUNCTION("""COMPUTED_VALUE"""),44780.643729675925)</f>
        <v>44780.64373</v>
      </c>
      <c r="G1381" s="24" t="str">
        <f>IFERROR(__xludf.DUMMYFUNCTION("""COMPUTED_VALUE"""),"Vincent Faulk")</f>
        <v>Vincent Faulk</v>
      </c>
      <c r="H1381" s="24">
        <f>IFERROR(__xludf.DUMMYFUNCTION("""COMPUTED_VALUE"""),456.0)</f>
        <v>456</v>
      </c>
      <c r="I1381" s="24" t="str">
        <f>IFERROR(__xludf.DUMMYFUNCTION("""COMPUTED_VALUE"""),"Amazon")</f>
        <v>Amazon</v>
      </c>
    </row>
    <row r="1382">
      <c r="A1382" s="23">
        <f>IFERROR(__xludf.DUMMYFUNCTION("""COMPUTED_VALUE"""),44775.7094737963)</f>
        <v>44775.70947</v>
      </c>
      <c r="B1382" s="24" t="str">
        <f>IFERROR(__xludf.DUMMYFUNCTION("""COMPUTED_VALUE"""),"Claire")</f>
        <v>Claire</v>
      </c>
      <c r="C1382" s="24">
        <f>IFERROR(__xludf.DUMMYFUNCTION("""COMPUTED_VALUE"""),362.0)</f>
        <v>362</v>
      </c>
      <c r="D1382" s="24" t="str">
        <f>IFERROR(__xludf.DUMMYFUNCTION("""COMPUTED_VALUE"""),"Frozen")</f>
        <v>Frozen</v>
      </c>
      <c r="F1382" s="23">
        <f>IFERROR(__xludf.DUMMYFUNCTION("""COMPUTED_VALUE"""),44780.64420115741)</f>
        <v>44780.6442</v>
      </c>
      <c r="G1382" s="24" t="str">
        <f>IFERROR(__xludf.DUMMYFUNCTION("""COMPUTED_VALUE"""),"Vincent Faulk")</f>
        <v>Vincent Faulk</v>
      </c>
      <c r="H1382" s="24">
        <f>IFERROR(__xludf.DUMMYFUNCTION("""COMPUTED_VALUE"""),196.0)</f>
        <v>196</v>
      </c>
      <c r="I1382" s="24" t="str">
        <f>IFERROR(__xludf.DUMMYFUNCTION("""COMPUTED_VALUE"""),"Amazon")</f>
        <v>Amazon</v>
      </c>
    </row>
    <row r="1383">
      <c r="A1383" s="23">
        <f>IFERROR(__xludf.DUMMYFUNCTION("""COMPUTED_VALUE"""),44776.63800459491)</f>
        <v>44776.638</v>
      </c>
      <c r="B1383" s="24" t="str">
        <f>IFERROR(__xludf.DUMMYFUNCTION("""COMPUTED_VALUE"""),"Claire")</f>
        <v>Claire</v>
      </c>
      <c r="C1383" s="24">
        <f>IFERROR(__xludf.DUMMYFUNCTION("""COMPUTED_VALUE"""),1073.0)</f>
        <v>1073</v>
      </c>
      <c r="D1383" s="24" t="str">
        <f>IFERROR(__xludf.DUMMYFUNCTION("""COMPUTED_VALUE"""),"Frozen")</f>
        <v>Frozen</v>
      </c>
      <c r="F1383" s="23">
        <f>IFERROR(__xludf.DUMMYFUNCTION("""COMPUTED_VALUE"""),44780.64450393518)</f>
        <v>44780.6445</v>
      </c>
      <c r="G1383" s="24" t="str">
        <f>IFERROR(__xludf.DUMMYFUNCTION("""COMPUTED_VALUE"""),"Vincent Faulk")</f>
        <v>Vincent Faulk</v>
      </c>
      <c r="H1383" s="24">
        <f>IFERROR(__xludf.DUMMYFUNCTION("""COMPUTED_VALUE"""),251.0)</f>
        <v>251</v>
      </c>
      <c r="I1383" s="24" t="str">
        <f>IFERROR(__xludf.DUMMYFUNCTION("""COMPUTED_VALUE"""),"Amazon")</f>
        <v>Amazon</v>
      </c>
    </row>
    <row r="1384">
      <c r="A1384" s="23">
        <f>IFERROR(__xludf.DUMMYFUNCTION("""COMPUTED_VALUE"""),44776.63826393519)</f>
        <v>44776.63826</v>
      </c>
      <c r="B1384" s="24" t="str">
        <f>IFERROR(__xludf.DUMMYFUNCTION("""COMPUTED_VALUE"""),"Claire")</f>
        <v>Claire</v>
      </c>
      <c r="C1384" s="24">
        <f>IFERROR(__xludf.DUMMYFUNCTION("""COMPUTED_VALUE"""),247.0)</f>
        <v>247</v>
      </c>
      <c r="D1384" s="24" t="str">
        <f>IFERROR(__xludf.DUMMYFUNCTION("""COMPUTED_VALUE"""),"Produce")</f>
        <v>Produce</v>
      </c>
      <c r="F1384" s="23">
        <f>IFERROR(__xludf.DUMMYFUNCTION("""COMPUTED_VALUE"""),44780.64564387732)</f>
        <v>44780.64564</v>
      </c>
      <c r="G1384" s="24" t="str">
        <f>IFERROR(__xludf.DUMMYFUNCTION("""COMPUTED_VALUE"""),"Vincent Faulk")</f>
        <v>Vincent Faulk</v>
      </c>
      <c r="H1384" s="24">
        <f>IFERROR(__xludf.DUMMYFUNCTION("""COMPUTED_VALUE"""),260.0)</f>
        <v>260</v>
      </c>
      <c r="I1384" s="24" t="str">
        <f>IFERROR(__xludf.DUMMYFUNCTION("""COMPUTED_VALUE"""),"Amazon")</f>
        <v>Amazon</v>
      </c>
    </row>
    <row r="1385">
      <c r="A1385" s="23">
        <f>IFERROR(__xludf.DUMMYFUNCTION("""COMPUTED_VALUE"""),44776.63849498843)</f>
        <v>44776.63849</v>
      </c>
      <c r="B1385" s="24" t="str">
        <f>IFERROR(__xludf.DUMMYFUNCTION("""COMPUTED_VALUE"""),"Claire")</f>
        <v>Claire</v>
      </c>
      <c r="C1385" s="24">
        <f>IFERROR(__xludf.DUMMYFUNCTION("""COMPUTED_VALUE"""),567.0)</f>
        <v>567</v>
      </c>
      <c r="D1385" s="24" t="str">
        <f>IFERROR(__xludf.DUMMYFUNCTION("""COMPUTED_VALUE"""),"Produce")</f>
        <v>Produce</v>
      </c>
      <c r="F1385" s="23">
        <f>IFERROR(__xludf.DUMMYFUNCTION("""COMPUTED_VALUE"""),44780.646044189816)</f>
        <v>44780.64604</v>
      </c>
      <c r="G1385" s="24" t="str">
        <f>IFERROR(__xludf.DUMMYFUNCTION("""COMPUTED_VALUE"""),"Vincent Faulk")</f>
        <v>Vincent Faulk</v>
      </c>
      <c r="H1385" s="24">
        <f>IFERROR(__xludf.DUMMYFUNCTION("""COMPUTED_VALUE"""),534.0)</f>
        <v>534</v>
      </c>
      <c r="I1385" s="24" t="str">
        <f>IFERROR(__xludf.DUMMYFUNCTION("""COMPUTED_VALUE"""),"Amazon")</f>
        <v>Amazon</v>
      </c>
    </row>
    <row r="1386">
      <c r="A1386" s="23">
        <f>IFERROR(__xludf.DUMMYFUNCTION("""COMPUTED_VALUE"""),44776.64771482639)</f>
        <v>44776.64771</v>
      </c>
      <c r="B1386" s="24" t="str">
        <f>IFERROR(__xludf.DUMMYFUNCTION("""COMPUTED_VALUE"""),"Vincent Faulk")</f>
        <v>Vincent Faulk</v>
      </c>
      <c r="C1386" s="24">
        <f>IFERROR(__xludf.DUMMYFUNCTION("""COMPUTED_VALUE"""),767.0)</f>
        <v>767</v>
      </c>
      <c r="D1386" s="24" t="str">
        <f>IFERROR(__xludf.DUMMYFUNCTION("""COMPUTED_VALUE"""),"Assorted option")</f>
        <v>Assorted option</v>
      </c>
      <c r="F1386" s="23">
        <f>IFERROR(__xludf.DUMMYFUNCTION("""COMPUTED_VALUE"""),44780.64655013889)</f>
        <v>44780.64655</v>
      </c>
      <c r="G1386" s="24" t="str">
        <f>IFERROR(__xludf.DUMMYFUNCTION("""COMPUTED_VALUE"""),"Vincent Faulk")</f>
        <v>Vincent Faulk</v>
      </c>
      <c r="H1386" s="24">
        <f>IFERROR(__xludf.DUMMYFUNCTION("""COMPUTED_VALUE"""),201.0)</f>
        <v>201</v>
      </c>
      <c r="I1386" s="24" t="str">
        <f>IFERROR(__xludf.DUMMYFUNCTION("""COMPUTED_VALUE"""),"Amazon")</f>
        <v>Amazon</v>
      </c>
    </row>
    <row r="1387">
      <c r="A1387" s="23">
        <f>IFERROR(__xludf.DUMMYFUNCTION("""COMPUTED_VALUE"""),44776.661372500006)</f>
        <v>44776.66137</v>
      </c>
      <c r="B1387" s="24" t="str">
        <f>IFERROR(__xludf.DUMMYFUNCTION("""COMPUTED_VALUE"""),"Vincent Faulk")</f>
        <v>Vincent Faulk</v>
      </c>
      <c r="C1387" s="24">
        <f>IFERROR(__xludf.DUMMYFUNCTION("""COMPUTED_VALUE"""),697.0)</f>
        <v>697</v>
      </c>
      <c r="D1387" s="24" t="str">
        <f>IFERROR(__xludf.DUMMYFUNCTION("""COMPUTED_VALUE"""),"Frozen")</f>
        <v>Frozen</v>
      </c>
      <c r="F1387" s="23">
        <f>IFERROR(__xludf.DUMMYFUNCTION("""COMPUTED_VALUE"""),44780.668288067136)</f>
        <v>44780.66829</v>
      </c>
      <c r="G1387" s="24" t="str">
        <f>IFERROR(__xludf.DUMMYFUNCTION("""COMPUTED_VALUE"""),"DeAuntae Corry")</f>
        <v>DeAuntae Corry</v>
      </c>
      <c r="H1387" s="24">
        <f>IFERROR(__xludf.DUMMYFUNCTION("""COMPUTED_VALUE"""),19.8)</f>
        <v>19.8</v>
      </c>
      <c r="I1387" s="24"/>
    </row>
    <row r="1388">
      <c r="A1388" s="23">
        <f>IFERROR(__xludf.DUMMYFUNCTION("""COMPUTED_VALUE"""),44777.69422210648)</f>
        <v>44777.69422</v>
      </c>
      <c r="B1388" s="24" t="str">
        <f>IFERROR(__xludf.DUMMYFUNCTION("""COMPUTED_VALUE"""),"Claire")</f>
        <v>Claire</v>
      </c>
      <c r="C1388" s="24">
        <f>IFERROR(__xludf.DUMMYFUNCTION("""COMPUTED_VALUE"""),142.0)</f>
        <v>142</v>
      </c>
      <c r="D1388" s="24" t="str">
        <f>IFERROR(__xludf.DUMMYFUNCTION("""COMPUTED_VALUE"""),"Produce")</f>
        <v>Produce</v>
      </c>
      <c r="F1388" s="23">
        <f>IFERROR(__xludf.DUMMYFUNCTION("""COMPUTED_VALUE"""),44780.66882197917)</f>
        <v>44780.66882</v>
      </c>
      <c r="G1388" s="24" t="str">
        <f>IFERROR(__xludf.DUMMYFUNCTION("""COMPUTED_VALUE"""),"Victoria (tori) ")</f>
        <v>Victoria (tori) </v>
      </c>
      <c r="H1388" s="24">
        <f>IFERROR(__xludf.DUMMYFUNCTION("""COMPUTED_VALUE"""),19.3)</f>
        <v>19.3</v>
      </c>
      <c r="I1388" s="24"/>
    </row>
    <row r="1389">
      <c r="A1389" s="23">
        <f>IFERROR(__xludf.DUMMYFUNCTION("""COMPUTED_VALUE"""),44777.695033020835)</f>
        <v>44777.69503</v>
      </c>
      <c r="B1389" s="24" t="str">
        <f>IFERROR(__xludf.DUMMYFUNCTION("""COMPUTED_VALUE"""),"Claire")</f>
        <v>Claire</v>
      </c>
      <c r="C1389" s="24">
        <f>IFERROR(__xludf.DUMMYFUNCTION("""COMPUTED_VALUE"""),483.0)</f>
        <v>483</v>
      </c>
      <c r="D1389" s="24" t="str">
        <f>IFERROR(__xludf.DUMMYFUNCTION("""COMPUTED_VALUE"""),"Frozen")</f>
        <v>Frozen</v>
      </c>
      <c r="F1389" s="23">
        <f>IFERROR(__xludf.DUMMYFUNCTION("""COMPUTED_VALUE"""),44780.67472028935)</f>
        <v>44780.67472</v>
      </c>
      <c r="G1389" s="24" t="str">
        <f>IFERROR(__xludf.DUMMYFUNCTION("""COMPUTED_VALUE"""),"DeAuntae")</f>
        <v>DeAuntae</v>
      </c>
      <c r="H1389" s="24">
        <f>IFERROR(__xludf.DUMMYFUNCTION("""COMPUTED_VALUE"""),14.8)</f>
        <v>14.8</v>
      </c>
      <c r="I1389" s="24"/>
    </row>
    <row r="1390">
      <c r="A1390" s="23">
        <f>IFERROR(__xludf.DUMMYFUNCTION("""COMPUTED_VALUE"""),44778.66621998843)</f>
        <v>44778.66622</v>
      </c>
      <c r="B1390" s="24" t="str">
        <f>IFERROR(__xludf.DUMMYFUNCTION("""COMPUTED_VALUE"""),"JC")</f>
        <v>JC</v>
      </c>
      <c r="C1390" s="24">
        <f>IFERROR(__xludf.DUMMYFUNCTION("""COMPUTED_VALUE"""),216.0)</f>
        <v>216</v>
      </c>
      <c r="D1390" s="24" t="str">
        <f>IFERROR(__xludf.DUMMYFUNCTION("""COMPUTED_VALUE"""),"Clothes")</f>
        <v>Clothes</v>
      </c>
      <c r="F1390" s="23">
        <f>IFERROR(__xludf.DUMMYFUNCTION("""COMPUTED_VALUE"""),44780.67504259259)</f>
        <v>44780.67504</v>
      </c>
      <c r="G1390" s="24" t="str">
        <f>IFERROR(__xludf.DUMMYFUNCTION("""COMPUTED_VALUE"""),"Tori")</f>
        <v>Tori</v>
      </c>
      <c r="H1390" s="24">
        <f>IFERROR(__xludf.DUMMYFUNCTION("""COMPUTED_VALUE"""),15.3)</f>
        <v>15.3</v>
      </c>
      <c r="I1390" s="24"/>
    </row>
    <row r="1391">
      <c r="A1391" s="23">
        <f>IFERROR(__xludf.DUMMYFUNCTION("""COMPUTED_VALUE"""),44778.6665083912)</f>
        <v>44778.66651</v>
      </c>
      <c r="B1391" s="24" t="str">
        <f>IFERROR(__xludf.DUMMYFUNCTION("""COMPUTED_VALUE"""),"JC")</f>
        <v>JC</v>
      </c>
      <c r="C1391" s="24">
        <f>IFERROR(__xludf.DUMMYFUNCTION("""COMPUTED_VALUE"""),306.0)</f>
        <v>306</v>
      </c>
      <c r="D1391" s="24" t="str">
        <f>IFERROR(__xludf.DUMMYFUNCTION("""COMPUTED_VALUE"""),"Drinks")</f>
        <v>Drinks</v>
      </c>
      <c r="F1391" s="23">
        <f>IFERROR(__xludf.DUMMYFUNCTION("""COMPUTED_VALUE"""),44780.676894108794)</f>
        <v>44780.67689</v>
      </c>
      <c r="G1391" s="24" t="str">
        <f>IFERROR(__xludf.DUMMYFUNCTION("""COMPUTED_VALUE"""),"Vincent Faulk")</f>
        <v>Vincent Faulk</v>
      </c>
      <c r="H1391" s="24">
        <f>IFERROR(__xludf.DUMMYFUNCTION("""COMPUTED_VALUE"""),1092.0)</f>
        <v>1092</v>
      </c>
      <c r="I1391" s="24" t="str">
        <f>IFERROR(__xludf.DUMMYFUNCTION("""COMPUTED_VALUE"""),"Assorted option")</f>
        <v>Assorted option</v>
      </c>
    </row>
    <row r="1392">
      <c r="A1392" s="23">
        <f>IFERROR(__xludf.DUMMYFUNCTION("""COMPUTED_VALUE"""),44778.666754722224)</f>
        <v>44778.66675</v>
      </c>
      <c r="B1392" s="24" t="str">
        <f>IFERROR(__xludf.DUMMYFUNCTION("""COMPUTED_VALUE"""),"JC")</f>
        <v>JC</v>
      </c>
      <c r="C1392" s="24">
        <f>IFERROR(__xludf.DUMMYFUNCTION("""COMPUTED_VALUE"""),664.0)</f>
        <v>664</v>
      </c>
      <c r="D1392" s="24" t="str">
        <f>IFERROR(__xludf.DUMMYFUNCTION("""COMPUTED_VALUE"""),"Frozen")</f>
        <v>Frozen</v>
      </c>
      <c r="F1392" s="23">
        <f>IFERROR(__xludf.DUMMYFUNCTION("""COMPUTED_VALUE"""),44780.67782902778)</f>
        <v>44780.67783</v>
      </c>
      <c r="G1392" s="24" t="str">
        <f>IFERROR(__xludf.DUMMYFUNCTION("""COMPUTED_VALUE"""),"Vincent Faulk")</f>
        <v>Vincent Faulk</v>
      </c>
      <c r="H1392" s="24">
        <f>IFERROR(__xludf.DUMMYFUNCTION("""COMPUTED_VALUE"""),238.0)</f>
        <v>238</v>
      </c>
      <c r="I1392" s="24" t="str">
        <f>IFERROR(__xludf.DUMMYFUNCTION("""COMPUTED_VALUE"""),"Snacks")</f>
        <v>Snacks</v>
      </c>
    </row>
    <row r="1393">
      <c r="A1393" s="23">
        <f>IFERROR(__xludf.DUMMYFUNCTION("""COMPUTED_VALUE"""),44778.667051296296)</f>
        <v>44778.66705</v>
      </c>
      <c r="B1393" s="24" t="str">
        <f>IFERROR(__xludf.DUMMYFUNCTION("""COMPUTED_VALUE"""),"JC")</f>
        <v>JC</v>
      </c>
      <c r="C1393" s="24">
        <f>IFERROR(__xludf.DUMMYFUNCTION("""COMPUTED_VALUE"""),587.0)</f>
        <v>587</v>
      </c>
      <c r="D1393" s="24" t="str">
        <f>IFERROR(__xludf.DUMMYFUNCTION("""COMPUTED_VALUE"""),"Water")</f>
        <v>Water</v>
      </c>
      <c r="F1393" s="23">
        <f>IFERROR(__xludf.DUMMYFUNCTION("""COMPUTED_VALUE"""),44780.6783687037)</f>
        <v>44780.67837</v>
      </c>
      <c r="G1393" s="24" t="str">
        <f>IFERROR(__xludf.DUMMYFUNCTION("""COMPUTED_VALUE"""),"Vincent Faulk")</f>
        <v>Vincent Faulk</v>
      </c>
      <c r="H1393" s="24">
        <f>IFERROR(__xludf.DUMMYFUNCTION("""COMPUTED_VALUE"""),413.0)</f>
        <v>413</v>
      </c>
      <c r="I1393" s="24" t="str">
        <f>IFERROR(__xludf.DUMMYFUNCTION("""COMPUTED_VALUE"""),"Frozen")</f>
        <v>Frozen</v>
      </c>
    </row>
    <row r="1394">
      <c r="A1394" s="23">
        <f>IFERROR(__xludf.DUMMYFUNCTION("""COMPUTED_VALUE"""),44780.676894108794)</f>
        <v>44780.67689</v>
      </c>
      <c r="B1394" s="24" t="str">
        <f>IFERROR(__xludf.DUMMYFUNCTION("""COMPUTED_VALUE"""),"Vincent Faulk")</f>
        <v>Vincent Faulk</v>
      </c>
      <c r="C1394" s="24">
        <f>IFERROR(__xludf.DUMMYFUNCTION("""COMPUTED_VALUE"""),1092.0)</f>
        <v>1092</v>
      </c>
      <c r="D1394" s="24" t="str">
        <f>IFERROR(__xludf.DUMMYFUNCTION("""COMPUTED_VALUE"""),"Assorted option")</f>
        <v>Assorted option</v>
      </c>
      <c r="F1394" s="23">
        <f>IFERROR(__xludf.DUMMYFUNCTION("""COMPUTED_VALUE"""),44780.67913173611)</f>
        <v>44780.67913</v>
      </c>
      <c r="G1394" s="24" t="str">
        <f>IFERROR(__xludf.DUMMYFUNCTION("""COMPUTED_VALUE"""),"Vincent Faulk")</f>
        <v>Vincent Faulk</v>
      </c>
      <c r="H1394" s="24">
        <f>IFERROR(__xludf.DUMMYFUNCTION("""COMPUTED_VALUE"""),368.0)</f>
        <v>368</v>
      </c>
      <c r="I1394" s="24" t="str">
        <f>IFERROR(__xludf.DUMMYFUNCTION("""COMPUTED_VALUE"""),"Assorted option")</f>
        <v>Assorted option</v>
      </c>
    </row>
    <row r="1395">
      <c r="A1395" s="23">
        <f>IFERROR(__xludf.DUMMYFUNCTION("""COMPUTED_VALUE"""),44780.67782902778)</f>
        <v>44780.67783</v>
      </c>
      <c r="B1395" s="24" t="str">
        <f>IFERROR(__xludf.DUMMYFUNCTION("""COMPUTED_VALUE"""),"Vincent Faulk")</f>
        <v>Vincent Faulk</v>
      </c>
      <c r="C1395" s="24">
        <f>IFERROR(__xludf.DUMMYFUNCTION("""COMPUTED_VALUE"""),238.0)</f>
        <v>238</v>
      </c>
      <c r="D1395" s="24" t="str">
        <f>IFERROR(__xludf.DUMMYFUNCTION("""COMPUTED_VALUE"""),"Snacks")</f>
        <v>Snacks</v>
      </c>
      <c r="F1395" s="23">
        <f>IFERROR(__xludf.DUMMYFUNCTION("""COMPUTED_VALUE"""),44780.67981077546)</f>
        <v>44780.67981</v>
      </c>
      <c r="G1395" s="24" t="str">
        <f>IFERROR(__xludf.DUMMYFUNCTION("""COMPUTED_VALUE"""),"Vincent Faulk")</f>
        <v>Vincent Faulk</v>
      </c>
      <c r="H1395" s="24">
        <f>IFERROR(__xludf.DUMMYFUNCTION("""COMPUTED_VALUE"""),282.0)</f>
        <v>282</v>
      </c>
      <c r="I1395" s="24" t="str">
        <f>IFERROR(__xludf.DUMMYFUNCTION("""COMPUTED_VALUE"""),"Mixed")</f>
        <v>Mixed</v>
      </c>
    </row>
    <row r="1396">
      <c r="A1396" s="23">
        <f>IFERROR(__xludf.DUMMYFUNCTION("""COMPUTED_VALUE"""),44780.6783687037)</f>
        <v>44780.67837</v>
      </c>
      <c r="B1396" s="24" t="str">
        <f>IFERROR(__xludf.DUMMYFUNCTION("""COMPUTED_VALUE"""),"Vincent Faulk")</f>
        <v>Vincent Faulk</v>
      </c>
      <c r="C1396" s="24">
        <f>IFERROR(__xludf.DUMMYFUNCTION("""COMPUTED_VALUE"""),413.0)</f>
        <v>413</v>
      </c>
      <c r="D1396" s="24" t="str">
        <f>IFERROR(__xludf.DUMMYFUNCTION("""COMPUTED_VALUE"""),"Frozen")</f>
        <v>Frozen</v>
      </c>
      <c r="F1396" s="23">
        <f>IFERROR(__xludf.DUMMYFUNCTION("""COMPUTED_VALUE"""),44780.68034327546)</f>
        <v>44780.68034</v>
      </c>
      <c r="G1396" s="24" t="str">
        <f>IFERROR(__xludf.DUMMYFUNCTION("""COMPUTED_VALUE"""),"Vincent Faulk")</f>
        <v>Vincent Faulk</v>
      </c>
      <c r="H1396" s="24">
        <f>IFERROR(__xludf.DUMMYFUNCTION("""COMPUTED_VALUE"""),318.0)</f>
        <v>318</v>
      </c>
      <c r="I1396" s="24" t="str">
        <f>IFERROR(__xludf.DUMMYFUNCTION("""COMPUTED_VALUE"""),"Mixed ")</f>
        <v>Mixed </v>
      </c>
    </row>
    <row r="1397">
      <c r="A1397" s="23">
        <f>IFERROR(__xludf.DUMMYFUNCTION("""COMPUTED_VALUE"""),44780.67913173611)</f>
        <v>44780.67913</v>
      </c>
      <c r="B1397" s="24" t="str">
        <f>IFERROR(__xludf.DUMMYFUNCTION("""COMPUTED_VALUE"""),"Vincent Faulk")</f>
        <v>Vincent Faulk</v>
      </c>
      <c r="C1397" s="24">
        <f>IFERROR(__xludf.DUMMYFUNCTION("""COMPUTED_VALUE"""),368.0)</f>
        <v>368</v>
      </c>
      <c r="D1397" s="24" t="str">
        <f>IFERROR(__xludf.DUMMYFUNCTION("""COMPUTED_VALUE"""),"Assorted option")</f>
        <v>Assorted option</v>
      </c>
      <c r="F1397" s="23">
        <f>IFERROR(__xludf.DUMMYFUNCTION("""COMPUTED_VALUE"""),44780.68554813658)</f>
        <v>44780.68555</v>
      </c>
      <c r="G1397" s="24" t="str">
        <f>IFERROR(__xludf.DUMMYFUNCTION("""COMPUTED_VALUE"""),"Carla")</f>
        <v>Carla</v>
      </c>
      <c r="H1397" s="24">
        <f>IFERROR(__xludf.DUMMYFUNCTION("""COMPUTED_VALUE"""),20.0)</f>
        <v>20</v>
      </c>
      <c r="I1397" s="24"/>
    </row>
    <row r="1398">
      <c r="A1398" s="23">
        <f>IFERROR(__xludf.DUMMYFUNCTION("""COMPUTED_VALUE"""),44780.67981077546)</f>
        <v>44780.67981</v>
      </c>
      <c r="B1398" s="24" t="str">
        <f>IFERROR(__xludf.DUMMYFUNCTION("""COMPUTED_VALUE"""),"Vincent Faulk")</f>
        <v>Vincent Faulk</v>
      </c>
      <c r="C1398" s="24">
        <f>IFERROR(__xludf.DUMMYFUNCTION("""COMPUTED_VALUE"""),282.0)</f>
        <v>282</v>
      </c>
      <c r="D1398" s="24" t="str">
        <f>IFERROR(__xludf.DUMMYFUNCTION("""COMPUTED_VALUE"""),"Mixed")</f>
        <v>Mixed</v>
      </c>
      <c r="F1398" s="23">
        <f>IFERROR(__xludf.DUMMYFUNCTION("""COMPUTED_VALUE"""),44780.69975623842)</f>
        <v>44780.69976</v>
      </c>
      <c r="G1398" s="24" t="str">
        <f>IFERROR(__xludf.DUMMYFUNCTION("""COMPUTED_VALUE"""),"Opey")</f>
        <v>Opey</v>
      </c>
      <c r="H1398" s="24">
        <f>IFERROR(__xludf.DUMMYFUNCTION("""COMPUTED_VALUE"""),19.0)</f>
        <v>19</v>
      </c>
      <c r="I1398" s="24"/>
    </row>
    <row r="1399">
      <c r="A1399" s="23">
        <f>IFERROR(__xludf.DUMMYFUNCTION("""COMPUTED_VALUE"""),44780.68034327546)</f>
        <v>44780.68034</v>
      </c>
      <c r="B1399" s="24" t="str">
        <f>IFERROR(__xludf.DUMMYFUNCTION("""COMPUTED_VALUE"""),"Vincent Faulk")</f>
        <v>Vincent Faulk</v>
      </c>
      <c r="C1399" s="24">
        <f>IFERROR(__xludf.DUMMYFUNCTION("""COMPUTED_VALUE"""),318.0)</f>
        <v>318</v>
      </c>
      <c r="D1399" s="24" t="str">
        <f>IFERROR(__xludf.DUMMYFUNCTION("""COMPUTED_VALUE"""),"Mixed ")</f>
        <v>Mixed </v>
      </c>
      <c r="F1399" s="23">
        <f>IFERROR(__xludf.DUMMYFUNCTION("""COMPUTED_VALUE"""),44780.70121324074)</f>
        <v>44780.70121</v>
      </c>
      <c r="G1399" s="24" t="str">
        <f>IFERROR(__xludf.DUMMYFUNCTION("""COMPUTED_VALUE"""),"Vincent Faulk")</f>
        <v>Vincent Faulk</v>
      </c>
      <c r="H1399" s="24">
        <f>IFERROR(__xludf.DUMMYFUNCTION("""COMPUTED_VALUE"""),323.0)</f>
        <v>323</v>
      </c>
      <c r="I1399" s="24" t="str">
        <f>IFERROR(__xludf.DUMMYFUNCTION("""COMPUTED_VALUE"""),"Cleaning ")</f>
        <v>Cleaning </v>
      </c>
    </row>
    <row r="1400">
      <c r="A1400" s="23">
        <f>IFERROR(__xludf.DUMMYFUNCTION("""COMPUTED_VALUE"""),44780.70121324074)</f>
        <v>44780.70121</v>
      </c>
      <c r="B1400" s="24" t="str">
        <f>IFERROR(__xludf.DUMMYFUNCTION("""COMPUTED_VALUE"""),"Vincent Faulk")</f>
        <v>Vincent Faulk</v>
      </c>
      <c r="C1400" s="24">
        <f>IFERROR(__xludf.DUMMYFUNCTION("""COMPUTED_VALUE"""),323.0)</f>
        <v>323</v>
      </c>
      <c r="D1400" s="24" t="str">
        <f>IFERROR(__xludf.DUMMYFUNCTION("""COMPUTED_VALUE"""),"Cleaning ")</f>
        <v>Cleaning </v>
      </c>
      <c r="F1400" s="23">
        <f>IFERROR(__xludf.DUMMYFUNCTION("""COMPUTED_VALUE"""),44780.701720104174)</f>
        <v>44780.70172</v>
      </c>
      <c r="G1400" s="24" t="str">
        <f>IFERROR(__xludf.DUMMYFUNCTION("""COMPUTED_VALUE"""),"Vincent Faulk")</f>
        <v>Vincent Faulk</v>
      </c>
      <c r="H1400" s="24">
        <f>IFERROR(__xludf.DUMMYFUNCTION("""COMPUTED_VALUE"""),182.0)</f>
        <v>182</v>
      </c>
      <c r="I1400" s="24" t="str">
        <f>IFERROR(__xludf.DUMMYFUNCTION("""COMPUTED_VALUE"""),"Snacks")</f>
        <v>Snacks</v>
      </c>
    </row>
    <row r="1401">
      <c r="A1401" s="23">
        <f>IFERROR(__xludf.DUMMYFUNCTION("""COMPUTED_VALUE"""),44780.701720104174)</f>
        <v>44780.70172</v>
      </c>
      <c r="B1401" s="24" t="str">
        <f>IFERROR(__xludf.DUMMYFUNCTION("""COMPUTED_VALUE"""),"Vincent Faulk")</f>
        <v>Vincent Faulk</v>
      </c>
      <c r="C1401" s="24">
        <f>IFERROR(__xludf.DUMMYFUNCTION("""COMPUTED_VALUE"""),182.0)</f>
        <v>182</v>
      </c>
      <c r="D1401" s="24" t="str">
        <f>IFERROR(__xludf.DUMMYFUNCTION("""COMPUTED_VALUE"""),"Snacks")</f>
        <v>Snacks</v>
      </c>
      <c r="F1401" s="23">
        <f>IFERROR(__xludf.DUMMYFUNCTION("""COMPUTED_VALUE"""),44780.702301006946)</f>
        <v>44780.7023</v>
      </c>
      <c r="G1401" s="24" t="str">
        <f>IFERROR(__xludf.DUMMYFUNCTION("""COMPUTED_VALUE"""),"Vincent Faulk")</f>
        <v>Vincent Faulk</v>
      </c>
      <c r="H1401" s="24">
        <f>IFERROR(__xludf.DUMMYFUNCTION("""COMPUTED_VALUE"""),183.0)</f>
        <v>183</v>
      </c>
      <c r="I1401" s="24" t="str">
        <f>IFERROR(__xludf.DUMMYFUNCTION("""COMPUTED_VALUE"""),"Snacks")</f>
        <v>Snacks</v>
      </c>
    </row>
    <row r="1402">
      <c r="A1402" s="23">
        <f>IFERROR(__xludf.DUMMYFUNCTION("""COMPUTED_VALUE"""),44780.702301006946)</f>
        <v>44780.7023</v>
      </c>
      <c r="B1402" s="24" t="str">
        <f>IFERROR(__xludf.DUMMYFUNCTION("""COMPUTED_VALUE"""),"Vincent Faulk")</f>
        <v>Vincent Faulk</v>
      </c>
      <c r="C1402" s="24">
        <f>IFERROR(__xludf.DUMMYFUNCTION("""COMPUTED_VALUE"""),183.0)</f>
        <v>183</v>
      </c>
      <c r="D1402" s="24" t="str">
        <f>IFERROR(__xludf.DUMMYFUNCTION("""COMPUTED_VALUE"""),"Snacks")</f>
        <v>Snacks</v>
      </c>
      <c r="F1402" s="23">
        <f>IFERROR(__xludf.DUMMYFUNCTION("""COMPUTED_VALUE"""),44780.70358138889)</f>
        <v>44780.70358</v>
      </c>
      <c r="G1402" s="24" t="str">
        <f>IFERROR(__xludf.DUMMYFUNCTION("""COMPUTED_VALUE"""),"Vincent Faulk")</f>
        <v>Vincent Faulk</v>
      </c>
      <c r="H1402" s="24">
        <f>IFERROR(__xludf.DUMMYFUNCTION("""COMPUTED_VALUE"""),1085.0)</f>
        <v>1085</v>
      </c>
      <c r="I1402" s="24" t="str">
        <f>IFERROR(__xludf.DUMMYFUNCTION("""COMPUTED_VALUE"""),"Pet food ")</f>
        <v>Pet food </v>
      </c>
    </row>
    <row r="1403">
      <c r="A1403" s="23">
        <f>IFERROR(__xludf.DUMMYFUNCTION("""COMPUTED_VALUE"""),44780.70358138889)</f>
        <v>44780.70358</v>
      </c>
      <c r="B1403" s="24" t="str">
        <f>IFERROR(__xludf.DUMMYFUNCTION("""COMPUTED_VALUE"""),"Vincent Faulk")</f>
        <v>Vincent Faulk</v>
      </c>
      <c r="C1403" s="24">
        <f>IFERROR(__xludf.DUMMYFUNCTION("""COMPUTED_VALUE"""),1085.0)</f>
        <v>1085</v>
      </c>
      <c r="D1403" s="24" t="str">
        <f>IFERROR(__xludf.DUMMYFUNCTION("""COMPUTED_VALUE"""),"Pet food ")</f>
        <v>Pet food </v>
      </c>
      <c r="F1403" s="23">
        <f>IFERROR(__xludf.DUMMYFUNCTION("""COMPUTED_VALUE"""),44780.70436237268)</f>
        <v>44780.70436</v>
      </c>
      <c r="G1403" s="24" t="str">
        <f>IFERROR(__xludf.DUMMYFUNCTION("""COMPUTED_VALUE"""),"Vincent Faulk")</f>
        <v>Vincent Faulk</v>
      </c>
      <c r="H1403" s="24">
        <f>IFERROR(__xludf.DUMMYFUNCTION("""COMPUTED_VALUE"""),306.0)</f>
        <v>306</v>
      </c>
      <c r="I1403" s="24" t="str">
        <f>IFERROR(__xludf.DUMMYFUNCTION("""COMPUTED_VALUE"""),"Paper goods ")</f>
        <v>Paper goods </v>
      </c>
    </row>
    <row r="1404">
      <c r="A1404" s="23">
        <f>IFERROR(__xludf.DUMMYFUNCTION("""COMPUTED_VALUE"""),44780.70436237268)</f>
        <v>44780.70436</v>
      </c>
      <c r="B1404" s="24" t="str">
        <f>IFERROR(__xludf.DUMMYFUNCTION("""COMPUTED_VALUE"""),"Vincent Faulk")</f>
        <v>Vincent Faulk</v>
      </c>
      <c r="C1404" s="24">
        <f>IFERROR(__xludf.DUMMYFUNCTION("""COMPUTED_VALUE"""),306.0)</f>
        <v>306</v>
      </c>
      <c r="D1404" s="24" t="str">
        <f>IFERROR(__xludf.DUMMYFUNCTION("""COMPUTED_VALUE"""),"Paper goods ")</f>
        <v>Paper goods </v>
      </c>
      <c r="F1404" s="23">
        <f>IFERROR(__xludf.DUMMYFUNCTION("""COMPUTED_VALUE"""),44780.704819722225)</f>
        <v>44780.70482</v>
      </c>
      <c r="G1404" s="24" t="str">
        <f>IFERROR(__xludf.DUMMYFUNCTION("""COMPUTED_VALUE"""),"Vincent Faulk")</f>
        <v>Vincent Faulk</v>
      </c>
      <c r="H1404" s="24">
        <f>IFERROR(__xludf.DUMMYFUNCTION("""COMPUTED_VALUE"""),281.0)</f>
        <v>281</v>
      </c>
      <c r="I1404" s="24" t="str">
        <f>IFERROR(__xludf.DUMMYFUNCTION("""COMPUTED_VALUE"""),"Dry goods")</f>
        <v>Dry goods</v>
      </c>
    </row>
    <row r="1405">
      <c r="A1405" s="23">
        <f>IFERROR(__xludf.DUMMYFUNCTION("""COMPUTED_VALUE"""),44780.704819722225)</f>
        <v>44780.70482</v>
      </c>
      <c r="B1405" s="24" t="str">
        <f>IFERROR(__xludf.DUMMYFUNCTION("""COMPUTED_VALUE"""),"Vincent Faulk")</f>
        <v>Vincent Faulk</v>
      </c>
      <c r="C1405" s="24">
        <f>IFERROR(__xludf.DUMMYFUNCTION("""COMPUTED_VALUE"""),281.0)</f>
        <v>281</v>
      </c>
      <c r="D1405" s="24" t="str">
        <f>IFERROR(__xludf.DUMMYFUNCTION("""COMPUTED_VALUE"""),"Dry goods")</f>
        <v>Dry goods</v>
      </c>
      <c r="F1405" s="23">
        <f>IFERROR(__xludf.DUMMYFUNCTION("""COMPUTED_VALUE"""),44780.70515605324)</f>
        <v>44780.70516</v>
      </c>
      <c r="G1405" s="24" t="str">
        <f>IFERROR(__xludf.DUMMYFUNCTION("""COMPUTED_VALUE"""),"Vincent Faulk")</f>
        <v>Vincent Faulk</v>
      </c>
      <c r="H1405" s="24">
        <f>IFERROR(__xludf.DUMMYFUNCTION("""COMPUTED_VALUE"""),165.0)</f>
        <v>165</v>
      </c>
      <c r="I1405" s="24" t="str">
        <f>IFERROR(__xludf.DUMMYFUNCTION("""COMPUTED_VALUE"""),"Dry goods")</f>
        <v>Dry goods</v>
      </c>
    </row>
    <row r="1406">
      <c r="A1406" s="23">
        <f>IFERROR(__xludf.DUMMYFUNCTION("""COMPUTED_VALUE"""),44780.70515605324)</f>
        <v>44780.70516</v>
      </c>
      <c r="B1406" s="24" t="str">
        <f>IFERROR(__xludf.DUMMYFUNCTION("""COMPUTED_VALUE"""),"Vincent Faulk")</f>
        <v>Vincent Faulk</v>
      </c>
      <c r="C1406" s="24">
        <f>IFERROR(__xludf.DUMMYFUNCTION("""COMPUTED_VALUE"""),165.0)</f>
        <v>165</v>
      </c>
      <c r="D1406" s="24" t="str">
        <f>IFERROR(__xludf.DUMMYFUNCTION("""COMPUTED_VALUE"""),"Dry goods")</f>
        <v>Dry goods</v>
      </c>
      <c r="F1406" s="23">
        <f>IFERROR(__xludf.DUMMYFUNCTION("""COMPUTED_VALUE"""),44780.70554100694)</f>
        <v>44780.70554</v>
      </c>
      <c r="G1406" s="24" t="str">
        <f>IFERROR(__xludf.DUMMYFUNCTION("""COMPUTED_VALUE"""),"Vincent Faulk")</f>
        <v>Vincent Faulk</v>
      </c>
      <c r="H1406" s="24">
        <f>IFERROR(__xludf.DUMMYFUNCTION("""COMPUTED_VALUE"""),266.0)</f>
        <v>266</v>
      </c>
      <c r="I1406" s="24" t="str">
        <f>IFERROR(__xludf.DUMMYFUNCTION("""COMPUTED_VALUE"""),"Produce")</f>
        <v>Produce</v>
      </c>
    </row>
    <row r="1407">
      <c r="A1407" s="23">
        <f>IFERROR(__xludf.DUMMYFUNCTION("""COMPUTED_VALUE"""),44780.70554100694)</f>
        <v>44780.70554</v>
      </c>
      <c r="B1407" s="24" t="str">
        <f>IFERROR(__xludf.DUMMYFUNCTION("""COMPUTED_VALUE"""),"Vincent Faulk")</f>
        <v>Vincent Faulk</v>
      </c>
      <c r="C1407" s="24">
        <f>IFERROR(__xludf.DUMMYFUNCTION("""COMPUTED_VALUE"""),266.0)</f>
        <v>266</v>
      </c>
      <c r="D1407" s="24" t="str">
        <f>IFERROR(__xludf.DUMMYFUNCTION("""COMPUTED_VALUE"""),"Produce")</f>
        <v>Produce</v>
      </c>
      <c r="F1407" s="23">
        <f>IFERROR(__xludf.DUMMYFUNCTION("""COMPUTED_VALUE"""),44780.705911122684)</f>
        <v>44780.70591</v>
      </c>
      <c r="G1407" s="24" t="str">
        <f>IFERROR(__xludf.DUMMYFUNCTION("""COMPUTED_VALUE"""),"Vincent Faulk")</f>
        <v>Vincent Faulk</v>
      </c>
      <c r="H1407" s="24">
        <f>IFERROR(__xludf.DUMMYFUNCTION("""COMPUTED_VALUE"""),787.0)</f>
        <v>787</v>
      </c>
      <c r="I1407" s="24" t="str">
        <f>IFERROR(__xludf.DUMMYFUNCTION("""COMPUTED_VALUE"""),"Produce")</f>
        <v>Produce</v>
      </c>
    </row>
    <row r="1408">
      <c r="A1408" s="23">
        <f>IFERROR(__xludf.DUMMYFUNCTION("""COMPUTED_VALUE"""),44780.705911122684)</f>
        <v>44780.70591</v>
      </c>
      <c r="B1408" s="24" t="str">
        <f>IFERROR(__xludf.DUMMYFUNCTION("""COMPUTED_VALUE"""),"Vincent Faulk")</f>
        <v>Vincent Faulk</v>
      </c>
      <c r="C1408" s="24">
        <f>IFERROR(__xludf.DUMMYFUNCTION("""COMPUTED_VALUE"""),787.0)</f>
        <v>787</v>
      </c>
      <c r="D1408" s="24" t="str">
        <f>IFERROR(__xludf.DUMMYFUNCTION("""COMPUTED_VALUE"""),"Produce")</f>
        <v>Produce</v>
      </c>
      <c r="F1408" s="23">
        <f>IFERROR(__xludf.DUMMYFUNCTION("""COMPUTED_VALUE"""),44780.706339143515)</f>
        <v>44780.70634</v>
      </c>
      <c r="G1408" s="24" t="str">
        <f>IFERROR(__xludf.DUMMYFUNCTION("""COMPUTED_VALUE"""),"Vincent Faulk")</f>
        <v>Vincent Faulk</v>
      </c>
      <c r="H1408" s="24">
        <f>IFERROR(__xludf.DUMMYFUNCTION("""COMPUTED_VALUE"""),751.0)</f>
        <v>751</v>
      </c>
      <c r="I1408" s="24" t="str">
        <f>IFERROR(__xludf.DUMMYFUNCTION("""COMPUTED_VALUE"""),"Frozen")</f>
        <v>Frozen</v>
      </c>
    </row>
    <row r="1409">
      <c r="A1409" s="23">
        <f>IFERROR(__xludf.DUMMYFUNCTION("""COMPUTED_VALUE"""),44780.706339143515)</f>
        <v>44780.70634</v>
      </c>
      <c r="B1409" s="24" t="str">
        <f>IFERROR(__xludf.DUMMYFUNCTION("""COMPUTED_VALUE"""),"Vincent Faulk")</f>
        <v>Vincent Faulk</v>
      </c>
      <c r="C1409" s="24">
        <f>IFERROR(__xludf.DUMMYFUNCTION("""COMPUTED_VALUE"""),751.0)</f>
        <v>751</v>
      </c>
      <c r="D1409" s="24" t="str">
        <f>IFERROR(__xludf.DUMMYFUNCTION("""COMPUTED_VALUE"""),"Frozen")</f>
        <v>Frozen</v>
      </c>
      <c r="F1409" s="23">
        <f>IFERROR(__xludf.DUMMYFUNCTION("""COMPUTED_VALUE"""),44780.70668201389)</f>
        <v>44780.70668</v>
      </c>
      <c r="G1409" s="24" t="str">
        <f>IFERROR(__xludf.DUMMYFUNCTION("""COMPUTED_VALUE"""),"Vincent Faulk")</f>
        <v>Vincent Faulk</v>
      </c>
      <c r="H1409" s="24">
        <f>IFERROR(__xludf.DUMMYFUNCTION("""COMPUTED_VALUE"""),820.0)</f>
        <v>820</v>
      </c>
      <c r="I1409" s="24" t="str">
        <f>IFERROR(__xludf.DUMMYFUNCTION("""COMPUTED_VALUE"""),"Frozen")</f>
        <v>Frozen</v>
      </c>
    </row>
    <row r="1410">
      <c r="A1410" s="23">
        <f>IFERROR(__xludf.DUMMYFUNCTION("""COMPUTED_VALUE"""),44780.70668201389)</f>
        <v>44780.70668</v>
      </c>
      <c r="B1410" s="24" t="str">
        <f>IFERROR(__xludf.DUMMYFUNCTION("""COMPUTED_VALUE"""),"Vincent Faulk")</f>
        <v>Vincent Faulk</v>
      </c>
      <c r="C1410" s="24">
        <f>IFERROR(__xludf.DUMMYFUNCTION("""COMPUTED_VALUE"""),820.0)</f>
        <v>820</v>
      </c>
      <c r="D1410" s="24" t="str">
        <f>IFERROR(__xludf.DUMMYFUNCTION("""COMPUTED_VALUE"""),"Frozen")</f>
        <v>Frozen</v>
      </c>
      <c r="F1410" s="23">
        <f>IFERROR(__xludf.DUMMYFUNCTION("""COMPUTED_VALUE"""),44780.707056354164)</f>
        <v>44780.70706</v>
      </c>
      <c r="G1410" s="24" t="str">
        <f>IFERROR(__xludf.DUMMYFUNCTION("""COMPUTED_VALUE"""),"Vincent Faulk")</f>
        <v>Vincent Faulk</v>
      </c>
      <c r="H1410" s="24">
        <f>IFERROR(__xludf.DUMMYFUNCTION("""COMPUTED_VALUE"""),604.0)</f>
        <v>604</v>
      </c>
      <c r="I1410" s="24" t="str">
        <f>IFERROR(__xludf.DUMMYFUNCTION("""COMPUTED_VALUE"""),"Produce")</f>
        <v>Produce</v>
      </c>
    </row>
    <row r="1411">
      <c r="A1411" s="23">
        <f>IFERROR(__xludf.DUMMYFUNCTION("""COMPUTED_VALUE"""),44780.707056354164)</f>
        <v>44780.70706</v>
      </c>
      <c r="B1411" s="24" t="str">
        <f>IFERROR(__xludf.DUMMYFUNCTION("""COMPUTED_VALUE"""),"Vincent Faulk")</f>
        <v>Vincent Faulk</v>
      </c>
      <c r="C1411" s="24">
        <f>IFERROR(__xludf.DUMMYFUNCTION("""COMPUTED_VALUE"""),604.0)</f>
        <v>604</v>
      </c>
      <c r="D1411" s="24" t="str">
        <f>IFERROR(__xludf.DUMMYFUNCTION("""COMPUTED_VALUE"""),"Produce")</f>
        <v>Produce</v>
      </c>
      <c r="F1411" s="23">
        <f>IFERROR(__xludf.DUMMYFUNCTION("""COMPUTED_VALUE"""),44780.70740951389)</f>
        <v>44780.70741</v>
      </c>
      <c r="G1411" s="24" t="str">
        <f>IFERROR(__xludf.DUMMYFUNCTION("""COMPUTED_VALUE"""),"Vincent Faulk")</f>
        <v>Vincent Faulk</v>
      </c>
      <c r="H1411" s="24">
        <f>IFERROR(__xludf.DUMMYFUNCTION("""COMPUTED_VALUE"""),260.0)</f>
        <v>260</v>
      </c>
      <c r="I1411" s="24" t="str">
        <f>IFERROR(__xludf.DUMMYFUNCTION("""COMPUTED_VALUE"""),"Dry goods")</f>
        <v>Dry goods</v>
      </c>
    </row>
    <row r="1412">
      <c r="A1412" s="23">
        <f>IFERROR(__xludf.DUMMYFUNCTION("""COMPUTED_VALUE"""),44780.70740951389)</f>
        <v>44780.70741</v>
      </c>
      <c r="B1412" s="24" t="str">
        <f>IFERROR(__xludf.DUMMYFUNCTION("""COMPUTED_VALUE"""),"Vincent Faulk")</f>
        <v>Vincent Faulk</v>
      </c>
      <c r="C1412" s="24">
        <f>IFERROR(__xludf.DUMMYFUNCTION("""COMPUTED_VALUE"""),260.0)</f>
        <v>260</v>
      </c>
      <c r="D1412" s="24" t="str">
        <f>IFERROR(__xludf.DUMMYFUNCTION("""COMPUTED_VALUE"""),"Dry goods")</f>
        <v>Dry goods</v>
      </c>
      <c r="F1412" s="23">
        <f>IFERROR(__xludf.DUMMYFUNCTION("""COMPUTED_VALUE"""),44780.70785315972)</f>
        <v>44780.70785</v>
      </c>
      <c r="G1412" s="24" t="str">
        <f>IFERROR(__xludf.DUMMYFUNCTION("""COMPUTED_VALUE"""),"Vincent Faulk")</f>
        <v>Vincent Faulk</v>
      </c>
      <c r="H1412" s="24">
        <f>IFERROR(__xludf.DUMMYFUNCTION("""COMPUTED_VALUE"""),242.0)</f>
        <v>242</v>
      </c>
      <c r="I1412" s="24" t="str">
        <f>IFERROR(__xludf.DUMMYFUNCTION("""COMPUTED_VALUE"""),"Cleaning ")</f>
        <v>Cleaning </v>
      </c>
    </row>
    <row r="1413">
      <c r="A1413" s="23">
        <f>IFERROR(__xludf.DUMMYFUNCTION("""COMPUTED_VALUE"""),44780.70785315972)</f>
        <v>44780.70785</v>
      </c>
      <c r="B1413" s="24" t="str">
        <f>IFERROR(__xludf.DUMMYFUNCTION("""COMPUTED_VALUE"""),"Vincent Faulk")</f>
        <v>Vincent Faulk</v>
      </c>
      <c r="C1413" s="24">
        <f>IFERROR(__xludf.DUMMYFUNCTION("""COMPUTED_VALUE"""),242.0)</f>
        <v>242</v>
      </c>
      <c r="D1413" s="24" t="str">
        <f>IFERROR(__xludf.DUMMYFUNCTION("""COMPUTED_VALUE"""),"Cleaning ")</f>
        <v>Cleaning </v>
      </c>
      <c r="F1413" s="23">
        <f>IFERROR(__xludf.DUMMYFUNCTION("""COMPUTED_VALUE"""),44780.7119169213)</f>
        <v>44780.71192</v>
      </c>
      <c r="G1413" s="24" t="str">
        <f>IFERROR(__xludf.DUMMYFUNCTION("""COMPUTED_VALUE"""),"Zoe")</f>
        <v>Zoe</v>
      </c>
      <c r="H1413" s="24">
        <f>IFERROR(__xludf.DUMMYFUNCTION("""COMPUTED_VALUE"""),20.0)</f>
        <v>20</v>
      </c>
      <c r="I1413" s="24"/>
    </row>
    <row r="1414">
      <c r="A1414" s="23">
        <f>IFERROR(__xludf.DUMMYFUNCTION("""COMPUTED_VALUE"""),44784.69478831018)</f>
        <v>44784.69479</v>
      </c>
      <c r="B1414" s="24" t="str">
        <f>IFERROR(__xludf.DUMMYFUNCTION("""COMPUTED_VALUE"""),"Claire")</f>
        <v>Claire</v>
      </c>
      <c r="C1414" s="24">
        <f>IFERROR(__xludf.DUMMYFUNCTION("""COMPUTED_VALUE"""),702.0)</f>
        <v>702</v>
      </c>
      <c r="D1414" s="24" t="str">
        <f>IFERROR(__xludf.DUMMYFUNCTION("""COMPUTED_VALUE"""),"Assort mix")</f>
        <v>Assort mix</v>
      </c>
      <c r="F1414" s="23">
        <f>IFERROR(__xludf.DUMMYFUNCTION("""COMPUTED_VALUE"""),44780.92136032408)</f>
        <v>44780.92136</v>
      </c>
      <c r="G1414" s="24" t="str">
        <f>IFERROR(__xludf.DUMMYFUNCTION("""COMPUTED_VALUE"""),"Dorja ")</f>
        <v>Dorja </v>
      </c>
      <c r="H1414" s="24"/>
      <c r="I1414" s="24"/>
    </row>
    <row r="1415">
      <c r="A1415" s="23">
        <f>IFERROR(__xludf.DUMMYFUNCTION("""COMPUTED_VALUE"""),44784.69503938658)</f>
        <v>44784.69504</v>
      </c>
      <c r="B1415" s="24" t="str">
        <f>IFERROR(__xludf.DUMMYFUNCTION("""COMPUTED_VALUE"""),"Claire")</f>
        <v>Claire</v>
      </c>
      <c r="C1415" s="24">
        <f>IFERROR(__xludf.DUMMYFUNCTION("""COMPUTED_VALUE"""),405.0)</f>
        <v>405</v>
      </c>
      <c r="D1415" s="24" t="str">
        <f>IFERROR(__xludf.DUMMYFUNCTION("""COMPUTED_VALUE"""),"Produce")</f>
        <v>Produce</v>
      </c>
      <c r="F1415" s="23">
        <f>IFERROR(__xludf.DUMMYFUNCTION("""COMPUTED_VALUE"""),44780.92153262731)</f>
        <v>44780.92153</v>
      </c>
      <c r="G1415" s="24" t="str">
        <f>IFERROR(__xludf.DUMMYFUNCTION("""COMPUTED_VALUE"""),"Dorja ")</f>
        <v>Dorja </v>
      </c>
      <c r="H1415" s="24"/>
      <c r="I1415" s="24"/>
    </row>
    <row r="1416">
      <c r="A1416" s="23">
        <f>IFERROR(__xludf.DUMMYFUNCTION("""COMPUTED_VALUE"""),44785.0)</f>
        <v>44785</v>
      </c>
      <c r="B1416" s="24" t="str">
        <f>IFERROR(__xludf.DUMMYFUNCTION("""COMPUTED_VALUE"""),"Claire")</f>
        <v>Claire</v>
      </c>
      <c r="C1416" s="24">
        <f>IFERROR(__xludf.DUMMYFUNCTION("""COMPUTED_VALUE"""),182.0)</f>
        <v>182</v>
      </c>
      <c r="D1416" s="24" t="str">
        <f>IFERROR(__xludf.DUMMYFUNCTION("""COMPUTED_VALUE"""),"Snacks")</f>
        <v>Snacks</v>
      </c>
      <c r="F1416" s="23">
        <f>IFERROR(__xludf.DUMMYFUNCTION("""COMPUTED_VALUE"""),44780.92169738426)</f>
        <v>44780.9217</v>
      </c>
      <c r="G1416" s="24" t="str">
        <f>IFERROR(__xludf.DUMMYFUNCTION("""COMPUTED_VALUE"""),"Dorja ")</f>
        <v>Dorja </v>
      </c>
      <c r="H1416" s="24">
        <f>IFERROR(__xludf.DUMMYFUNCTION("""COMPUTED_VALUE"""),18.0)</f>
        <v>18</v>
      </c>
      <c r="I1416" s="24"/>
    </row>
    <row r="1417">
      <c r="A1417" s="23">
        <f>IFERROR(__xludf.DUMMYFUNCTION("""COMPUTED_VALUE"""),44785.0)</f>
        <v>44785</v>
      </c>
      <c r="B1417" s="24" t="str">
        <f>IFERROR(__xludf.DUMMYFUNCTION("""COMPUTED_VALUE"""),"Claire")</f>
        <v>Claire</v>
      </c>
      <c r="C1417" s="24">
        <f>IFERROR(__xludf.DUMMYFUNCTION("""COMPUTED_VALUE"""),609.0)</f>
        <v>609</v>
      </c>
      <c r="D1417" s="24" t="str">
        <f>IFERROR(__xludf.DUMMYFUNCTION("""COMPUTED_VALUE"""),"Produce")</f>
        <v>Produce</v>
      </c>
      <c r="F1417" s="23">
        <f>IFERROR(__xludf.DUMMYFUNCTION("""COMPUTED_VALUE"""),44783.0)</f>
        <v>44783</v>
      </c>
      <c r="G1417" s="24" t="str">
        <f>IFERROR(__xludf.DUMMYFUNCTION("""COMPUTED_VALUE"""),"Claire")</f>
        <v>Claire</v>
      </c>
      <c r="H1417" s="24">
        <f>IFERROR(__xludf.DUMMYFUNCTION("""COMPUTED_VALUE"""),541.0)</f>
        <v>541</v>
      </c>
      <c r="I1417" s="24" t="str">
        <f>IFERROR(__xludf.DUMMYFUNCTION("""COMPUTED_VALUE"""),"First Fruits Farm")</f>
        <v>First Fruits Farm</v>
      </c>
    </row>
    <row r="1418">
      <c r="A1418" s="23">
        <f>IFERROR(__xludf.DUMMYFUNCTION("""COMPUTED_VALUE"""),44785.0)</f>
        <v>44785</v>
      </c>
      <c r="B1418" s="24" t="str">
        <f>IFERROR(__xludf.DUMMYFUNCTION("""COMPUTED_VALUE"""),"Claire")</f>
        <v>Claire</v>
      </c>
      <c r="C1418" s="24">
        <f>IFERROR(__xludf.DUMMYFUNCTION("""COMPUTED_VALUE"""),349.0)</f>
        <v>349</v>
      </c>
      <c r="D1418" s="24" t="str">
        <f>IFERROR(__xludf.DUMMYFUNCTION("""COMPUTED_VALUE"""),"Dairy &amp; Meat")</f>
        <v>Dairy &amp; Meat</v>
      </c>
      <c r="F1418" s="23">
        <f>IFERROR(__xludf.DUMMYFUNCTION("""COMPUTED_VALUE"""),44783.0)</f>
        <v>44783</v>
      </c>
      <c r="G1418" s="24" t="str">
        <f>IFERROR(__xludf.DUMMYFUNCTION("""COMPUTED_VALUE"""),"Claire")</f>
        <v>Claire</v>
      </c>
      <c r="H1418" s="24">
        <f>IFERROR(__xludf.DUMMYFUNCTION("""COMPUTED_VALUE"""),564.0)</f>
        <v>564</v>
      </c>
      <c r="I1418" s="24" t="str">
        <f>IFERROR(__xludf.DUMMYFUNCTION("""COMPUTED_VALUE"""),"First Fruits Farm")</f>
        <v>First Fruits Farm</v>
      </c>
    </row>
    <row r="1419">
      <c r="A1419" s="23">
        <f>IFERROR(__xludf.DUMMYFUNCTION("""COMPUTED_VALUE"""),44785.70579625)</f>
        <v>44785.7058</v>
      </c>
      <c r="B1419" s="24" t="str">
        <f>IFERROR(__xludf.DUMMYFUNCTION("""COMPUTED_VALUE"""),"Sunita")</f>
        <v>Sunita</v>
      </c>
      <c r="C1419" s="24">
        <f>IFERROR(__xludf.DUMMYFUNCTION("""COMPUTED_VALUE"""),97.0)</f>
        <v>97</v>
      </c>
      <c r="D1419" s="24" t="str">
        <f>IFERROR(__xludf.DUMMYFUNCTION("""COMPUTED_VALUE"""),"Assorted option")</f>
        <v>Assorted option</v>
      </c>
      <c r="F1419" s="23">
        <f>IFERROR(__xludf.DUMMYFUNCTION("""COMPUTED_VALUE"""),44783.0)</f>
        <v>44783</v>
      </c>
      <c r="G1419" s="24" t="str">
        <f>IFERROR(__xludf.DUMMYFUNCTION("""COMPUTED_VALUE"""),"Marilyn Okine")</f>
        <v>Marilyn Okine</v>
      </c>
      <c r="H1419" s="24">
        <f>IFERROR(__xludf.DUMMYFUNCTION("""COMPUTED_VALUE"""),20.0)</f>
        <v>20</v>
      </c>
      <c r="I1419" s="24"/>
    </row>
    <row r="1420">
      <c r="A1420" s="23">
        <f>IFERROR(__xludf.DUMMYFUNCTION("""COMPUTED_VALUE"""),44786.66820407407)</f>
        <v>44786.6682</v>
      </c>
      <c r="B1420" s="24" t="str">
        <f>IFERROR(__xludf.DUMMYFUNCTION("""COMPUTED_VALUE"""),"Claire")</f>
        <v>Claire</v>
      </c>
      <c r="C1420" s="24">
        <f>IFERROR(__xludf.DUMMYFUNCTION("""COMPUTED_VALUE"""),260.0)</f>
        <v>260</v>
      </c>
      <c r="D1420" s="24" t="str">
        <f>IFERROR(__xludf.DUMMYFUNCTION("""COMPUTED_VALUE"""),"Chips")</f>
        <v>Chips</v>
      </c>
      <c r="F1420" s="23">
        <f>IFERROR(__xludf.DUMMYFUNCTION("""COMPUTED_VALUE"""),44783.0)</f>
        <v>44783</v>
      </c>
      <c r="G1420" s="24" t="str">
        <f>IFERROR(__xludf.DUMMYFUNCTION("""COMPUTED_VALUE"""),"Imani Armour")</f>
        <v>Imani Armour</v>
      </c>
      <c r="H1420" s="24">
        <f>IFERROR(__xludf.DUMMYFUNCTION("""COMPUTED_VALUE"""),20.0)</f>
        <v>20</v>
      </c>
      <c r="I1420" s="24"/>
    </row>
    <row r="1421">
      <c r="A1421" s="23">
        <f>IFERROR(__xludf.DUMMYFUNCTION("""COMPUTED_VALUE"""),44786.66848018519)</f>
        <v>44786.66848</v>
      </c>
      <c r="B1421" s="24" t="str">
        <f>IFERROR(__xludf.DUMMYFUNCTION("""COMPUTED_VALUE"""),"Claire")</f>
        <v>Claire</v>
      </c>
      <c r="C1421" s="24">
        <f>IFERROR(__xludf.DUMMYFUNCTION("""COMPUTED_VALUE"""),933.0)</f>
        <v>933</v>
      </c>
      <c r="D1421" s="24" t="str">
        <f>IFERROR(__xludf.DUMMYFUNCTION("""COMPUTED_VALUE"""),"Cleaning supplies")</f>
        <v>Cleaning supplies</v>
      </c>
      <c r="F1421" s="23">
        <f>IFERROR(__xludf.DUMMYFUNCTION("""COMPUTED_VALUE"""),44783.0)</f>
        <v>44783</v>
      </c>
      <c r="G1421" s="24" t="str">
        <f>IFERROR(__xludf.DUMMYFUNCTION("""COMPUTED_VALUE"""),"Imani Armour")</f>
        <v>Imani Armour</v>
      </c>
      <c r="H1421" s="24">
        <f>IFERROR(__xludf.DUMMYFUNCTION("""COMPUTED_VALUE"""),6.0)</f>
        <v>6</v>
      </c>
      <c r="I1421" s="24"/>
    </row>
    <row r="1422">
      <c r="A1422" s="23">
        <f>IFERROR(__xludf.DUMMYFUNCTION("""COMPUTED_VALUE"""),44786.66883145834)</f>
        <v>44786.66883</v>
      </c>
      <c r="B1422" s="24" t="str">
        <f>IFERROR(__xludf.DUMMYFUNCTION("""COMPUTED_VALUE"""),"Claire")</f>
        <v>Claire</v>
      </c>
      <c r="C1422" s="24">
        <f>IFERROR(__xludf.DUMMYFUNCTION("""COMPUTED_VALUE"""),1095.0)</f>
        <v>1095</v>
      </c>
      <c r="D1422" s="24" t="str">
        <f>IFERROR(__xludf.DUMMYFUNCTION("""COMPUTED_VALUE"""),"Pet supplies")</f>
        <v>Pet supplies</v>
      </c>
      <c r="F1422" s="23">
        <f>IFERROR(__xludf.DUMMYFUNCTION("""COMPUTED_VALUE"""),44783.0)</f>
        <v>44783</v>
      </c>
      <c r="G1422" s="24" t="str">
        <f>IFERROR(__xludf.DUMMYFUNCTION("""COMPUTED_VALUE"""),"Juanita C")</f>
        <v>Juanita C</v>
      </c>
      <c r="H1422" s="24">
        <f>IFERROR(__xludf.DUMMYFUNCTION("""COMPUTED_VALUE"""),16.0)</f>
        <v>16</v>
      </c>
      <c r="I1422" s="24"/>
    </row>
    <row r="1423">
      <c r="A1423" s="23">
        <f>IFERROR(__xludf.DUMMYFUNCTION("""COMPUTED_VALUE"""),44786.66917715278)</f>
        <v>44786.66918</v>
      </c>
      <c r="B1423" s="24" t="str">
        <f>IFERROR(__xludf.DUMMYFUNCTION("""COMPUTED_VALUE"""),"Claire")</f>
        <v>Claire</v>
      </c>
      <c r="C1423" s="24">
        <f>IFERROR(__xludf.DUMMYFUNCTION("""COMPUTED_VALUE"""),275.0)</f>
        <v>275</v>
      </c>
      <c r="D1423" s="24" t="str">
        <f>IFERROR(__xludf.DUMMYFUNCTION("""COMPUTED_VALUE"""),"Chips")</f>
        <v>Chips</v>
      </c>
      <c r="F1423" s="23">
        <f>IFERROR(__xludf.DUMMYFUNCTION("""COMPUTED_VALUE"""),44783.0)</f>
        <v>44783</v>
      </c>
      <c r="G1423" s="24" t="str">
        <f>IFERROR(__xludf.DUMMYFUNCTION("""COMPUTED_VALUE"""),"Treston Codrington")</f>
        <v>Treston Codrington</v>
      </c>
      <c r="H1423" s="24">
        <f>IFERROR(__xludf.DUMMYFUNCTION("""COMPUTED_VALUE"""),19.0)</f>
        <v>19</v>
      </c>
      <c r="I1423" s="24"/>
    </row>
    <row r="1424">
      <c r="A1424" s="23">
        <f>IFERROR(__xludf.DUMMYFUNCTION("""COMPUTED_VALUE"""),44786.669628009266)</f>
        <v>44786.66963</v>
      </c>
      <c r="B1424" s="24" t="str">
        <f>IFERROR(__xludf.DUMMYFUNCTION("""COMPUTED_VALUE"""),"Claire")</f>
        <v>Claire</v>
      </c>
      <c r="C1424" s="24">
        <f>IFERROR(__xludf.DUMMYFUNCTION("""COMPUTED_VALUE"""),1438.0)</f>
        <v>1438</v>
      </c>
      <c r="D1424" s="24" t="str">
        <f>IFERROR(__xludf.DUMMYFUNCTION("""COMPUTED_VALUE"""),"Drinks")</f>
        <v>Drinks</v>
      </c>
      <c r="F1424" s="23">
        <f>IFERROR(__xludf.DUMMYFUNCTION("""COMPUTED_VALUE"""),44783.0)</f>
        <v>44783</v>
      </c>
      <c r="G1424" s="24" t="str">
        <f>IFERROR(__xludf.DUMMYFUNCTION("""COMPUTED_VALUE"""),"Monah Perry")</f>
        <v>Monah Perry</v>
      </c>
      <c r="H1424" s="24">
        <f>IFERROR(__xludf.DUMMYFUNCTION("""COMPUTED_VALUE"""),20.0)</f>
        <v>20</v>
      </c>
      <c r="I1424" s="24"/>
    </row>
    <row r="1425">
      <c r="A1425" s="23">
        <f>IFERROR(__xludf.DUMMYFUNCTION("""COMPUTED_VALUE"""),44786.67030940972)</f>
        <v>44786.67031</v>
      </c>
      <c r="B1425" s="24" t="str">
        <f>IFERROR(__xludf.DUMMYFUNCTION("""COMPUTED_VALUE"""),"Claire")</f>
        <v>Claire</v>
      </c>
      <c r="C1425" s="24">
        <f>IFERROR(__xludf.DUMMYFUNCTION("""COMPUTED_VALUE"""),1108.0)</f>
        <v>1108</v>
      </c>
      <c r="D1425" s="24" t="str">
        <f>IFERROR(__xludf.DUMMYFUNCTION("""COMPUTED_VALUE"""),"Produce")</f>
        <v>Produce</v>
      </c>
      <c r="F1425" s="23">
        <f>IFERROR(__xludf.DUMMYFUNCTION("""COMPUTED_VALUE"""),44783.0)</f>
        <v>44783</v>
      </c>
      <c r="G1425" s="24" t="str">
        <f>IFERROR(__xludf.DUMMYFUNCTION("""COMPUTED_VALUE"""),"Monah Perry")</f>
        <v>Monah Perry</v>
      </c>
      <c r="H1425" s="24">
        <f>IFERROR(__xludf.DUMMYFUNCTION("""COMPUTED_VALUE"""),56.0)</f>
        <v>56</v>
      </c>
      <c r="I1425" s="24"/>
    </row>
    <row r="1426">
      <c r="A1426" s="23">
        <f>IFERROR(__xludf.DUMMYFUNCTION("""COMPUTED_VALUE"""),44786.67313326389)</f>
        <v>44786.67313</v>
      </c>
      <c r="B1426" s="24" t="str">
        <f>IFERROR(__xludf.DUMMYFUNCTION("""COMPUTED_VALUE"""),"Claire")</f>
        <v>Claire</v>
      </c>
      <c r="C1426" s="24">
        <f>IFERROR(__xludf.DUMMYFUNCTION("""COMPUTED_VALUE"""),1480.0)</f>
        <v>1480</v>
      </c>
      <c r="D1426" s="24" t="str">
        <f>IFERROR(__xludf.DUMMYFUNCTION("""COMPUTED_VALUE"""),"Dairy")</f>
        <v>Dairy</v>
      </c>
      <c r="F1426" s="23">
        <f>IFERROR(__xludf.DUMMYFUNCTION("""COMPUTED_VALUE"""),44783.0)</f>
        <v>44783</v>
      </c>
      <c r="G1426" s="24" t="str">
        <f>IFERROR(__xludf.DUMMYFUNCTION("""COMPUTED_VALUE"""),"Marci")</f>
        <v>Marci</v>
      </c>
      <c r="H1426" s="24">
        <f>IFERROR(__xludf.DUMMYFUNCTION("""COMPUTED_VALUE"""),20.0)</f>
        <v>20</v>
      </c>
      <c r="I1426" s="24"/>
    </row>
    <row r="1427">
      <c r="A1427" s="23">
        <f>IFERROR(__xludf.DUMMYFUNCTION("""COMPUTED_VALUE"""),44786.67405140046)</f>
        <v>44786.67405</v>
      </c>
      <c r="B1427" s="24" t="str">
        <f>IFERROR(__xludf.DUMMYFUNCTION("""COMPUTED_VALUE"""),"Claire")</f>
        <v>Claire</v>
      </c>
      <c r="C1427" s="24">
        <f>IFERROR(__xludf.DUMMYFUNCTION("""COMPUTED_VALUE"""),593.0)</f>
        <v>593</v>
      </c>
      <c r="D1427" s="24" t="str">
        <f>IFERROR(__xludf.DUMMYFUNCTION("""COMPUTED_VALUE"""),"Frozen")</f>
        <v>Frozen</v>
      </c>
      <c r="F1427" s="23">
        <f>IFERROR(__xludf.DUMMYFUNCTION("""COMPUTED_VALUE"""),44783.0)</f>
        <v>44783</v>
      </c>
      <c r="G1427" s="24" t="str">
        <f>IFERROR(__xludf.DUMMYFUNCTION("""COMPUTED_VALUE"""),"Marci")</f>
        <v>Marci</v>
      </c>
      <c r="H1427" s="24">
        <f>IFERROR(__xludf.DUMMYFUNCTION("""COMPUTED_VALUE"""),45.0)</f>
        <v>45</v>
      </c>
      <c r="I1427" s="24"/>
    </row>
    <row r="1428">
      <c r="A1428" s="23">
        <f>IFERROR(__xludf.DUMMYFUNCTION("""COMPUTED_VALUE"""),44786.67429584491)</f>
        <v>44786.6743</v>
      </c>
      <c r="B1428" s="24" t="str">
        <f>IFERROR(__xludf.DUMMYFUNCTION("""COMPUTED_VALUE"""),"Claire")</f>
        <v>Claire</v>
      </c>
      <c r="C1428" s="24">
        <f>IFERROR(__xludf.DUMMYFUNCTION("""COMPUTED_VALUE"""),701.0)</f>
        <v>701</v>
      </c>
      <c r="D1428" s="24" t="str">
        <f>IFERROR(__xludf.DUMMYFUNCTION("""COMPUTED_VALUE"""),"Frozen")</f>
        <v>Frozen</v>
      </c>
      <c r="F1428" s="23">
        <f>IFERROR(__xludf.DUMMYFUNCTION("""COMPUTED_VALUE"""),44783.54064518519)</f>
        <v>44783.54065</v>
      </c>
      <c r="G1428" s="24" t="str">
        <f>IFERROR(__xludf.DUMMYFUNCTION("""COMPUTED_VALUE"""),"Vincent Faulk")</f>
        <v>Vincent Faulk</v>
      </c>
      <c r="H1428" s="24">
        <f>IFERROR(__xludf.DUMMYFUNCTION("""COMPUTED_VALUE"""),580.0)</f>
        <v>580</v>
      </c>
      <c r="I1428" s="24" t="str">
        <f>IFERROR(__xludf.DUMMYFUNCTION("""COMPUTED_VALUE"""),"Amazon")</f>
        <v>Amazon</v>
      </c>
    </row>
    <row r="1429">
      <c r="A1429" s="23">
        <f>IFERROR(__xludf.DUMMYFUNCTION("""COMPUTED_VALUE"""),44786.67476707176)</f>
        <v>44786.67477</v>
      </c>
      <c r="B1429" s="24" t="str">
        <f>IFERROR(__xludf.DUMMYFUNCTION("""COMPUTED_VALUE"""),"Claire")</f>
        <v>Claire</v>
      </c>
      <c r="C1429" s="24">
        <f>IFERROR(__xludf.DUMMYFUNCTION("""COMPUTED_VALUE"""),1501.0)</f>
        <v>1501</v>
      </c>
      <c r="D1429" s="24" t="str">
        <f>IFERROR(__xludf.DUMMYFUNCTION("""COMPUTED_VALUE"""),"Drinks")</f>
        <v>Drinks</v>
      </c>
      <c r="F1429" s="23">
        <f>IFERROR(__xludf.DUMMYFUNCTION("""COMPUTED_VALUE"""),44783.54115773148)</f>
        <v>44783.54116</v>
      </c>
      <c r="G1429" s="24" t="str">
        <f>IFERROR(__xludf.DUMMYFUNCTION("""COMPUTED_VALUE"""),"Vincent Faulk")</f>
        <v>Vincent Faulk</v>
      </c>
      <c r="H1429" s="24">
        <f>IFERROR(__xludf.DUMMYFUNCTION("""COMPUTED_VALUE"""),719.0)</f>
        <v>719</v>
      </c>
      <c r="I1429" s="24" t="str">
        <f>IFERROR(__xludf.DUMMYFUNCTION("""COMPUTED_VALUE"""),"Amazon")</f>
        <v>Amazon</v>
      </c>
    </row>
    <row r="1430">
      <c r="A1430" s="23">
        <f>IFERROR(__xludf.DUMMYFUNCTION("""COMPUTED_VALUE"""),44786.675117280094)</f>
        <v>44786.67512</v>
      </c>
      <c r="B1430" s="24" t="str">
        <f>IFERROR(__xludf.DUMMYFUNCTION("""COMPUTED_VALUE"""),"Claire")</f>
        <v>Claire</v>
      </c>
      <c r="C1430" s="24">
        <f>IFERROR(__xludf.DUMMYFUNCTION("""COMPUTED_VALUE"""),582.0)</f>
        <v>582</v>
      </c>
      <c r="D1430" s="24" t="str">
        <f>IFERROR(__xludf.DUMMYFUNCTION("""COMPUTED_VALUE"""),"Produce")</f>
        <v>Produce</v>
      </c>
      <c r="F1430" s="23">
        <f>IFERROR(__xludf.DUMMYFUNCTION("""COMPUTED_VALUE"""),44783.57179688657)</f>
        <v>44783.5718</v>
      </c>
      <c r="G1430" s="24" t="str">
        <f>IFERROR(__xludf.DUMMYFUNCTION("""COMPUTED_VALUE"""),"Dorja ")</f>
        <v>Dorja </v>
      </c>
      <c r="H1430" s="24">
        <f>IFERROR(__xludf.DUMMYFUNCTION("""COMPUTED_VALUE"""),1078.0)</f>
        <v>1078</v>
      </c>
      <c r="I1430" s="24" t="str">
        <f>IFERROR(__xludf.DUMMYFUNCTION("""COMPUTED_VALUE"""),"Amazon")</f>
        <v>Amazon</v>
      </c>
    </row>
    <row r="1431">
      <c r="A1431" s="23">
        <f>IFERROR(__xludf.DUMMYFUNCTION("""COMPUTED_VALUE"""),44786.675554305555)</f>
        <v>44786.67555</v>
      </c>
      <c r="B1431" s="24" t="str">
        <f>IFERROR(__xludf.DUMMYFUNCTION("""COMPUTED_VALUE"""),"Claire")</f>
        <v>Claire</v>
      </c>
      <c r="C1431" s="24">
        <f>IFERROR(__xludf.DUMMYFUNCTION("""COMPUTED_VALUE"""),-531.0)</f>
        <v>-531</v>
      </c>
      <c r="D1431" s="24" t="str">
        <f>IFERROR(__xludf.DUMMYFUNCTION("""COMPUTED_VALUE"""),"Frozen")</f>
        <v>Frozen</v>
      </c>
      <c r="F1431" s="23">
        <f>IFERROR(__xludf.DUMMYFUNCTION("""COMPUTED_VALUE"""),44783.57232141203)</f>
        <v>44783.57232</v>
      </c>
      <c r="G1431" s="24" t="str">
        <f>IFERROR(__xludf.DUMMYFUNCTION("""COMPUTED_VALUE"""),"Dorja ")</f>
        <v>Dorja </v>
      </c>
      <c r="H1431" s="24">
        <f>IFERROR(__xludf.DUMMYFUNCTION("""COMPUTED_VALUE"""),670.0)</f>
        <v>670</v>
      </c>
      <c r="I1431" s="24" t="str">
        <f>IFERROR(__xludf.DUMMYFUNCTION("""COMPUTED_VALUE"""),"Amazon")</f>
        <v>Amazon</v>
      </c>
    </row>
    <row r="1432">
      <c r="A1432" s="23">
        <f>IFERROR(__xludf.DUMMYFUNCTION("""COMPUTED_VALUE"""),44786.67580564815)</f>
        <v>44786.67581</v>
      </c>
      <c r="B1432" s="24" t="str">
        <f>IFERROR(__xludf.DUMMYFUNCTION("""COMPUTED_VALUE"""),"Claire")</f>
        <v>Claire</v>
      </c>
      <c r="C1432" s="24">
        <f>IFERROR(__xludf.DUMMYFUNCTION("""COMPUTED_VALUE"""),-523.0)</f>
        <v>-523</v>
      </c>
      <c r="D1432" s="24" t="str">
        <f>IFERROR(__xludf.DUMMYFUNCTION("""COMPUTED_VALUE"""),"Produce")</f>
        <v>Produce</v>
      </c>
      <c r="F1432" s="23">
        <f>IFERROR(__xludf.DUMMYFUNCTION("""COMPUTED_VALUE"""),44783.57415128472)</f>
        <v>44783.57415</v>
      </c>
      <c r="G1432" s="24" t="str">
        <f>IFERROR(__xludf.DUMMYFUNCTION("""COMPUTED_VALUE"""),"Bud sisson st DPW drinks")</f>
        <v>Bud sisson st DPW drinks</v>
      </c>
      <c r="H1432" s="24">
        <f>IFERROR(__xludf.DUMMYFUNCTION("""COMPUTED_VALUE"""),25.0)</f>
        <v>25</v>
      </c>
      <c r="I1432" s="24"/>
    </row>
    <row r="1433">
      <c r="A1433" s="23">
        <f>IFERROR(__xludf.DUMMYFUNCTION("""COMPUTED_VALUE"""),44786.67610898149)</f>
        <v>44786.67611</v>
      </c>
      <c r="B1433" s="24" t="str">
        <f>IFERROR(__xludf.DUMMYFUNCTION("""COMPUTED_VALUE"""),"Claire")</f>
        <v>Claire</v>
      </c>
      <c r="C1433" s="24">
        <f>IFERROR(__xludf.DUMMYFUNCTION("""COMPUTED_VALUE"""),-1246.0)</f>
        <v>-1246</v>
      </c>
      <c r="D1433" s="24" t="str">
        <f>IFERROR(__xludf.DUMMYFUNCTION("""COMPUTED_VALUE"""),"Produce")</f>
        <v>Produce</v>
      </c>
      <c r="F1433" s="23">
        <f>IFERROR(__xludf.DUMMYFUNCTION("""COMPUTED_VALUE"""),44783.575467187504)</f>
        <v>44783.57547</v>
      </c>
      <c r="G1433" s="24" t="str">
        <f>IFERROR(__xludf.DUMMYFUNCTION("""COMPUTED_VALUE"""),"Dorja ")</f>
        <v>Dorja </v>
      </c>
      <c r="H1433" s="24">
        <f>IFERROR(__xludf.DUMMYFUNCTION("""COMPUTED_VALUE"""),1062.0)</f>
        <v>1062</v>
      </c>
      <c r="I1433" s="24" t="str">
        <f>IFERROR(__xludf.DUMMYFUNCTION("""COMPUTED_VALUE"""),"Amazon")</f>
        <v>Amazon</v>
      </c>
    </row>
    <row r="1434">
      <c r="A1434" s="23">
        <f>IFERROR(__xludf.DUMMYFUNCTION("""COMPUTED_VALUE"""),44786.67636113426)</f>
        <v>44786.67636</v>
      </c>
      <c r="B1434" s="24" t="str">
        <f>IFERROR(__xludf.DUMMYFUNCTION("""COMPUTED_VALUE"""),"Claire")</f>
        <v>Claire</v>
      </c>
      <c r="C1434" s="24">
        <f>IFERROR(__xludf.DUMMYFUNCTION("""COMPUTED_VALUE"""),-1084.0)</f>
        <v>-1084</v>
      </c>
      <c r="D1434" s="24" t="str">
        <f>IFERROR(__xludf.DUMMYFUNCTION("""COMPUTED_VALUE"""),"Dairy")</f>
        <v>Dairy</v>
      </c>
      <c r="F1434" s="23">
        <f>IFERROR(__xludf.DUMMYFUNCTION("""COMPUTED_VALUE"""),44783.57794880787)</f>
        <v>44783.57795</v>
      </c>
      <c r="G1434" s="24" t="str">
        <f>IFERROR(__xludf.DUMMYFUNCTION("""COMPUTED_VALUE"""),"Dorja ")</f>
        <v>Dorja </v>
      </c>
      <c r="H1434" s="24">
        <f>IFERROR(__xludf.DUMMYFUNCTION("""COMPUTED_VALUE"""),741.0)</f>
        <v>741</v>
      </c>
      <c r="I1434" s="24" t="str">
        <f>IFERROR(__xludf.DUMMYFUNCTION("""COMPUTED_VALUE"""),"Amazon")</f>
        <v>Amazon</v>
      </c>
    </row>
    <row r="1435">
      <c r="A1435" s="23">
        <f>IFERROR(__xludf.DUMMYFUNCTION("""COMPUTED_VALUE"""),44786.67885159722)</f>
        <v>44786.67885</v>
      </c>
      <c r="B1435" s="24" t="str">
        <f>IFERROR(__xludf.DUMMYFUNCTION("""COMPUTED_VALUE"""),"Claire")</f>
        <v>Claire</v>
      </c>
      <c r="C1435" s="24">
        <f>IFERROR(__xludf.DUMMYFUNCTION("""COMPUTED_VALUE"""),-195.0)</f>
        <v>-195</v>
      </c>
      <c r="D1435" s="24" t="str">
        <f>IFERROR(__xludf.DUMMYFUNCTION("""COMPUTED_VALUE"""),"Chips")</f>
        <v>Chips</v>
      </c>
      <c r="F1435" s="23">
        <f>IFERROR(__xludf.DUMMYFUNCTION("""COMPUTED_VALUE"""),44783.58056878472)</f>
        <v>44783.58057</v>
      </c>
      <c r="G1435" s="24" t="str">
        <f>IFERROR(__xludf.DUMMYFUNCTION("""COMPUTED_VALUE"""),"Dorja ")</f>
        <v>Dorja </v>
      </c>
      <c r="H1435" s="24">
        <f>IFERROR(__xludf.DUMMYFUNCTION("""COMPUTED_VALUE"""),942.0)</f>
        <v>942</v>
      </c>
      <c r="I1435" s="24" t="str">
        <f>IFERROR(__xludf.DUMMYFUNCTION("""COMPUTED_VALUE"""),"Amazon")</f>
        <v>Amazon</v>
      </c>
    </row>
    <row r="1436">
      <c r="A1436" s="23">
        <f>IFERROR(__xludf.DUMMYFUNCTION("""COMPUTED_VALUE"""),44786.68271056713)</f>
        <v>44786.68271</v>
      </c>
      <c r="B1436" s="24" t="str">
        <f>IFERROR(__xludf.DUMMYFUNCTION("""COMPUTED_VALUE"""),"Claire")</f>
        <v>Claire</v>
      </c>
      <c r="C1436" s="24">
        <f>IFERROR(__xludf.DUMMYFUNCTION("""COMPUTED_VALUE"""),-177.0)</f>
        <v>-177</v>
      </c>
      <c r="D1436" s="24" t="str">
        <f>IFERROR(__xludf.DUMMYFUNCTION("""COMPUTED_VALUE"""),"Pet supplies")</f>
        <v>Pet supplies</v>
      </c>
      <c r="F1436" s="23">
        <f>IFERROR(__xludf.DUMMYFUNCTION("""COMPUTED_VALUE"""),44783.58296151621)</f>
        <v>44783.58296</v>
      </c>
      <c r="G1436" s="24" t="str">
        <f>IFERROR(__xludf.DUMMYFUNCTION("""COMPUTED_VALUE"""),"Dorja ")</f>
        <v>Dorja </v>
      </c>
      <c r="H1436" s="24">
        <f>IFERROR(__xludf.DUMMYFUNCTION("""COMPUTED_VALUE"""),530.0)</f>
        <v>530</v>
      </c>
      <c r="I1436" s="24" t="str">
        <f>IFERROR(__xludf.DUMMYFUNCTION("""COMPUTED_VALUE"""),"Amazon")</f>
        <v>Amazon</v>
      </c>
    </row>
    <row r="1437">
      <c r="A1437" s="23">
        <f>IFERROR(__xludf.DUMMYFUNCTION("""COMPUTED_VALUE"""),44787.5704938426)</f>
        <v>44787.57049</v>
      </c>
      <c r="B1437" s="24" t="str">
        <f>IFERROR(__xludf.DUMMYFUNCTION("""COMPUTED_VALUE"""),"Claire")</f>
        <v>Claire</v>
      </c>
      <c r="C1437" s="24">
        <f>IFERROR(__xludf.DUMMYFUNCTION("""COMPUTED_VALUE"""),558.0)</f>
        <v>558</v>
      </c>
      <c r="D1437" s="24" t="str">
        <f>IFERROR(__xludf.DUMMYFUNCTION("""COMPUTED_VALUE"""),"Assort/mix")</f>
        <v>Assort/mix</v>
      </c>
      <c r="F1437" s="23">
        <f>IFERROR(__xludf.DUMMYFUNCTION("""COMPUTED_VALUE"""),44783.586665243056)</f>
        <v>44783.58667</v>
      </c>
      <c r="G1437" s="24" t="str">
        <f>IFERROR(__xludf.DUMMYFUNCTION("""COMPUTED_VALUE"""),"Dorja ")</f>
        <v>Dorja </v>
      </c>
      <c r="H1437" s="24">
        <f>IFERROR(__xludf.DUMMYFUNCTION("""COMPUTED_VALUE"""),864.0)</f>
        <v>864</v>
      </c>
      <c r="I1437" s="24" t="str">
        <f>IFERROR(__xludf.DUMMYFUNCTION("""COMPUTED_VALUE"""),"Amazon")</f>
        <v>Amazon</v>
      </c>
    </row>
    <row r="1438">
      <c r="A1438" s="23">
        <f>IFERROR(__xludf.DUMMYFUNCTION("""COMPUTED_VALUE"""),44787.57078459491)</f>
        <v>44787.57078</v>
      </c>
      <c r="B1438" s="24" t="str">
        <f>IFERROR(__xludf.DUMMYFUNCTION("""COMPUTED_VALUE"""),"Claire")</f>
        <v>Claire</v>
      </c>
      <c r="C1438" s="24">
        <f>IFERROR(__xludf.DUMMYFUNCTION("""COMPUTED_VALUE"""),571.0)</f>
        <v>571</v>
      </c>
      <c r="D1438" s="24" t="str">
        <f>IFERROR(__xludf.DUMMYFUNCTION("""COMPUTED_VALUE"""),"Produce")</f>
        <v>Produce</v>
      </c>
      <c r="F1438" s="23">
        <f>IFERROR(__xludf.DUMMYFUNCTION("""COMPUTED_VALUE"""),44783.58904788194)</f>
        <v>44783.58905</v>
      </c>
      <c r="G1438" s="24" t="str">
        <f>IFERROR(__xludf.DUMMYFUNCTION("""COMPUTED_VALUE"""),"Dorja ")</f>
        <v>Dorja </v>
      </c>
      <c r="H1438" s="24">
        <f>IFERROR(__xludf.DUMMYFUNCTION("""COMPUTED_VALUE"""),1030.0)</f>
        <v>1030</v>
      </c>
      <c r="I1438" s="24" t="str">
        <f>IFERROR(__xludf.DUMMYFUNCTION("""COMPUTED_VALUE"""),"Amazon")</f>
        <v>Amazon</v>
      </c>
    </row>
    <row r="1439">
      <c r="A1439" s="23">
        <f>IFERROR(__xludf.DUMMYFUNCTION("""COMPUTED_VALUE"""),44787.57102517361)</f>
        <v>44787.57103</v>
      </c>
      <c r="B1439" s="24" t="str">
        <f>IFERROR(__xludf.DUMMYFUNCTION("""COMPUTED_VALUE"""),"Claire")</f>
        <v>Claire</v>
      </c>
      <c r="C1439" s="24">
        <f>IFERROR(__xludf.DUMMYFUNCTION("""COMPUTED_VALUE"""),531.0)</f>
        <v>531</v>
      </c>
      <c r="D1439" s="24" t="str">
        <f>IFERROR(__xludf.DUMMYFUNCTION("""COMPUTED_VALUE"""),"Frozen")</f>
        <v>Frozen</v>
      </c>
      <c r="F1439" s="23">
        <f>IFERROR(__xludf.DUMMYFUNCTION("""COMPUTED_VALUE"""),44783.592131550926)</f>
        <v>44783.59213</v>
      </c>
      <c r="G1439" s="24" t="str">
        <f>IFERROR(__xludf.DUMMYFUNCTION("""COMPUTED_VALUE"""),"Dorja ")</f>
        <v>Dorja </v>
      </c>
      <c r="H1439" s="24">
        <f>IFERROR(__xludf.DUMMYFUNCTION("""COMPUTED_VALUE"""),1070.0)</f>
        <v>1070</v>
      </c>
      <c r="I1439" s="24" t="str">
        <f>IFERROR(__xludf.DUMMYFUNCTION("""COMPUTED_VALUE"""),"Amazon")</f>
        <v>Amazon</v>
      </c>
    </row>
    <row r="1440">
      <c r="A1440" s="23">
        <f>IFERROR(__xludf.DUMMYFUNCTION("""COMPUTED_VALUE"""),44787.57243943287)</f>
        <v>44787.57244</v>
      </c>
      <c r="B1440" s="24" t="str">
        <f>IFERROR(__xludf.DUMMYFUNCTION("""COMPUTED_VALUE"""),"Claire")</f>
        <v>Claire</v>
      </c>
      <c r="C1440" s="24">
        <f>IFERROR(__xludf.DUMMYFUNCTION("""COMPUTED_VALUE"""),195.0)</f>
        <v>195</v>
      </c>
      <c r="D1440" s="24" t="str">
        <f>IFERROR(__xludf.DUMMYFUNCTION("""COMPUTED_VALUE"""),"Snacks")</f>
        <v>Snacks</v>
      </c>
      <c r="F1440" s="23">
        <f>IFERROR(__xludf.DUMMYFUNCTION("""COMPUTED_VALUE"""),44783.5956815162)</f>
        <v>44783.59568</v>
      </c>
      <c r="G1440" s="24" t="str">
        <f>IFERROR(__xludf.DUMMYFUNCTION("""COMPUTED_VALUE"""),"Dorja ")</f>
        <v>Dorja </v>
      </c>
      <c r="H1440" s="24">
        <f>IFERROR(__xludf.DUMMYFUNCTION("""COMPUTED_VALUE"""),1798.0)</f>
        <v>1798</v>
      </c>
      <c r="I1440" s="24" t="str">
        <f>IFERROR(__xludf.DUMMYFUNCTION("""COMPUTED_VALUE"""),"Amazon")</f>
        <v>Amazon</v>
      </c>
    </row>
    <row r="1441">
      <c r="A1441" s="23">
        <f>IFERROR(__xludf.DUMMYFUNCTION("""COMPUTED_VALUE"""),44787.586061365735)</f>
        <v>44787.58606</v>
      </c>
      <c r="B1441" s="24" t="str">
        <f>IFERROR(__xludf.DUMMYFUNCTION("""COMPUTED_VALUE"""),"Claire")</f>
        <v>Claire</v>
      </c>
      <c r="C1441" s="24">
        <f>IFERROR(__xludf.DUMMYFUNCTION("""COMPUTED_VALUE"""),172.0)</f>
        <v>172</v>
      </c>
      <c r="D1441" s="24" t="str">
        <f>IFERROR(__xludf.DUMMYFUNCTION("""COMPUTED_VALUE"""),"Drinks")</f>
        <v>Drinks</v>
      </c>
      <c r="F1441" s="23">
        <f>IFERROR(__xludf.DUMMYFUNCTION("""COMPUTED_VALUE"""),44783.60377550926)</f>
        <v>44783.60378</v>
      </c>
      <c r="G1441" s="24" t="str">
        <f>IFERROR(__xludf.DUMMYFUNCTION("""COMPUTED_VALUE"""),"Dorja ")</f>
        <v>Dorja </v>
      </c>
      <c r="H1441" s="24">
        <f>IFERROR(__xludf.DUMMYFUNCTION("""COMPUTED_VALUE"""),191.0)</f>
        <v>191</v>
      </c>
      <c r="I1441" s="24" t="str">
        <f>IFERROR(__xludf.DUMMYFUNCTION("""COMPUTED_VALUE"""),"Amazon")</f>
        <v>Amazon</v>
      </c>
    </row>
    <row r="1442">
      <c r="A1442" s="23">
        <f>IFERROR(__xludf.DUMMYFUNCTION("""COMPUTED_VALUE"""),44787.58638804398)</f>
        <v>44787.58639</v>
      </c>
      <c r="B1442" s="24" t="str">
        <f>IFERROR(__xludf.DUMMYFUNCTION("""COMPUTED_VALUE"""),"Claire")</f>
        <v>Claire</v>
      </c>
      <c r="C1442" s="24">
        <f>IFERROR(__xludf.DUMMYFUNCTION("""COMPUTED_VALUE"""),79.0)</f>
        <v>79</v>
      </c>
      <c r="D1442" s="24" t="str">
        <f>IFERROR(__xludf.DUMMYFUNCTION("""COMPUTED_VALUE"""),"Assorted option")</f>
        <v>Assorted option</v>
      </c>
      <c r="F1442" s="23">
        <f>IFERROR(__xludf.DUMMYFUNCTION("""COMPUTED_VALUE"""),44783.70347447917)</f>
        <v>44783.70347</v>
      </c>
      <c r="G1442" s="24" t="str">
        <f>IFERROR(__xludf.DUMMYFUNCTION("""COMPUTED_VALUE"""),"Dorja ")</f>
        <v>Dorja </v>
      </c>
      <c r="H1442" s="24">
        <f>IFERROR(__xludf.DUMMYFUNCTION("""COMPUTED_VALUE"""),470.0)</f>
        <v>470</v>
      </c>
      <c r="I1442" s="24" t="str">
        <f>IFERROR(__xludf.DUMMYFUNCTION("""COMPUTED_VALUE"""),"First Fruits Farm")</f>
        <v>First Fruits Farm</v>
      </c>
    </row>
    <row r="1443">
      <c r="A1443" s="23">
        <f>IFERROR(__xludf.DUMMYFUNCTION("""COMPUTED_VALUE"""),44787.0)</f>
        <v>44787</v>
      </c>
      <c r="B1443" s="24" t="str">
        <f>IFERROR(__xludf.DUMMYFUNCTION("""COMPUTED_VALUE"""),"Claire")</f>
        <v>Claire</v>
      </c>
      <c r="C1443" s="24">
        <f>IFERROR(__xludf.DUMMYFUNCTION("""COMPUTED_VALUE"""),680.0)</f>
        <v>680</v>
      </c>
      <c r="D1443" s="24" t="str">
        <f>IFERROR(__xludf.DUMMYFUNCTION("""COMPUTED_VALUE"""),"Assorted option")</f>
        <v>Assorted option</v>
      </c>
      <c r="F1443" s="23">
        <f>IFERROR(__xludf.DUMMYFUNCTION("""COMPUTED_VALUE"""),44783.705770636574)</f>
        <v>44783.70577</v>
      </c>
      <c r="G1443" s="24" t="str">
        <f>IFERROR(__xludf.DUMMYFUNCTION("""COMPUTED_VALUE"""),"Debra Davis")</f>
        <v>Debra Davis</v>
      </c>
      <c r="H1443" s="24">
        <f>IFERROR(__xludf.DUMMYFUNCTION("""COMPUTED_VALUE"""),20.0)</f>
        <v>20</v>
      </c>
      <c r="I1443" s="24"/>
    </row>
    <row r="1444">
      <c r="A1444" s="23">
        <f>IFERROR(__xludf.DUMMYFUNCTION("""COMPUTED_VALUE"""),44787.66458958333)</f>
        <v>44787.66459</v>
      </c>
      <c r="B1444" s="24" t="str">
        <f>IFERROR(__xludf.DUMMYFUNCTION("""COMPUTED_VALUE"""),"Trqvis")</f>
        <v>Trqvis</v>
      </c>
      <c r="C1444" s="24">
        <f>IFERROR(__xludf.DUMMYFUNCTION("""COMPUTED_VALUE"""),20.0)</f>
        <v>20</v>
      </c>
      <c r="D1444" s="24" t="str">
        <f>IFERROR(__xludf.DUMMYFUNCTION("""COMPUTED_VALUE"""),"Assorted option")</f>
        <v>Assorted option</v>
      </c>
      <c r="F1444" s="23">
        <f>IFERROR(__xludf.DUMMYFUNCTION("""COMPUTED_VALUE"""),44783.707530462954)</f>
        <v>44783.70753</v>
      </c>
      <c r="G1444" s="24" t="str">
        <f>IFERROR(__xludf.DUMMYFUNCTION("""COMPUTED_VALUE"""),"Dorja ")</f>
        <v>Dorja </v>
      </c>
      <c r="H1444" s="24">
        <f>IFERROR(__xludf.DUMMYFUNCTION("""COMPUTED_VALUE"""),699.0)</f>
        <v>699</v>
      </c>
      <c r="I1444" s="24" t="str">
        <f>IFERROR(__xludf.DUMMYFUNCTION("""COMPUTED_VALUE"""),"Fresh Fruit Farm")</f>
        <v>Fresh Fruit Farm</v>
      </c>
    </row>
    <row r="1445">
      <c r="A1445" s="23">
        <f>IFERROR(__xludf.DUMMYFUNCTION("""COMPUTED_VALUE"""),44790.653717037036)</f>
        <v>44790.65372</v>
      </c>
      <c r="B1445" s="24" t="str">
        <f>IFERROR(__xludf.DUMMYFUNCTION("""COMPUTED_VALUE"""),"Claire")</f>
        <v>Claire</v>
      </c>
      <c r="C1445" s="24">
        <f>IFERROR(__xludf.DUMMYFUNCTION("""COMPUTED_VALUE"""),497.0)</f>
        <v>497</v>
      </c>
      <c r="D1445" s="24" t="str">
        <f>IFERROR(__xludf.DUMMYFUNCTION("""COMPUTED_VALUE"""),"Drinks")</f>
        <v>Drinks</v>
      </c>
      <c r="F1445" s="23">
        <f>IFERROR(__xludf.DUMMYFUNCTION("""COMPUTED_VALUE"""),44783.70782326389)</f>
        <v>44783.70782</v>
      </c>
      <c r="G1445" s="24" t="str">
        <f>IFERROR(__xludf.DUMMYFUNCTION("""COMPUTED_VALUE"""),"Dorja ")</f>
        <v>Dorja </v>
      </c>
      <c r="H1445" s="24">
        <f>IFERROR(__xludf.DUMMYFUNCTION("""COMPUTED_VALUE"""),546.0)</f>
        <v>546</v>
      </c>
      <c r="I1445" s="24" t="str">
        <f>IFERROR(__xludf.DUMMYFUNCTION("""COMPUTED_VALUE"""),"FFF")</f>
        <v>FFF</v>
      </c>
    </row>
    <row r="1446">
      <c r="A1446" s="23">
        <f>IFERROR(__xludf.DUMMYFUNCTION("""COMPUTED_VALUE"""),44790.65403543982)</f>
        <v>44790.65404</v>
      </c>
      <c r="B1446" s="24" t="str">
        <f>IFERROR(__xludf.DUMMYFUNCTION("""COMPUTED_VALUE"""),"Claire")</f>
        <v>Claire</v>
      </c>
      <c r="C1446" s="24">
        <f>IFERROR(__xludf.DUMMYFUNCTION("""COMPUTED_VALUE"""),207.0)</f>
        <v>207</v>
      </c>
      <c r="D1446" s="24" t="str">
        <f>IFERROR(__xludf.DUMMYFUNCTION("""COMPUTED_VALUE"""),"Shoes")</f>
        <v>Shoes</v>
      </c>
      <c r="F1446" s="23">
        <f>IFERROR(__xludf.DUMMYFUNCTION("""COMPUTED_VALUE"""),44783.7080978588)</f>
        <v>44783.7081</v>
      </c>
      <c r="G1446" s="24" t="str">
        <f>IFERROR(__xludf.DUMMYFUNCTION("""COMPUTED_VALUE"""),"Dorja ")</f>
        <v>Dorja </v>
      </c>
      <c r="H1446" s="24">
        <f>IFERROR(__xludf.DUMMYFUNCTION("""COMPUTED_VALUE"""),576.0)</f>
        <v>576</v>
      </c>
      <c r="I1446" s="24" t="str">
        <f>IFERROR(__xludf.DUMMYFUNCTION("""COMPUTED_VALUE"""),"FFF")</f>
        <v>FFF</v>
      </c>
    </row>
    <row r="1447">
      <c r="A1447" s="23">
        <f>IFERROR(__xludf.DUMMYFUNCTION("""COMPUTED_VALUE"""),44790.65428420139)</f>
        <v>44790.65428</v>
      </c>
      <c r="B1447" s="24" t="str">
        <f>IFERROR(__xludf.DUMMYFUNCTION("""COMPUTED_VALUE"""),"Claire")</f>
        <v>Claire</v>
      </c>
      <c r="C1447" s="24">
        <f>IFERROR(__xludf.DUMMYFUNCTION("""COMPUTED_VALUE"""),725.0)</f>
        <v>725</v>
      </c>
      <c r="D1447" s="24" t="str">
        <f>IFERROR(__xludf.DUMMYFUNCTION("""COMPUTED_VALUE"""),"Dairy")</f>
        <v>Dairy</v>
      </c>
      <c r="F1447" s="23">
        <f>IFERROR(__xludf.DUMMYFUNCTION("""COMPUTED_VALUE"""),44783.736197384256)</f>
        <v>44783.7362</v>
      </c>
      <c r="G1447" s="24" t="str">
        <f>IFERROR(__xludf.DUMMYFUNCTION("""COMPUTED_VALUE"""),"Karen")</f>
        <v>Karen</v>
      </c>
      <c r="H1447" s="24">
        <f>IFERROR(__xludf.DUMMYFUNCTION("""COMPUTED_VALUE"""),17.0)</f>
        <v>17</v>
      </c>
      <c r="I1447" s="24"/>
    </row>
    <row r="1448">
      <c r="A1448" s="23">
        <f>IFERROR(__xludf.DUMMYFUNCTION("""COMPUTED_VALUE"""),44790.65573839121)</f>
        <v>44790.65574</v>
      </c>
      <c r="B1448" s="24" t="str">
        <f>IFERROR(__xludf.DUMMYFUNCTION("""COMPUTED_VALUE"""),"Claire")</f>
        <v>Claire</v>
      </c>
      <c r="C1448" s="24">
        <f>IFERROR(__xludf.DUMMYFUNCTION("""COMPUTED_VALUE"""),217.0)</f>
        <v>217</v>
      </c>
      <c r="D1448" s="24" t="str">
        <f>IFERROR(__xludf.DUMMYFUNCTION("""COMPUTED_VALUE"""),"Meat")</f>
        <v>Meat</v>
      </c>
      <c r="F1448" s="23">
        <f>IFERROR(__xludf.DUMMYFUNCTION("""COMPUTED_VALUE"""),44783.736371770836)</f>
        <v>44783.73637</v>
      </c>
      <c r="G1448" s="24" t="str">
        <f>IFERROR(__xludf.DUMMYFUNCTION("""COMPUTED_VALUE"""),"Karen")</f>
        <v>Karen</v>
      </c>
      <c r="H1448" s="24">
        <f>IFERROR(__xludf.DUMMYFUNCTION("""COMPUTED_VALUE"""),24.0)</f>
        <v>24</v>
      </c>
      <c r="I1448" s="24"/>
    </row>
    <row r="1449">
      <c r="A1449" s="23">
        <f>IFERROR(__xludf.DUMMYFUNCTION("""COMPUTED_VALUE"""),44792.65376528935)</f>
        <v>44792.65377</v>
      </c>
      <c r="B1449" s="24" t="str">
        <f>IFERROR(__xludf.DUMMYFUNCTION("""COMPUTED_VALUE"""),"Jean")</f>
        <v>Jean</v>
      </c>
      <c r="C1449" s="24">
        <f>IFERROR(__xludf.DUMMYFUNCTION("""COMPUTED_VALUE"""),130.0)</f>
        <v>130</v>
      </c>
      <c r="D1449" s="24" t="str">
        <f>IFERROR(__xludf.DUMMYFUNCTION("""COMPUTED_VALUE"""),"Shoes")</f>
        <v>Shoes</v>
      </c>
      <c r="F1449" s="23">
        <f>IFERROR(__xludf.DUMMYFUNCTION("""COMPUTED_VALUE"""),44784.0)</f>
        <v>44784</v>
      </c>
      <c r="G1449" s="24" t="str">
        <f>IFERROR(__xludf.DUMMYFUNCTION("""COMPUTED_VALUE"""),"Denise Brown")</f>
        <v>Denise Brown</v>
      </c>
      <c r="H1449" s="24">
        <f>IFERROR(__xludf.DUMMYFUNCTION("""COMPUTED_VALUE"""),18.0)</f>
        <v>18</v>
      </c>
      <c r="I1449" s="24"/>
    </row>
    <row r="1450">
      <c r="A1450" s="23">
        <f>IFERROR(__xludf.DUMMYFUNCTION("""COMPUTED_VALUE"""),44792.65461434028)</f>
        <v>44792.65461</v>
      </c>
      <c r="B1450" s="24" t="str">
        <f>IFERROR(__xludf.DUMMYFUNCTION("""COMPUTED_VALUE"""),"Jean")</f>
        <v>Jean</v>
      </c>
      <c r="C1450" s="24">
        <f>IFERROR(__xludf.DUMMYFUNCTION("""COMPUTED_VALUE"""),221.0)</f>
        <v>221</v>
      </c>
      <c r="D1450" s="24" t="str">
        <f>IFERROR(__xludf.DUMMYFUNCTION("""COMPUTED_VALUE"""),"Snacks")</f>
        <v>Snacks</v>
      </c>
      <c r="F1450" s="23">
        <f>IFERROR(__xludf.DUMMYFUNCTION("""COMPUTED_VALUE"""),44784.0)</f>
        <v>44784</v>
      </c>
      <c r="G1450" s="24" t="str">
        <f>IFERROR(__xludf.DUMMYFUNCTION("""COMPUTED_VALUE"""),"Hong Xue")</f>
        <v>Hong Xue</v>
      </c>
      <c r="H1450" s="24">
        <f>IFERROR(__xludf.DUMMYFUNCTION("""COMPUTED_VALUE"""),20.0)</f>
        <v>20</v>
      </c>
      <c r="I1450" s="24"/>
    </row>
    <row r="1451">
      <c r="A1451" s="23">
        <f>IFERROR(__xludf.DUMMYFUNCTION("""COMPUTED_VALUE"""),44792.655906099535)</f>
        <v>44792.65591</v>
      </c>
      <c r="B1451" s="24" t="str">
        <f>IFERROR(__xludf.DUMMYFUNCTION("""COMPUTED_VALUE"""),"Jean")</f>
        <v>Jean</v>
      </c>
      <c r="C1451" s="24">
        <f>IFERROR(__xludf.DUMMYFUNCTION("""COMPUTED_VALUE"""),629.0)</f>
        <v>629</v>
      </c>
      <c r="D1451" s="24" t="str">
        <f>IFERROR(__xludf.DUMMYFUNCTION("""COMPUTED_VALUE"""),"Drinks")</f>
        <v>Drinks</v>
      </c>
      <c r="F1451" s="23">
        <f>IFERROR(__xludf.DUMMYFUNCTION("""COMPUTED_VALUE"""),44784.0)</f>
        <v>44784</v>
      </c>
      <c r="G1451" s="24" t="str">
        <f>IFERROR(__xludf.DUMMYFUNCTION("""COMPUTED_VALUE"""),"Hong Xue")</f>
        <v>Hong Xue</v>
      </c>
      <c r="H1451" s="24">
        <f>IFERROR(__xludf.DUMMYFUNCTION("""COMPUTED_VALUE"""),22.0)</f>
        <v>22</v>
      </c>
      <c r="I1451" s="24"/>
    </row>
    <row r="1452">
      <c r="A1452" s="23">
        <f>IFERROR(__xludf.DUMMYFUNCTION("""COMPUTED_VALUE"""),44792.656469629634)</f>
        <v>44792.65647</v>
      </c>
      <c r="B1452" s="24" t="str">
        <f>IFERROR(__xludf.DUMMYFUNCTION("""COMPUTED_VALUE"""),"Jean")</f>
        <v>Jean</v>
      </c>
      <c r="C1452" s="24">
        <f>IFERROR(__xludf.DUMMYFUNCTION("""COMPUTED_VALUE"""),439.0)</f>
        <v>439</v>
      </c>
      <c r="D1452" s="24" t="str">
        <f>IFERROR(__xludf.DUMMYFUNCTION("""COMPUTED_VALUE"""),"Produce")</f>
        <v>Produce</v>
      </c>
      <c r="F1452" s="23">
        <f>IFERROR(__xludf.DUMMYFUNCTION("""COMPUTED_VALUE"""),44784.0)</f>
        <v>44784</v>
      </c>
      <c r="G1452" s="24" t="str">
        <f>IFERROR(__xludf.DUMMYFUNCTION("""COMPUTED_VALUE"""),"Sheneil Black")</f>
        <v>Sheneil Black</v>
      </c>
      <c r="H1452" s="24">
        <f>IFERROR(__xludf.DUMMYFUNCTION("""COMPUTED_VALUE"""),19.0)</f>
        <v>19</v>
      </c>
      <c r="I1452" s="24"/>
    </row>
    <row r="1453">
      <c r="A1453" s="23">
        <f>IFERROR(__xludf.DUMMYFUNCTION("""COMPUTED_VALUE"""),44792.657092187495)</f>
        <v>44792.65709</v>
      </c>
      <c r="B1453" s="24" t="str">
        <f>IFERROR(__xludf.DUMMYFUNCTION("""COMPUTED_VALUE"""),"Jean")</f>
        <v>Jean</v>
      </c>
      <c r="C1453" s="24">
        <f>IFERROR(__xludf.DUMMYFUNCTION("""COMPUTED_VALUE"""),325.0)</f>
        <v>325</v>
      </c>
      <c r="D1453" s="24" t="str">
        <f>IFERROR(__xludf.DUMMYFUNCTION("""COMPUTED_VALUE"""),"Meat")</f>
        <v>Meat</v>
      </c>
      <c r="F1453" s="23">
        <f>IFERROR(__xludf.DUMMYFUNCTION("""COMPUTED_VALUE"""),44784.0)</f>
        <v>44784</v>
      </c>
      <c r="G1453" s="24" t="str">
        <f>IFERROR(__xludf.DUMMYFUNCTION("""COMPUTED_VALUE"""),"Sheneil Black")</f>
        <v>Sheneil Black</v>
      </c>
      <c r="H1453" s="24">
        <f>IFERROR(__xludf.DUMMYFUNCTION("""COMPUTED_VALUE"""),1.0)</f>
        <v>1</v>
      </c>
      <c r="I1453" s="24"/>
    </row>
    <row r="1454">
      <c r="A1454" s="23">
        <f>IFERROR(__xludf.DUMMYFUNCTION("""COMPUTED_VALUE"""),44792.693954780094)</f>
        <v>44792.69395</v>
      </c>
      <c r="B1454" s="24" t="str">
        <f>IFERROR(__xludf.DUMMYFUNCTION("""COMPUTED_VALUE"""),"Sunita pathik")</f>
        <v>Sunita pathik</v>
      </c>
      <c r="C1454" s="24">
        <f>IFERROR(__xludf.DUMMYFUNCTION("""COMPUTED_VALUE"""),98.0)</f>
        <v>98</v>
      </c>
      <c r="D1454" s="24" t="str">
        <f>IFERROR(__xludf.DUMMYFUNCTION("""COMPUTED_VALUE"""),"Assorted option")</f>
        <v>Assorted option</v>
      </c>
      <c r="F1454" s="23">
        <f>IFERROR(__xludf.DUMMYFUNCTION("""COMPUTED_VALUE"""),44784.0)</f>
        <v>44784</v>
      </c>
      <c r="G1454" s="24" t="str">
        <f>IFERROR(__xludf.DUMMYFUNCTION("""COMPUTED_VALUE"""),"Zach Spencer")</f>
        <v>Zach Spencer</v>
      </c>
      <c r="H1454" s="24">
        <f>IFERROR(__xludf.DUMMYFUNCTION("""COMPUTED_VALUE"""),20.0)</f>
        <v>20</v>
      </c>
      <c r="I1454" s="24"/>
    </row>
    <row r="1455">
      <c r="A1455" s="23">
        <f>IFERROR(__xludf.DUMMYFUNCTION("""COMPUTED_VALUE"""),44793.73447861111)</f>
        <v>44793.73448</v>
      </c>
      <c r="B1455" s="24" t="str">
        <f>IFERROR(__xludf.DUMMYFUNCTION("""COMPUTED_VALUE"""),"Claire")</f>
        <v>Claire</v>
      </c>
      <c r="C1455" s="24">
        <f>IFERROR(__xludf.DUMMYFUNCTION("""COMPUTED_VALUE"""),466.0)</f>
        <v>466</v>
      </c>
      <c r="D1455" s="24" t="str">
        <f>IFERROR(__xludf.DUMMYFUNCTION("""COMPUTED_VALUE"""),"Trash bags")</f>
        <v>Trash bags</v>
      </c>
      <c r="F1455" s="23">
        <f>IFERROR(__xludf.DUMMYFUNCTION("""COMPUTED_VALUE"""),44784.0)</f>
        <v>44784</v>
      </c>
      <c r="G1455" s="24" t="str">
        <f>IFERROR(__xludf.DUMMYFUNCTION("""COMPUTED_VALUE"""),"Zach Spencer")</f>
        <v>Zach Spencer</v>
      </c>
      <c r="H1455" s="24">
        <f>IFERROR(__xludf.DUMMYFUNCTION("""COMPUTED_VALUE"""),2.0)</f>
        <v>2</v>
      </c>
      <c r="I1455" s="24"/>
    </row>
    <row r="1456">
      <c r="A1456" s="23">
        <f>IFERROR(__xludf.DUMMYFUNCTION("""COMPUTED_VALUE"""),44793.73469583334)</f>
        <v>44793.7347</v>
      </c>
      <c r="B1456" s="24" t="str">
        <f>IFERROR(__xludf.DUMMYFUNCTION("""COMPUTED_VALUE"""),"Claire")</f>
        <v>Claire</v>
      </c>
      <c r="C1456" s="24">
        <f>IFERROR(__xludf.DUMMYFUNCTION("""COMPUTED_VALUE"""),315.0)</f>
        <v>315</v>
      </c>
      <c r="D1456" s="24" t="str">
        <f>IFERROR(__xludf.DUMMYFUNCTION("""COMPUTED_VALUE"""),"Trash bags")</f>
        <v>Trash bags</v>
      </c>
      <c r="F1456" s="23">
        <f>IFERROR(__xludf.DUMMYFUNCTION("""COMPUTED_VALUE"""),44784.0)</f>
        <v>44784</v>
      </c>
      <c r="G1456" s="24" t="str">
        <f>IFERROR(__xludf.DUMMYFUNCTION("""COMPUTED_VALUE"""),"Monah Perry")</f>
        <v>Monah Perry</v>
      </c>
      <c r="H1456" s="24">
        <f>IFERROR(__xludf.DUMMYFUNCTION("""COMPUTED_VALUE"""),20.0)</f>
        <v>20</v>
      </c>
      <c r="I1456" s="24"/>
    </row>
    <row r="1457">
      <c r="A1457" s="23">
        <f>IFERROR(__xludf.DUMMYFUNCTION("""COMPUTED_VALUE"""),44793.73488894676)</f>
        <v>44793.73489</v>
      </c>
      <c r="B1457" s="24" t="str">
        <f>IFERROR(__xludf.DUMMYFUNCTION("""COMPUTED_VALUE"""),"Claire")</f>
        <v>Claire</v>
      </c>
      <c r="C1457" s="24">
        <f>IFERROR(__xludf.DUMMYFUNCTION("""COMPUTED_VALUE"""),776.0)</f>
        <v>776</v>
      </c>
      <c r="D1457" s="24" t="str">
        <f>IFERROR(__xludf.DUMMYFUNCTION("""COMPUTED_VALUE"""),"Snacks")</f>
        <v>Snacks</v>
      </c>
      <c r="F1457" s="23">
        <f>IFERROR(__xludf.DUMMYFUNCTION("""COMPUTED_VALUE"""),44784.0)</f>
        <v>44784</v>
      </c>
      <c r="G1457" s="24" t="str">
        <f>IFERROR(__xludf.DUMMYFUNCTION("""COMPUTED_VALUE"""),"Monah Perry")</f>
        <v>Monah Perry</v>
      </c>
      <c r="H1457" s="24">
        <f>IFERROR(__xludf.DUMMYFUNCTION("""COMPUTED_VALUE"""),20.0)</f>
        <v>20</v>
      </c>
      <c r="I1457" s="24"/>
    </row>
    <row r="1458">
      <c r="A1458" s="23">
        <f>IFERROR(__xludf.DUMMYFUNCTION("""COMPUTED_VALUE"""),44793.735413055554)</f>
        <v>44793.73541</v>
      </c>
      <c r="B1458" s="24" t="str">
        <f>IFERROR(__xludf.DUMMYFUNCTION("""COMPUTED_VALUE"""),"Claire")</f>
        <v>Claire</v>
      </c>
      <c r="C1458" s="24">
        <f>IFERROR(__xludf.DUMMYFUNCTION("""COMPUTED_VALUE"""),218.0)</f>
        <v>218</v>
      </c>
      <c r="D1458" s="24" t="str">
        <f>IFERROR(__xludf.DUMMYFUNCTION("""COMPUTED_VALUE"""),"Snacks")</f>
        <v>Snacks</v>
      </c>
      <c r="F1458" s="23">
        <f>IFERROR(__xludf.DUMMYFUNCTION("""COMPUTED_VALUE"""),44784.69478831018)</f>
        <v>44784.69479</v>
      </c>
      <c r="G1458" s="24" t="str">
        <f>IFERROR(__xludf.DUMMYFUNCTION("""COMPUTED_VALUE"""),"Claire")</f>
        <v>Claire</v>
      </c>
      <c r="H1458" s="24">
        <f>IFERROR(__xludf.DUMMYFUNCTION("""COMPUTED_VALUE"""),702.0)</f>
        <v>702</v>
      </c>
      <c r="I1458" s="24" t="str">
        <f>IFERROR(__xludf.DUMMYFUNCTION("""COMPUTED_VALUE"""),"Assort mix")</f>
        <v>Assort mix</v>
      </c>
    </row>
    <row r="1459">
      <c r="A1459" s="23">
        <f>IFERROR(__xludf.DUMMYFUNCTION("""COMPUTED_VALUE"""),44793.73570917824)</f>
        <v>44793.73571</v>
      </c>
      <c r="B1459" s="24" t="str">
        <f>IFERROR(__xludf.DUMMYFUNCTION("""COMPUTED_VALUE"""),"Claire")</f>
        <v>Claire</v>
      </c>
      <c r="C1459" s="24">
        <f>IFERROR(__xludf.DUMMYFUNCTION("""COMPUTED_VALUE"""),273.0)</f>
        <v>273</v>
      </c>
      <c r="D1459" s="24" t="str">
        <f>IFERROR(__xludf.DUMMYFUNCTION("""COMPUTED_VALUE"""),"Personal care")</f>
        <v>Personal care</v>
      </c>
      <c r="F1459" s="23">
        <f>IFERROR(__xludf.DUMMYFUNCTION("""COMPUTED_VALUE"""),44784.69503938658)</f>
        <v>44784.69504</v>
      </c>
      <c r="G1459" s="24" t="str">
        <f>IFERROR(__xludf.DUMMYFUNCTION("""COMPUTED_VALUE"""),"Claire")</f>
        <v>Claire</v>
      </c>
      <c r="H1459" s="24">
        <f>IFERROR(__xludf.DUMMYFUNCTION("""COMPUTED_VALUE"""),405.0)</f>
        <v>405</v>
      </c>
      <c r="I1459" s="24" t="str">
        <f>IFERROR(__xludf.DUMMYFUNCTION("""COMPUTED_VALUE"""),"Produce")</f>
        <v>Produce</v>
      </c>
    </row>
    <row r="1460">
      <c r="A1460" s="23">
        <f>IFERROR(__xludf.DUMMYFUNCTION("""COMPUTED_VALUE"""),44793.73592958333)</f>
        <v>44793.73593</v>
      </c>
      <c r="B1460" s="24" t="str">
        <f>IFERROR(__xludf.DUMMYFUNCTION("""COMPUTED_VALUE"""),"Claire")</f>
        <v>Claire</v>
      </c>
      <c r="C1460" s="24">
        <f>IFERROR(__xludf.DUMMYFUNCTION("""COMPUTED_VALUE"""),1923.0)</f>
        <v>1923</v>
      </c>
      <c r="D1460" s="24" t="str">
        <f>IFERROR(__xludf.DUMMYFUNCTION("""COMPUTED_VALUE"""),"Drinks")</f>
        <v>Drinks</v>
      </c>
      <c r="F1460" s="23">
        <f>IFERROR(__xludf.DUMMYFUNCTION("""COMPUTED_VALUE"""),44784.696412453704)</f>
        <v>44784.69641</v>
      </c>
      <c r="G1460" s="24" t="str">
        <f>IFERROR(__xludf.DUMMYFUNCTION("""COMPUTED_VALUE"""),"DeAuntae Corry")</f>
        <v>DeAuntae Corry</v>
      </c>
      <c r="H1460" s="24">
        <f>IFERROR(__xludf.DUMMYFUNCTION("""COMPUTED_VALUE"""),20.0)</f>
        <v>20</v>
      </c>
      <c r="I1460" s="24"/>
    </row>
    <row r="1461">
      <c r="A1461" s="23">
        <f>IFERROR(__xludf.DUMMYFUNCTION("""COMPUTED_VALUE"""),44793.73613405093)</f>
        <v>44793.73613</v>
      </c>
      <c r="B1461" s="24" t="str">
        <f>IFERROR(__xludf.DUMMYFUNCTION("""COMPUTED_VALUE"""),"Claire")</f>
        <v>Claire</v>
      </c>
      <c r="C1461" s="24">
        <f>IFERROR(__xludf.DUMMYFUNCTION("""COMPUTED_VALUE"""),705.0)</f>
        <v>705</v>
      </c>
      <c r="D1461" s="24" t="str">
        <f>IFERROR(__xludf.DUMMYFUNCTION("""COMPUTED_VALUE"""),"Produce")</f>
        <v>Produce</v>
      </c>
      <c r="F1461" s="23">
        <f>IFERROR(__xludf.DUMMYFUNCTION("""COMPUTED_VALUE"""),44784.697981053236)</f>
        <v>44784.69798</v>
      </c>
      <c r="G1461" s="24" t="str">
        <f>IFERROR(__xludf.DUMMYFUNCTION("""COMPUTED_VALUE"""),"DeAuntae ")</f>
        <v>DeAuntae </v>
      </c>
      <c r="H1461" s="24">
        <f>IFERROR(__xludf.DUMMYFUNCTION("""COMPUTED_VALUE"""),16.0)</f>
        <v>16</v>
      </c>
      <c r="I1461" s="24"/>
    </row>
    <row r="1462">
      <c r="A1462" s="23">
        <f>IFERROR(__xludf.DUMMYFUNCTION("""COMPUTED_VALUE"""),44793.736307037034)</f>
        <v>44793.73631</v>
      </c>
      <c r="B1462" s="24" t="str">
        <f>IFERROR(__xludf.DUMMYFUNCTION("""COMPUTED_VALUE"""),"Claire")</f>
        <v>Claire</v>
      </c>
      <c r="C1462" s="24">
        <f>IFERROR(__xludf.DUMMYFUNCTION("""COMPUTED_VALUE"""),706.0)</f>
        <v>706</v>
      </c>
      <c r="D1462" s="24" t="str">
        <f>IFERROR(__xludf.DUMMYFUNCTION("""COMPUTED_VALUE"""),"Cabbage")</f>
        <v>Cabbage</v>
      </c>
      <c r="F1462" s="23">
        <f>IFERROR(__xludf.DUMMYFUNCTION("""COMPUTED_VALUE"""),44784.710093090274)</f>
        <v>44784.71009</v>
      </c>
      <c r="G1462" s="24" t="str">
        <f>IFERROR(__xludf.DUMMYFUNCTION("""COMPUTED_VALUE"""),"Norma Kriger")</f>
        <v>Norma Kriger</v>
      </c>
      <c r="H1462" s="24">
        <f>IFERROR(__xludf.DUMMYFUNCTION("""COMPUTED_VALUE"""),16.0)</f>
        <v>16</v>
      </c>
      <c r="I1462" s="24"/>
    </row>
    <row r="1463">
      <c r="A1463" s="23">
        <f>IFERROR(__xludf.DUMMYFUNCTION("""COMPUTED_VALUE"""),44793.736523263884)</f>
        <v>44793.73652</v>
      </c>
      <c r="B1463" s="24" t="str">
        <f>IFERROR(__xludf.DUMMYFUNCTION("""COMPUTED_VALUE"""),"Claire")</f>
        <v>Claire</v>
      </c>
      <c r="C1463" s="24">
        <f>IFERROR(__xludf.DUMMYFUNCTION("""COMPUTED_VALUE"""),598.0)</f>
        <v>598</v>
      </c>
      <c r="D1463" s="24" t="str">
        <f>IFERROR(__xludf.DUMMYFUNCTION("""COMPUTED_VALUE"""),"Produce bags")</f>
        <v>Produce bags</v>
      </c>
      <c r="F1463" s="23">
        <f>IFERROR(__xludf.DUMMYFUNCTION("""COMPUTED_VALUE"""),44785.0)</f>
        <v>44785</v>
      </c>
      <c r="G1463" s="24" t="str">
        <f>IFERROR(__xludf.DUMMYFUNCTION("""COMPUTED_VALUE"""),"Claire")</f>
        <v>Claire</v>
      </c>
      <c r="H1463" s="24">
        <f>IFERROR(__xludf.DUMMYFUNCTION("""COMPUTED_VALUE"""),182.0)</f>
        <v>182</v>
      </c>
      <c r="I1463" s="24" t="str">
        <f>IFERROR(__xludf.DUMMYFUNCTION("""COMPUTED_VALUE"""),"Snacks")</f>
        <v>Snacks</v>
      </c>
    </row>
    <row r="1464">
      <c r="A1464" s="23">
        <f>IFERROR(__xludf.DUMMYFUNCTION("""COMPUTED_VALUE"""),44793.736740949076)</f>
        <v>44793.73674</v>
      </c>
      <c r="B1464" s="24" t="str">
        <f>IFERROR(__xludf.DUMMYFUNCTION("""COMPUTED_VALUE"""),"Claire")</f>
        <v>Claire</v>
      </c>
      <c r="C1464" s="24">
        <f>IFERROR(__xludf.DUMMYFUNCTION("""COMPUTED_VALUE"""),627.0)</f>
        <v>627</v>
      </c>
      <c r="D1464" s="24" t="str">
        <f>IFERROR(__xludf.DUMMYFUNCTION("""COMPUTED_VALUE"""),"Produce bags")</f>
        <v>Produce bags</v>
      </c>
      <c r="F1464" s="23">
        <f>IFERROR(__xludf.DUMMYFUNCTION("""COMPUTED_VALUE"""),44785.0)</f>
        <v>44785</v>
      </c>
      <c r="G1464" s="24" t="str">
        <f>IFERROR(__xludf.DUMMYFUNCTION("""COMPUTED_VALUE"""),"Claire")</f>
        <v>Claire</v>
      </c>
      <c r="H1464" s="24">
        <f>IFERROR(__xludf.DUMMYFUNCTION("""COMPUTED_VALUE"""),609.0)</f>
        <v>609</v>
      </c>
      <c r="I1464" s="24" t="str">
        <f>IFERROR(__xludf.DUMMYFUNCTION("""COMPUTED_VALUE"""),"Produce")</f>
        <v>Produce</v>
      </c>
    </row>
    <row r="1465">
      <c r="A1465" s="23">
        <f>IFERROR(__xludf.DUMMYFUNCTION("""COMPUTED_VALUE"""),44793.736962407405)</f>
        <v>44793.73696</v>
      </c>
      <c r="B1465" s="24" t="str">
        <f>IFERROR(__xludf.DUMMYFUNCTION("""COMPUTED_VALUE"""),"Claire")</f>
        <v>Claire</v>
      </c>
      <c r="C1465" s="24">
        <f>IFERROR(__xludf.DUMMYFUNCTION("""COMPUTED_VALUE"""),1311.0)</f>
        <v>1311</v>
      </c>
      <c r="D1465" s="24" t="str">
        <f>IFERROR(__xludf.DUMMYFUNCTION("""COMPUTED_VALUE"""),"Juice")</f>
        <v>Juice</v>
      </c>
      <c r="F1465" s="23">
        <f>IFERROR(__xludf.DUMMYFUNCTION("""COMPUTED_VALUE"""),44785.0)</f>
        <v>44785</v>
      </c>
      <c r="G1465" s="24" t="str">
        <f>IFERROR(__xludf.DUMMYFUNCTION("""COMPUTED_VALUE"""),"Claire")</f>
        <v>Claire</v>
      </c>
      <c r="H1465" s="24">
        <f>IFERROR(__xludf.DUMMYFUNCTION("""COMPUTED_VALUE"""),349.0)</f>
        <v>349</v>
      </c>
      <c r="I1465" s="24" t="str">
        <f>IFERROR(__xludf.DUMMYFUNCTION("""COMPUTED_VALUE"""),"Dairy &amp; Meat")</f>
        <v>Dairy &amp; Meat</v>
      </c>
    </row>
    <row r="1466">
      <c r="A1466" s="23">
        <f>IFERROR(__xludf.DUMMYFUNCTION("""COMPUTED_VALUE"""),44793.737374548604)</f>
        <v>44793.73737</v>
      </c>
      <c r="B1466" s="24" t="str">
        <f>IFERROR(__xludf.DUMMYFUNCTION("""COMPUTED_VALUE"""),"Claire")</f>
        <v>Claire</v>
      </c>
      <c r="C1466" s="24">
        <f>IFERROR(__xludf.DUMMYFUNCTION("""COMPUTED_VALUE"""),-262.0)</f>
        <v>-262</v>
      </c>
      <c r="D1466" s="24" t="str">
        <f>IFERROR(__xludf.DUMMYFUNCTION("""COMPUTED_VALUE"""),"Produce")</f>
        <v>Produce</v>
      </c>
      <c r="F1466" s="23">
        <f>IFERROR(__xludf.DUMMYFUNCTION("""COMPUTED_VALUE"""),44785.0)</f>
        <v>44785</v>
      </c>
      <c r="G1466" s="24" t="str">
        <f>IFERROR(__xludf.DUMMYFUNCTION("""COMPUTED_VALUE"""),"Juanita C")</f>
        <v>Juanita C</v>
      </c>
      <c r="H1466" s="24">
        <f>IFERROR(__xludf.DUMMYFUNCTION("""COMPUTED_VALUE"""),13.0)</f>
        <v>13</v>
      </c>
      <c r="I1466" s="24"/>
    </row>
    <row r="1467">
      <c r="A1467" s="23">
        <f>IFERROR(__xludf.DUMMYFUNCTION("""COMPUTED_VALUE"""),44793.7375815162)</f>
        <v>44793.73758</v>
      </c>
      <c r="B1467" s="24" t="str">
        <f>IFERROR(__xludf.DUMMYFUNCTION("""COMPUTED_VALUE"""),"Claire")</f>
        <v>Claire</v>
      </c>
      <c r="C1467" s="24">
        <f>IFERROR(__xludf.DUMMYFUNCTION("""COMPUTED_VALUE"""),-656.0)</f>
        <v>-656</v>
      </c>
      <c r="D1467" s="24" t="str">
        <f>IFERROR(__xludf.DUMMYFUNCTION("""COMPUTED_VALUE"""),"Produce")</f>
        <v>Produce</v>
      </c>
      <c r="F1467" s="23">
        <f>IFERROR(__xludf.DUMMYFUNCTION("""COMPUTED_VALUE"""),44785.0)</f>
        <v>44785</v>
      </c>
      <c r="G1467" s="24" t="str">
        <f>IFERROR(__xludf.DUMMYFUNCTION("""COMPUTED_VALUE"""),"Juanita C")</f>
        <v>Juanita C</v>
      </c>
      <c r="H1467" s="24">
        <f>IFERROR(__xludf.DUMMYFUNCTION("""COMPUTED_VALUE"""),8.0)</f>
        <v>8</v>
      </c>
      <c r="I1467" s="24"/>
    </row>
    <row r="1468">
      <c r="A1468" s="23">
        <f>IFERROR(__xludf.DUMMYFUNCTION("""COMPUTED_VALUE"""),44793.737800023155)</f>
        <v>44793.7378</v>
      </c>
      <c r="B1468" s="24" t="str">
        <f>IFERROR(__xludf.DUMMYFUNCTION("""COMPUTED_VALUE"""),"Claire")</f>
        <v>Claire</v>
      </c>
      <c r="C1468" s="24">
        <f>IFERROR(__xludf.DUMMYFUNCTION("""COMPUTED_VALUE"""),-583.0)</f>
        <v>-583</v>
      </c>
      <c r="D1468" s="24" t="str">
        <f>IFERROR(__xludf.DUMMYFUNCTION("""COMPUTED_VALUE"""),"Meat")</f>
        <v>Meat</v>
      </c>
      <c r="F1468" s="23">
        <f>IFERROR(__xludf.DUMMYFUNCTION("""COMPUTED_VALUE"""),44785.0)</f>
        <v>44785</v>
      </c>
      <c r="G1468" s="24" t="str">
        <f>IFERROR(__xludf.DUMMYFUNCTION("""COMPUTED_VALUE"""),"Monah Perry")</f>
        <v>Monah Perry</v>
      </c>
      <c r="H1468" s="24">
        <f>IFERROR(__xludf.DUMMYFUNCTION("""COMPUTED_VALUE"""),20.0)</f>
        <v>20</v>
      </c>
      <c r="I1468" s="24"/>
    </row>
    <row r="1469">
      <c r="A1469" s="23">
        <f>IFERROR(__xludf.DUMMYFUNCTION("""COMPUTED_VALUE"""),44793.73798829861)</f>
        <v>44793.73799</v>
      </c>
      <c r="B1469" s="24" t="str">
        <f>IFERROR(__xludf.DUMMYFUNCTION("""COMPUTED_VALUE"""),"Claire")</f>
        <v>Claire</v>
      </c>
      <c r="C1469" s="24">
        <f>IFERROR(__xludf.DUMMYFUNCTION("""COMPUTED_VALUE"""),-424.0)</f>
        <v>-424</v>
      </c>
      <c r="D1469" s="24" t="str">
        <f>IFERROR(__xludf.DUMMYFUNCTION("""COMPUTED_VALUE"""),"Drinks")</f>
        <v>Drinks</v>
      </c>
      <c r="F1469" s="23">
        <f>IFERROR(__xludf.DUMMYFUNCTION("""COMPUTED_VALUE"""),44785.0)</f>
        <v>44785</v>
      </c>
      <c r="G1469" s="24" t="str">
        <f>IFERROR(__xludf.DUMMYFUNCTION("""COMPUTED_VALUE"""),"Monah Perry")</f>
        <v>Monah Perry</v>
      </c>
      <c r="H1469" s="24">
        <f>IFERROR(__xludf.DUMMYFUNCTION("""COMPUTED_VALUE"""),35.0)</f>
        <v>35</v>
      </c>
      <c r="I1469" s="24"/>
    </row>
    <row r="1470">
      <c r="A1470" s="23">
        <f>IFERROR(__xludf.DUMMYFUNCTION("""COMPUTED_VALUE"""),44793.73821157408)</f>
        <v>44793.73821</v>
      </c>
      <c r="B1470" s="24" t="str">
        <f>IFERROR(__xludf.DUMMYFUNCTION("""COMPUTED_VALUE"""),"Claire")</f>
        <v>Claire</v>
      </c>
      <c r="C1470" s="24">
        <f>IFERROR(__xludf.DUMMYFUNCTION("""COMPUTED_VALUE"""),-54.0)</f>
        <v>-54</v>
      </c>
      <c r="D1470" s="24" t="str">
        <f>IFERROR(__xludf.DUMMYFUNCTION("""COMPUTED_VALUE"""),"Frozen")</f>
        <v>Frozen</v>
      </c>
      <c r="F1470" s="23">
        <f>IFERROR(__xludf.DUMMYFUNCTION("""COMPUTED_VALUE"""),44785.0)</f>
        <v>44785</v>
      </c>
      <c r="G1470" s="24" t="str">
        <f>IFERROR(__xludf.DUMMYFUNCTION("""COMPUTED_VALUE"""),"Lynette c")</f>
        <v>Lynette c</v>
      </c>
      <c r="H1470" s="24">
        <f>IFERROR(__xludf.DUMMYFUNCTION("""COMPUTED_VALUE"""),20.0)</f>
        <v>20</v>
      </c>
      <c r="I1470" s="24"/>
    </row>
    <row r="1471">
      <c r="A1471" s="23">
        <f>IFERROR(__xludf.DUMMYFUNCTION("""COMPUTED_VALUE"""),44793.73853297454)</f>
        <v>44793.73853</v>
      </c>
      <c r="B1471" s="24" t="str">
        <f>IFERROR(__xludf.DUMMYFUNCTION("""COMPUTED_VALUE"""),"Claire")</f>
        <v>Claire</v>
      </c>
      <c r="C1471" s="24">
        <f>IFERROR(__xludf.DUMMYFUNCTION("""COMPUTED_VALUE"""),-1436.0)</f>
        <v>-1436</v>
      </c>
      <c r="D1471" s="24" t="str">
        <f>IFERROR(__xludf.DUMMYFUNCTION("""COMPUTED_VALUE"""),"Drinks ")</f>
        <v>Drinks </v>
      </c>
      <c r="F1471" s="23">
        <f>IFERROR(__xludf.DUMMYFUNCTION("""COMPUTED_VALUE"""),44785.0)</f>
        <v>44785</v>
      </c>
      <c r="G1471" s="24" t="str">
        <f>IFERROR(__xludf.DUMMYFUNCTION("""COMPUTED_VALUE"""),"Lynette c")</f>
        <v>Lynette c</v>
      </c>
      <c r="H1471" s="24">
        <f>IFERROR(__xludf.DUMMYFUNCTION("""COMPUTED_VALUE"""),26.0)</f>
        <v>26</v>
      </c>
      <c r="I1471" s="24"/>
    </row>
    <row r="1472">
      <c r="A1472" s="23">
        <f>IFERROR(__xludf.DUMMYFUNCTION("""COMPUTED_VALUE"""),44793.73875145834)</f>
        <v>44793.73875</v>
      </c>
      <c r="B1472" s="24" t="str">
        <f>IFERROR(__xludf.DUMMYFUNCTION("""COMPUTED_VALUE"""),"Claire")</f>
        <v>Claire</v>
      </c>
      <c r="C1472" s="24">
        <f>IFERROR(__xludf.DUMMYFUNCTION("""COMPUTED_VALUE"""),-391.0)</f>
        <v>-391</v>
      </c>
      <c r="D1472" s="24" t="str">
        <f>IFERROR(__xludf.DUMMYFUNCTION("""COMPUTED_VALUE"""),"Snacks")</f>
        <v>Snacks</v>
      </c>
      <c r="F1472" s="23">
        <f>IFERROR(__xludf.DUMMYFUNCTION("""COMPUTED_VALUE"""),44785.70463865741)</f>
        <v>44785.70464</v>
      </c>
      <c r="G1472" s="24" t="str">
        <f>IFERROR(__xludf.DUMMYFUNCTION("""COMPUTED_VALUE"""),"Sunita pathik")</f>
        <v>Sunita pathik</v>
      </c>
      <c r="H1472" s="24">
        <f>IFERROR(__xludf.DUMMYFUNCTION("""COMPUTED_VALUE"""),8.0)</f>
        <v>8</v>
      </c>
      <c r="I1472" s="24"/>
    </row>
    <row r="1473">
      <c r="A1473" s="23">
        <f>IFERROR(__xludf.DUMMYFUNCTION("""COMPUTED_VALUE"""),44793.749213657415)</f>
        <v>44793.74921</v>
      </c>
      <c r="B1473" s="24" t="str">
        <f>IFERROR(__xludf.DUMMYFUNCTION("""COMPUTED_VALUE"""),"Claire")</f>
        <v>Claire</v>
      </c>
      <c r="C1473" s="24">
        <f>IFERROR(__xludf.DUMMYFUNCTION("""COMPUTED_VALUE"""),250.0)</f>
        <v>250</v>
      </c>
      <c r="D1473" s="24" t="str">
        <f>IFERROR(__xludf.DUMMYFUNCTION("""COMPUTED_VALUE"""),"Frozen")</f>
        <v>Frozen</v>
      </c>
      <c r="F1473" s="23">
        <f>IFERROR(__xludf.DUMMYFUNCTION("""COMPUTED_VALUE"""),44785.70579625)</f>
        <v>44785.7058</v>
      </c>
      <c r="G1473" s="24" t="str">
        <f>IFERROR(__xludf.DUMMYFUNCTION("""COMPUTED_VALUE"""),"Sunita")</f>
        <v>Sunita</v>
      </c>
      <c r="H1473" s="24">
        <f>IFERROR(__xludf.DUMMYFUNCTION("""COMPUTED_VALUE"""),97.0)</f>
        <v>97</v>
      </c>
      <c r="I1473" s="24" t="str">
        <f>IFERROR(__xludf.DUMMYFUNCTION("""COMPUTED_VALUE"""),"Assorted option")</f>
        <v>Assorted option</v>
      </c>
    </row>
    <row r="1474">
      <c r="A1474" s="23">
        <f>IFERROR(__xludf.DUMMYFUNCTION("""COMPUTED_VALUE"""),44794.66059244213)</f>
        <v>44794.66059</v>
      </c>
      <c r="B1474" s="24" t="str">
        <f>IFERROR(__xludf.DUMMYFUNCTION("""COMPUTED_VALUE"""),"Zoe")</f>
        <v>Zoe</v>
      </c>
      <c r="C1474" s="24">
        <f>IFERROR(__xludf.DUMMYFUNCTION("""COMPUTED_VALUE"""),529.0)</f>
        <v>529</v>
      </c>
      <c r="D1474" s="24" t="str">
        <f>IFERROR(__xludf.DUMMYFUNCTION("""COMPUTED_VALUE"""),"Snacks")</f>
        <v>Snacks</v>
      </c>
      <c r="F1474" s="23">
        <f>IFERROR(__xludf.DUMMYFUNCTION("""COMPUTED_VALUE"""),44785.707003344905)</f>
        <v>44785.707</v>
      </c>
      <c r="G1474" s="24" t="str">
        <f>IFERROR(__xludf.DUMMYFUNCTION("""COMPUTED_VALUE"""),"Beth Torres")</f>
        <v>Beth Torres</v>
      </c>
      <c r="H1474" s="24">
        <f>IFERROR(__xludf.DUMMYFUNCTION("""COMPUTED_VALUE"""),20.0)</f>
        <v>20</v>
      </c>
      <c r="I1474" s="24"/>
    </row>
    <row r="1475">
      <c r="A1475" s="23">
        <f>IFERROR(__xludf.DUMMYFUNCTION("""COMPUTED_VALUE"""),44794.66377915509)</f>
        <v>44794.66378</v>
      </c>
      <c r="B1475" s="24" t="str">
        <f>IFERROR(__xludf.DUMMYFUNCTION("""COMPUTED_VALUE"""),"Zoe")</f>
        <v>Zoe</v>
      </c>
      <c r="C1475" s="24">
        <f>IFERROR(__xludf.DUMMYFUNCTION("""COMPUTED_VALUE"""),383.0)</f>
        <v>383</v>
      </c>
      <c r="D1475" s="24" t="str">
        <f>IFERROR(__xludf.DUMMYFUNCTION("""COMPUTED_VALUE"""),"Dairy")</f>
        <v>Dairy</v>
      </c>
      <c r="F1475" s="23">
        <f>IFERROR(__xludf.DUMMYFUNCTION("""COMPUTED_VALUE"""),44785.70713714121)</f>
        <v>44785.70714</v>
      </c>
      <c r="G1475" s="24" t="str">
        <f>IFERROR(__xludf.DUMMYFUNCTION("""COMPUTED_VALUE"""),"Beth Torres")</f>
        <v>Beth Torres</v>
      </c>
      <c r="H1475" s="24">
        <f>IFERROR(__xludf.DUMMYFUNCTION("""COMPUTED_VALUE"""),25.0)</f>
        <v>25</v>
      </c>
      <c r="I1475" s="24"/>
    </row>
    <row r="1476">
      <c r="A1476" s="23">
        <f>IFERROR(__xludf.DUMMYFUNCTION("""COMPUTED_VALUE"""),44794.667351307864)</f>
        <v>44794.66735</v>
      </c>
      <c r="B1476" s="24" t="str">
        <f>IFERROR(__xludf.DUMMYFUNCTION("""COMPUTED_VALUE"""),"Zoe")</f>
        <v>Zoe</v>
      </c>
      <c r="C1476" s="24">
        <f>IFERROR(__xludf.DUMMYFUNCTION("""COMPUTED_VALUE"""),378.0)</f>
        <v>378</v>
      </c>
      <c r="D1476" s="24" t="str">
        <f>IFERROR(__xludf.DUMMYFUNCTION("""COMPUTED_VALUE"""),"Dairy")</f>
        <v>Dairy</v>
      </c>
      <c r="F1476" s="23">
        <f>IFERROR(__xludf.DUMMYFUNCTION("""COMPUTED_VALUE"""),44785.71514706018)</f>
        <v>44785.71515</v>
      </c>
      <c r="G1476" s="24" t="str">
        <f>IFERROR(__xludf.DUMMYFUNCTION("""COMPUTED_VALUE"""),"Jean")</f>
        <v>Jean</v>
      </c>
      <c r="H1476" s="24">
        <f>IFERROR(__xludf.DUMMYFUNCTION("""COMPUTED_VALUE"""),14.0)</f>
        <v>14</v>
      </c>
      <c r="I1476" s="24"/>
    </row>
    <row r="1477">
      <c r="A1477" s="23">
        <f>IFERROR(__xludf.DUMMYFUNCTION("""COMPUTED_VALUE"""),44794.66777032407)</f>
        <v>44794.66777</v>
      </c>
      <c r="B1477" s="24" t="str">
        <f>IFERROR(__xludf.DUMMYFUNCTION("""COMPUTED_VALUE"""),"Zoe")</f>
        <v>Zoe</v>
      </c>
      <c r="C1477" s="24">
        <f>IFERROR(__xludf.DUMMYFUNCTION("""COMPUTED_VALUE"""),573.0)</f>
        <v>573</v>
      </c>
      <c r="D1477" s="24" t="str">
        <f>IFERROR(__xludf.DUMMYFUNCTION("""COMPUTED_VALUE"""),"Meat")</f>
        <v>Meat</v>
      </c>
      <c r="F1477" s="23">
        <f>IFERROR(__xludf.DUMMYFUNCTION("""COMPUTED_VALUE"""),44785.715466817135)</f>
        <v>44785.71547</v>
      </c>
      <c r="G1477" s="24" t="str">
        <f>IFERROR(__xludf.DUMMYFUNCTION("""COMPUTED_VALUE"""),"Jean")</f>
        <v>Jean</v>
      </c>
      <c r="H1477" s="24">
        <f>IFERROR(__xludf.DUMMYFUNCTION("""COMPUTED_VALUE"""),43.0)</f>
        <v>43</v>
      </c>
      <c r="I1477" s="24"/>
    </row>
    <row r="1478">
      <c r="A1478" s="23">
        <f>IFERROR(__xludf.DUMMYFUNCTION("""COMPUTED_VALUE"""),44794.668179016204)</f>
        <v>44794.66818</v>
      </c>
      <c r="B1478" s="24" t="str">
        <f>IFERROR(__xludf.DUMMYFUNCTION("""COMPUTED_VALUE"""),"Zoe")</f>
        <v>Zoe</v>
      </c>
      <c r="C1478" s="24">
        <f>IFERROR(__xludf.DUMMYFUNCTION("""COMPUTED_VALUE"""),235.0)</f>
        <v>235</v>
      </c>
      <c r="D1478" s="24" t="str">
        <f>IFERROR(__xludf.DUMMYFUNCTION("""COMPUTED_VALUE"""),"Produce")</f>
        <v>Produce</v>
      </c>
      <c r="F1478" s="23">
        <f>IFERROR(__xludf.DUMMYFUNCTION("""COMPUTED_VALUE"""),44786.0)</f>
        <v>44786</v>
      </c>
      <c r="G1478" s="24" t="str">
        <f>IFERROR(__xludf.DUMMYFUNCTION("""COMPUTED_VALUE"""),"Denise Brown")</f>
        <v>Denise Brown</v>
      </c>
      <c r="H1478" s="24">
        <f>IFERROR(__xludf.DUMMYFUNCTION("""COMPUTED_VALUE"""),15.0)</f>
        <v>15</v>
      </c>
      <c r="I1478" s="24"/>
    </row>
    <row r="1479">
      <c r="A1479" s="23">
        <f>IFERROR(__xludf.DUMMYFUNCTION("""COMPUTED_VALUE"""),44794.668569999994)</f>
        <v>44794.66857</v>
      </c>
      <c r="B1479" s="24" t="str">
        <f>IFERROR(__xludf.DUMMYFUNCTION("""COMPUTED_VALUE"""),"Zoe")</f>
        <v>Zoe</v>
      </c>
      <c r="C1479" s="24">
        <f>IFERROR(__xludf.DUMMYFUNCTION("""COMPUTED_VALUE"""),656.0)</f>
        <v>656</v>
      </c>
      <c r="D1479" s="24" t="str">
        <f>IFERROR(__xludf.DUMMYFUNCTION("""COMPUTED_VALUE"""),"Produce")</f>
        <v>Produce</v>
      </c>
      <c r="F1479" s="23">
        <f>IFERROR(__xludf.DUMMYFUNCTION("""COMPUTED_VALUE"""),44786.0)</f>
        <v>44786</v>
      </c>
      <c r="G1479" s="24" t="str">
        <f>IFERROR(__xludf.DUMMYFUNCTION("""COMPUTED_VALUE"""),"Barbara Jordan")</f>
        <v>Barbara Jordan</v>
      </c>
      <c r="H1479" s="24">
        <f>IFERROR(__xludf.DUMMYFUNCTION("""COMPUTED_VALUE"""),8.0)</f>
        <v>8</v>
      </c>
      <c r="I1479" s="24"/>
    </row>
    <row r="1480">
      <c r="A1480" s="23">
        <f>IFERROR(__xludf.DUMMYFUNCTION("""COMPUTED_VALUE"""),44794.66884703704)</f>
        <v>44794.66885</v>
      </c>
      <c r="B1480" s="24" t="str">
        <f>IFERROR(__xludf.DUMMYFUNCTION("""COMPUTED_VALUE"""),"Zoe")</f>
        <v>Zoe</v>
      </c>
      <c r="C1480" s="24">
        <f>IFERROR(__xludf.DUMMYFUNCTION("""COMPUTED_VALUE"""),266.0)</f>
        <v>266</v>
      </c>
      <c r="D1480" s="24" t="str">
        <f>IFERROR(__xludf.DUMMYFUNCTION("""COMPUTED_VALUE"""),"Produce")</f>
        <v>Produce</v>
      </c>
      <c r="F1480" s="23">
        <f>IFERROR(__xludf.DUMMYFUNCTION("""COMPUTED_VALUE"""),44786.0)</f>
        <v>44786</v>
      </c>
      <c r="G1480" s="24" t="str">
        <f>IFERROR(__xludf.DUMMYFUNCTION("""COMPUTED_VALUE"""),"Janet Lomax")</f>
        <v>Janet Lomax</v>
      </c>
      <c r="H1480" s="24">
        <f>IFERROR(__xludf.DUMMYFUNCTION("""COMPUTED_VALUE"""),20.0)</f>
        <v>20</v>
      </c>
      <c r="I1480" s="24"/>
    </row>
    <row r="1481">
      <c r="A1481" s="23">
        <f>IFERROR(__xludf.DUMMYFUNCTION("""COMPUTED_VALUE"""),44794.669471817135)</f>
        <v>44794.66947</v>
      </c>
      <c r="B1481" s="24" t="str">
        <f>IFERROR(__xludf.DUMMYFUNCTION("""COMPUTED_VALUE"""),"Zoe")</f>
        <v>Zoe</v>
      </c>
      <c r="C1481" s="24">
        <f>IFERROR(__xludf.DUMMYFUNCTION("""COMPUTED_VALUE"""),528.0)</f>
        <v>528</v>
      </c>
      <c r="D1481" s="24" t="str">
        <f>IFERROR(__xludf.DUMMYFUNCTION("""COMPUTED_VALUE"""),"Assorted option")</f>
        <v>Assorted option</v>
      </c>
      <c r="F1481" s="23">
        <f>IFERROR(__xludf.DUMMYFUNCTION("""COMPUTED_VALUE"""),44786.0)</f>
        <v>44786</v>
      </c>
      <c r="G1481" s="24" t="str">
        <f>IFERROR(__xludf.DUMMYFUNCTION("""COMPUTED_VALUE"""),"Janet Lomax")</f>
        <v>Janet Lomax</v>
      </c>
      <c r="H1481" s="24">
        <f>IFERROR(__xludf.DUMMYFUNCTION("""COMPUTED_VALUE"""),1.0)</f>
        <v>1</v>
      </c>
      <c r="I1481" s="24"/>
    </row>
    <row r="1482">
      <c r="A1482" s="23">
        <f>IFERROR(__xludf.DUMMYFUNCTION("""COMPUTED_VALUE"""),44794.66978633102)</f>
        <v>44794.66979</v>
      </c>
      <c r="B1482" s="24" t="str">
        <f>IFERROR(__xludf.DUMMYFUNCTION("""COMPUTED_VALUE"""),"Zoe")</f>
        <v>Zoe</v>
      </c>
      <c r="C1482" s="24">
        <f>IFERROR(__xludf.DUMMYFUNCTION("""COMPUTED_VALUE"""),518.0)</f>
        <v>518</v>
      </c>
      <c r="D1482" s="24" t="str">
        <f>IFERROR(__xludf.DUMMYFUNCTION("""COMPUTED_VALUE"""),"Assorted option")</f>
        <v>Assorted option</v>
      </c>
      <c r="F1482" s="23">
        <f>IFERROR(__xludf.DUMMYFUNCTION("""COMPUTED_VALUE"""),44786.0)</f>
        <v>44786</v>
      </c>
      <c r="G1482" s="24" t="str">
        <f>IFERROR(__xludf.DUMMYFUNCTION("""COMPUTED_VALUE"""),"Juanita C")</f>
        <v>Juanita C</v>
      </c>
      <c r="H1482" s="24">
        <f>IFERROR(__xludf.DUMMYFUNCTION("""COMPUTED_VALUE"""),8.0)</f>
        <v>8</v>
      </c>
      <c r="I1482" s="24"/>
    </row>
    <row r="1483">
      <c r="A1483" s="23">
        <f>IFERROR(__xludf.DUMMYFUNCTION("""COMPUTED_VALUE"""),44797.68516077546)</f>
        <v>44797.68516</v>
      </c>
      <c r="B1483" s="24" t="str">
        <f>IFERROR(__xludf.DUMMYFUNCTION("""COMPUTED_VALUE"""),"Claire")</f>
        <v>Claire</v>
      </c>
      <c r="C1483" s="24">
        <f>IFERROR(__xludf.DUMMYFUNCTION("""COMPUTED_VALUE"""),384.0)</f>
        <v>384</v>
      </c>
      <c r="D1483" s="24" t="str">
        <f>IFERROR(__xludf.DUMMYFUNCTION("""COMPUTED_VALUE"""),"Produce")</f>
        <v>Produce</v>
      </c>
      <c r="F1483" s="23">
        <f>IFERROR(__xludf.DUMMYFUNCTION("""COMPUTED_VALUE"""),44786.0)</f>
        <v>44786</v>
      </c>
      <c r="G1483" s="24" t="str">
        <f>IFERROR(__xludf.DUMMYFUNCTION("""COMPUTED_VALUE"""),"Cheryl Utsey")</f>
        <v>Cheryl Utsey</v>
      </c>
      <c r="H1483" s="24">
        <f>IFERROR(__xludf.DUMMYFUNCTION("""COMPUTED_VALUE"""),20.0)</f>
        <v>20</v>
      </c>
      <c r="I1483" s="24"/>
    </row>
    <row r="1484">
      <c r="A1484" s="23">
        <f>IFERROR(__xludf.DUMMYFUNCTION("""COMPUTED_VALUE"""),44797.685428564815)</f>
        <v>44797.68543</v>
      </c>
      <c r="B1484" s="24" t="str">
        <f>IFERROR(__xludf.DUMMYFUNCTION("""COMPUTED_VALUE"""),"Claire")</f>
        <v>Claire</v>
      </c>
      <c r="C1484" s="24">
        <f>IFERROR(__xludf.DUMMYFUNCTION("""COMPUTED_VALUE"""),481.0)</f>
        <v>481</v>
      </c>
      <c r="D1484" s="24" t="str">
        <f>IFERROR(__xludf.DUMMYFUNCTION("""COMPUTED_VALUE"""),"Produce")</f>
        <v>Produce</v>
      </c>
      <c r="F1484" s="23">
        <f>IFERROR(__xludf.DUMMYFUNCTION("""COMPUTED_VALUE"""),44786.0)</f>
        <v>44786</v>
      </c>
      <c r="G1484" s="24" t="str">
        <f>IFERROR(__xludf.DUMMYFUNCTION("""COMPUTED_VALUE"""),"Cheryl Utsey")</f>
        <v>Cheryl Utsey</v>
      </c>
      <c r="H1484" s="24">
        <f>IFERROR(__xludf.DUMMYFUNCTION("""COMPUTED_VALUE"""),3.0)</f>
        <v>3</v>
      </c>
      <c r="I1484" s="24"/>
    </row>
    <row r="1485">
      <c r="A1485" s="23">
        <f>IFERROR(__xludf.DUMMYFUNCTION("""COMPUTED_VALUE"""),44797.68574292824)</f>
        <v>44797.68574</v>
      </c>
      <c r="B1485" s="24" t="str">
        <f>IFERROR(__xludf.DUMMYFUNCTION("""COMPUTED_VALUE"""),"Claire")</f>
        <v>Claire</v>
      </c>
      <c r="C1485" s="24">
        <f>IFERROR(__xludf.DUMMYFUNCTION("""COMPUTED_VALUE"""),391.0)</f>
        <v>391</v>
      </c>
      <c r="D1485" s="24" t="str">
        <f>IFERROR(__xludf.DUMMYFUNCTION("""COMPUTED_VALUE"""),"Snacks")</f>
        <v>Snacks</v>
      </c>
      <c r="F1485" s="23">
        <f>IFERROR(__xludf.DUMMYFUNCTION("""COMPUTED_VALUE"""),44786.0)</f>
        <v>44786</v>
      </c>
      <c r="G1485" s="24" t="str">
        <f>IFERROR(__xludf.DUMMYFUNCTION("""COMPUTED_VALUE"""),"Emily Engelbrecht")</f>
        <v>Emily Engelbrecht</v>
      </c>
      <c r="H1485" s="24">
        <f>IFERROR(__xludf.DUMMYFUNCTION("""COMPUTED_VALUE"""),8.0)</f>
        <v>8</v>
      </c>
      <c r="I1485" s="24"/>
    </row>
    <row r="1486">
      <c r="A1486" s="23">
        <f>IFERROR(__xludf.DUMMYFUNCTION("""COMPUTED_VALUE"""),44797.686061203705)</f>
        <v>44797.68606</v>
      </c>
      <c r="B1486" s="24" t="str">
        <f>IFERROR(__xludf.DUMMYFUNCTION("""COMPUTED_VALUE"""),"Claire")</f>
        <v>Claire</v>
      </c>
      <c r="C1486" s="24">
        <f>IFERROR(__xludf.DUMMYFUNCTION("""COMPUTED_VALUE"""),167.0)</f>
        <v>167</v>
      </c>
      <c r="D1486" s="24" t="str">
        <f>IFERROR(__xludf.DUMMYFUNCTION("""COMPUTED_VALUE"""),"Underwear ")</f>
        <v>Underwear </v>
      </c>
      <c r="F1486" s="23">
        <f>IFERROR(__xludf.DUMMYFUNCTION("""COMPUTED_VALUE"""),44786.0)</f>
        <v>44786</v>
      </c>
      <c r="G1486" s="24" t="str">
        <f>IFERROR(__xludf.DUMMYFUNCTION("""COMPUTED_VALUE"""),"Emily Engelbrecht")</f>
        <v>Emily Engelbrecht</v>
      </c>
      <c r="H1486" s="24">
        <f>IFERROR(__xludf.DUMMYFUNCTION("""COMPUTED_VALUE"""),2.0)</f>
        <v>2</v>
      </c>
      <c r="I1486" s="24"/>
    </row>
    <row r="1487">
      <c r="A1487" s="23">
        <f>IFERROR(__xludf.DUMMYFUNCTION("""COMPUTED_VALUE"""),44798.67891520834)</f>
        <v>44798.67892</v>
      </c>
      <c r="B1487" s="24" t="str">
        <f>IFERROR(__xludf.DUMMYFUNCTION("""COMPUTED_VALUE"""),"Claire")</f>
        <v>Claire</v>
      </c>
      <c r="C1487" s="24">
        <f>IFERROR(__xludf.DUMMYFUNCTION("""COMPUTED_VALUE"""),237.0)</f>
        <v>237</v>
      </c>
      <c r="D1487" s="24" t="str">
        <f>IFERROR(__xludf.DUMMYFUNCTION("""COMPUTED_VALUE"""),"Assorted option")</f>
        <v>Assorted option</v>
      </c>
      <c r="F1487" s="23">
        <f>IFERROR(__xludf.DUMMYFUNCTION("""COMPUTED_VALUE"""),44786.0)</f>
        <v>44786</v>
      </c>
      <c r="G1487" s="24" t="str">
        <f>IFERROR(__xludf.DUMMYFUNCTION("""COMPUTED_VALUE"""),"Lynette c")</f>
        <v>Lynette c</v>
      </c>
      <c r="H1487" s="24">
        <f>IFERROR(__xludf.DUMMYFUNCTION("""COMPUTED_VALUE"""),2.0)</f>
        <v>2</v>
      </c>
      <c r="I1487" s="24"/>
    </row>
    <row r="1488">
      <c r="A1488" s="23">
        <f>IFERROR(__xludf.DUMMYFUNCTION("""COMPUTED_VALUE"""),44798.68037516204)</f>
        <v>44798.68038</v>
      </c>
      <c r="B1488" s="24" t="str">
        <f>IFERROR(__xludf.DUMMYFUNCTION("""COMPUTED_VALUE"""),"Claire")</f>
        <v>Claire</v>
      </c>
      <c r="C1488" s="24">
        <f>IFERROR(__xludf.DUMMYFUNCTION("""COMPUTED_VALUE"""),109.0)</f>
        <v>109</v>
      </c>
      <c r="D1488" s="24" t="str">
        <f>IFERROR(__xludf.DUMMYFUNCTION("""COMPUTED_VALUE"""),"Dry goods")</f>
        <v>Dry goods</v>
      </c>
      <c r="F1488" s="23">
        <f>IFERROR(__xludf.DUMMYFUNCTION("""COMPUTED_VALUE"""),44786.0)</f>
        <v>44786</v>
      </c>
      <c r="G1488" s="24" t="str">
        <f>IFERROR(__xludf.DUMMYFUNCTION("""COMPUTED_VALUE"""),"Gilda Castillo")</f>
        <v>Gilda Castillo</v>
      </c>
      <c r="H1488" s="24">
        <f>IFERROR(__xludf.DUMMYFUNCTION("""COMPUTED_VALUE"""),2.0)</f>
        <v>2</v>
      </c>
      <c r="I1488" s="24"/>
    </row>
    <row r="1489">
      <c r="A1489" s="23">
        <f>IFERROR(__xludf.DUMMYFUNCTION("""COMPUTED_VALUE"""),44798.69159712963)</f>
        <v>44798.6916</v>
      </c>
      <c r="B1489" s="24" t="str">
        <f>IFERROR(__xludf.DUMMYFUNCTION("""COMPUTED_VALUE"""),"Claire")</f>
        <v>Claire</v>
      </c>
      <c r="C1489" s="24">
        <f>IFERROR(__xludf.DUMMYFUNCTION("""COMPUTED_VALUE"""),173.0)</f>
        <v>173</v>
      </c>
      <c r="D1489" s="24" t="str">
        <f>IFERROR(__xludf.DUMMYFUNCTION("""COMPUTED_VALUE"""),"Assorted option")</f>
        <v>Assorted option</v>
      </c>
      <c r="F1489" s="23">
        <f>IFERROR(__xludf.DUMMYFUNCTION("""COMPUTED_VALUE"""),44786.0)</f>
        <v>44786</v>
      </c>
      <c r="G1489" s="24" t="str">
        <f>IFERROR(__xludf.DUMMYFUNCTION("""COMPUTED_VALUE"""),"Dean Chien")</f>
        <v>Dean Chien</v>
      </c>
      <c r="H1489" s="24">
        <f>IFERROR(__xludf.DUMMYFUNCTION("""COMPUTED_VALUE"""),10.0)</f>
        <v>10</v>
      </c>
      <c r="I1489" s="24"/>
    </row>
    <row r="1490">
      <c r="A1490" s="23">
        <f>IFERROR(__xludf.DUMMYFUNCTION("""COMPUTED_VALUE"""),44800.493970914344)</f>
        <v>44800.49397</v>
      </c>
      <c r="B1490" s="24" t="str">
        <f>IFERROR(__xludf.DUMMYFUNCTION("""COMPUTED_VALUE"""),"Claire")</f>
        <v>Claire</v>
      </c>
      <c r="C1490" s="24">
        <f>IFERROR(__xludf.DUMMYFUNCTION("""COMPUTED_VALUE"""),606.0)</f>
        <v>606</v>
      </c>
      <c r="D1490" s="24" t="str">
        <f>IFERROR(__xludf.DUMMYFUNCTION("""COMPUTED_VALUE"""),"Produce")</f>
        <v>Produce</v>
      </c>
      <c r="F1490" s="23">
        <f>IFERROR(__xludf.DUMMYFUNCTION("""COMPUTED_VALUE"""),44786.66820407407)</f>
        <v>44786.6682</v>
      </c>
      <c r="G1490" s="24" t="str">
        <f>IFERROR(__xludf.DUMMYFUNCTION("""COMPUTED_VALUE"""),"Claire")</f>
        <v>Claire</v>
      </c>
      <c r="H1490" s="24">
        <f>IFERROR(__xludf.DUMMYFUNCTION("""COMPUTED_VALUE"""),260.0)</f>
        <v>260</v>
      </c>
      <c r="I1490" s="24" t="str">
        <f>IFERROR(__xludf.DUMMYFUNCTION("""COMPUTED_VALUE"""),"Chips")</f>
        <v>Chips</v>
      </c>
    </row>
    <row r="1491">
      <c r="A1491" s="23">
        <f>IFERROR(__xludf.DUMMYFUNCTION("""COMPUTED_VALUE"""),44800.494438877315)</f>
        <v>44800.49444</v>
      </c>
      <c r="B1491" s="24" t="str">
        <f>IFERROR(__xludf.DUMMYFUNCTION("""COMPUTED_VALUE"""),"Claire ")</f>
        <v>Claire </v>
      </c>
      <c r="C1491" s="24">
        <f>IFERROR(__xludf.DUMMYFUNCTION("""COMPUTED_VALUE"""),402.0)</f>
        <v>402</v>
      </c>
      <c r="D1491" s="24" t="str">
        <f>IFERROR(__xludf.DUMMYFUNCTION("""COMPUTED_VALUE"""),"Assorted dry")</f>
        <v>Assorted dry</v>
      </c>
      <c r="F1491" s="23">
        <f>IFERROR(__xludf.DUMMYFUNCTION("""COMPUTED_VALUE"""),44786.66848018519)</f>
        <v>44786.66848</v>
      </c>
      <c r="G1491" s="24" t="str">
        <f>IFERROR(__xludf.DUMMYFUNCTION("""COMPUTED_VALUE"""),"Claire")</f>
        <v>Claire</v>
      </c>
      <c r="H1491" s="24">
        <f>IFERROR(__xludf.DUMMYFUNCTION("""COMPUTED_VALUE"""),933.0)</f>
        <v>933</v>
      </c>
      <c r="I1491" s="24" t="str">
        <f>IFERROR(__xludf.DUMMYFUNCTION("""COMPUTED_VALUE"""),"Cleaning supplies")</f>
        <v>Cleaning supplies</v>
      </c>
    </row>
    <row r="1492">
      <c r="A1492" s="23">
        <f>IFERROR(__xludf.DUMMYFUNCTION("""COMPUTED_VALUE"""),44800.49521119213)</f>
        <v>44800.49521</v>
      </c>
      <c r="B1492" s="24" t="str">
        <f>IFERROR(__xludf.DUMMYFUNCTION("""COMPUTED_VALUE"""),"Claire")</f>
        <v>Claire</v>
      </c>
      <c r="C1492" s="24">
        <f>IFERROR(__xludf.DUMMYFUNCTION("""COMPUTED_VALUE"""),161.0)</f>
        <v>161</v>
      </c>
      <c r="D1492" s="24" t="str">
        <f>IFERROR(__xludf.DUMMYFUNCTION("""COMPUTED_VALUE"""),"Drinks [dry]")</f>
        <v>Drinks [dry]</v>
      </c>
      <c r="F1492" s="23">
        <f>IFERROR(__xludf.DUMMYFUNCTION("""COMPUTED_VALUE"""),44786.66883145834)</f>
        <v>44786.66883</v>
      </c>
      <c r="G1492" s="24" t="str">
        <f>IFERROR(__xludf.DUMMYFUNCTION("""COMPUTED_VALUE"""),"Claire")</f>
        <v>Claire</v>
      </c>
      <c r="H1492" s="24">
        <f>IFERROR(__xludf.DUMMYFUNCTION("""COMPUTED_VALUE"""),1095.0)</f>
        <v>1095</v>
      </c>
      <c r="I1492" s="24" t="str">
        <f>IFERROR(__xludf.DUMMYFUNCTION("""COMPUTED_VALUE"""),"Pet supplies")</f>
        <v>Pet supplies</v>
      </c>
    </row>
    <row r="1493">
      <c r="A1493" s="23">
        <f>IFERROR(__xludf.DUMMYFUNCTION("""COMPUTED_VALUE"""),44800.49554289352)</f>
        <v>44800.49554</v>
      </c>
      <c r="B1493" s="24" t="str">
        <f>IFERROR(__xludf.DUMMYFUNCTION("""COMPUTED_VALUE"""),"Claire")</f>
        <v>Claire</v>
      </c>
      <c r="C1493" s="24">
        <f>IFERROR(__xludf.DUMMYFUNCTION("""COMPUTED_VALUE"""),249.0)</f>
        <v>249</v>
      </c>
      <c r="D1493" s="24" t="str">
        <f>IFERROR(__xludf.DUMMYFUNCTION("""COMPUTED_VALUE"""),"Produce")</f>
        <v>Produce</v>
      </c>
      <c r="F1493" s="23">
        <f>IFERROR(__xludf.DUMMYFUNCTION("""COMPUTED_VALUE"""),44786.66917715278)</f>
        <v>44786.66918</v>
      </c>
      <c r="G1493" s="24" t="str">
        <f>IFERROR(__xludf.DUMMYFUNCTION("""COMPUTED_VALUE"""),"Claire")</f>
        <v>Claire</v>
      </c>
      <c r="H1493" s="24">
        <f>IFERROR(__xludf.DUMMYFUNCTION("""COMPUTED_VALUE"""),275.0)</f>
        <v>275</v>
      </c>
      <c r="I1493" s="24" t="str">
        <f>IFERROR(__xludf.DUMMYFUNCTION("""COMPUTED_VALUE"""),"Chips")</f>
        <v>Chips</v>
      </c>
    </row>
    <row r="1494">
      <c r="A1494" s="23">
        <f>IFERROR(__xludf.DUMMYFUNCTION("""COMPUTED_VALUE"""),44800.66745092593)</f>
        <v>44800.66745</v>
      </c>
      <c r="B1494" s="24" t="str">
        <f>IFERROR(__xludf.DUMMYFUNCTION("""COMPUTED_VALUE"""),"Claire")</f>
        <v>Claire</v>
      </c>
      <c r="C1494" s="24">
        <f>IFERROR(__xludf.DUMMYFUNCTION("""COMPUTED_VALUE"""),1474.0)</f>
        <v>1474</v>
      </c>
      <c r="D1494" s="24" t="str">
        <f>IFERROR(__xludf.DUMMYFUNCTION("""COMPUTED_VALUE"""),"Drinks [dry]")</f>
        <v>Drinks [dry]</v>
      </c>
      <c r="F1494" s="23">
        <f>IFERROR(__xludf.DUMMYFUNCTION("""COMPUTED_VALUE"""),44786.669628009266)</f>
        <v>44786.66963</v>
      </c>
      <c r="G1494" s="24" t="str">
        <f>IFERROR(__xludf.DUMMYFUNCTION("""COMPUTED_VALUE"""),"Claire")</f>
        <v>Claire</v>
      </c>
      <c r="H1494" s="24">
        <f>IFERROR(__xludf.DUMMYFUNCTION("""COMPUTED_VALUE"""),1438.0)</f>
        <v>1438</v>
      </c>
      <c r="I1494" s="24" t="str">
        <f>IFERROR(__xludf.DUMMYFUNCTION("""COMPUTED_VALUE"""),"Drinks")</f>
        <v>Drinks</v>
      </c>
    </row>
    <row r="1495">
      <c r="A1495" s="23">
        <f>IFERROR(__xludf.DUMMYFUNCTION("""COMPUTED_VALUE"""),44800.66771365741)</f>
        <v>44800.66771</v>
      </c>
      <c r="B1495" s="24" t="str">
        <f>IFERROR(__xludf.DUMMYFUNCTION("""COMPUTED_VALUE"""),"Claire")</f>
        <v>Claire</v>
      </c>
      <c r="C1495" s="24">
        <f>IFERROR(__xludf.DUMMYFUNCTION("""COMPUTED_VALUE"""),201.0)</f>
        <v>201</v>
      </c>
      <c r="D1495" s="24" t="str">
        <f>IFERROR(__xludf.DUMMYFUNCTION("""COMPUTED_VALUE"""),"Snacks")</f>
        <v>Snacks</v>
      </c>
      <c r="F1495" s="23">
        <f>IFERROR(__xludf.DUMMYFUNCTION("""COMPUTED_VALUE"""),44786.67030940972)</f>
        <v>44786.67031</v>
      </c>
      <c r="G1495" s="24" t="str">
        <f>IFERROR(__xludf.DUMMYFUNCTION("""COMPUTED_VALUE"""),"Claire")</f>
        <v>Claire</v>
      </c>
      <c r="H1495" s="24">
        <f>IFERROR(__xludf.DUMMYFUNCTION("""COMPUTED_VALUE"""),1108.0)</f>
        <v>1108</v>
      </c>
      <c r="I1495" s="24" t="str">
        <f>IFERROR(__xludf.DUMMYFUNCTION("""COMPUTED_VALUE"""),"Produce")</f>
        <v>Produce</v>
      </c>
    </row>
    <row r="1496">
      <c r="A1496" s="23">
        <f>IFERROR(__xludf.DUMMYFUNCTION("""COMPUTED_VALUE"""),44800.667887719916)</f>
        <v>44800.66789</v>
      </c>
      <c r="B1496" s="24" t="str">
        <f>IFERROR(__xludf.DUMMYFUNCTION("""COMPUTED_VALUE"""),"Claire")</f>
        <v>Claire</v>
      </c>
      <c r="C1496" s="24">
        <f>IFERROR(__xludf.DUMMYFUNCTION("""COMPUTED_VALUE"""),339.0)</f>
        <v>339</v>
      </c>
      <c r="D1496" s="24" t="str">
        <f>IFERROR(__xludf.DUMMYFUNCTION("""COMPUTED_VALUE"""),"Snacks")</f>
        <v>Snacks</v>
      </c>
      <c r="F1496" s="23">
        <f>IFERROR(__xludf.DUMMYFUNCTION("""COMPUTED_VALUE"""),44786.67313326389)</f>
        <v>44786.67313</v>
      </c>
      <c r="G1496" s="24" t="str">
        <f>IFERROR(__xludf.DUMMYFUNCTION("""COMPUTED_VALUE"""),"Claire")</f>
        <v>Claire</v>
      </c>
      <c r="H1496" s="24">
        <f>IFERROR(__xludf.DUMMYFUNCTION("""COMPUTED_VALUE"""),1480.0)</f>
        <v>1480</v>
      </c>
      <c r="I1496" s="24" t="str">
        <f>IFERROR(__xludf.DUMMYFUNCTION("""COMPUTED_VALUE"""),"Dairy")</f>
        <v>Dairy</v>
      </c>
    </row>
    <row r="1497">
      <c r="A1497" s="23">
        <f>IFERROR(__xludf.DUMMYFUNCTION("""COMPUTED_VALUE"""),44800.66812800925)</f>
        <v>44800.66813</v>
      </c>
      <c r="B1497" s="24" t="str">
        <f>IFERROR(__xludf.DUMMYFUNCTION("""COMPUTED_VALUE"""),"Claire")</f>
        <v>Claire</v>
      </c>
      <c r="C1497" s="24">
        <f>IFERROR(__xludf.DUMMYFUNCTION("""COMPUTED_VALUE"""),1206.0)</f>
        <v>1206</v>
      </c>
      <c r="D1497" s="24" t="str">
        <f>IFERROR(__xludf.DUMMYFUNCTION("""COMPUTED_VALUE"""),"Produce")</f>
        <v>Produce</v>
      </c>
      <c r="F1497" s="23">
        <f>IFERROR(__xludf.DUMMYFUNCTION("""COMPUTED_VALUE"""),44786.67405140046)</f>
        <v>44786.67405</v>
      </c>
      <c r="G1497" s="24" t="str">
        <f>IFERROR(__xludf.DUMMYFUNCTION("""COMPUTED_VALUE"""),"Claire")</f>
        <v>Claire</v>
      </c>
      <c r="H1497" s="24">
        <f>IFERROR(__xludf.DUMMYFUNCTION("""COMPUTED_VALUE"""),593.0)</f>
        <v>593</v>
      </c>
      <c r="I1497" s="24" t="str">
        <f>IFERROR(__xludf.DUMMYFUNCTION("""COMPUTED_VALUE"""),"Frozen")</f>
        <v>Frozen</v>
      </c>
    </row>
    <row r="1498">
      <c r="A1498" s="23">
        <f>IFERROR(__xludf.DUMMYFUNCTION("""COMPUTED_VALUE"""),44800.66833508102)</f>
        <v>44800.66834</v>
      </c>
      <c r="B1498" s="24" t="str">
        <f>IFERROR(__xludf.DUMMYFUNCTION("""COMPUTED_VALUE"""),"Claire")</f>
        <v>Claire</v>
      </c>
      <c r="C1498" s="24">
        <f>IFERROR(__xludf.DUMMYFUNCTION("""COMPUTED_VALUE"""),1164.0)</f>
        <v>1164</v>
      </c>
      <c r="D1498" s="24" t="str">
        <f>IFERROR(__xludf.DUMMYFUNCTION("""COMPUTED_VALUE"""),"Dairy")</f>
        <v>Dairy</v>
      </c>
      <c r="F1498" s="23">
        <f>IFERROR(__xludf.DUMMYFUNCTION("""COMPUTED_VALUE"""),44786.67429584491)</f>
        <v>44786.6743</v>
      </c>
      <c r="G1498" s="24" t="str">
        <f>IFERROR(__xludf.DUMMYFUNCTION("""COMPUTED_VALUE"""),"Claire")</f>
        <v>Claire</v>
      </c>
      <c r="H1498" s="24">
        <f>IFERROR(__xludf.DUMMYFUNCTION("""COMPUTED_VALUE"""),701.0)</f>
        <v>701</v>
      </c>
      <c r="I1498" s="24" t="str">
        <f>IFERROR(__xludf.DUMMYFUNCTION("""COMPUTED_VALUE"""),"Frozen")</f>
        <v>Frozen</v>
      </c>
    </row>
    <row r="1499">
      <c r="A1499" s="23">
        <f>IFERROR(__xludf.DUMMYFUNCTION("""COMPUTED_VALUE"""),44800.66877328704)</f>
        <v>44800.66877</v>
      </c>
      <c r="B1499" s="24" t="str">
        <f>IFERROR(__xludf.DUMMYFUNCTION("""COMPUTED_VALUE"""),"Claire")</f>
        <v>Claire</v>
      </c>
      <c r="C1499" s="24">
        <f>IFERROR(__xludf.DUMMYFUNCTION("""COMPUTED_VALUE"""),596.0)</f>
        <v>596</v>
      </c>
      <c r="D1499" s="24" t="str">
        <f>IFERROR(__xludf.DUMMYFUNCTION("""COMPUTED_VALUE"""),"Dairy")</f>
        <v>Dairy</v>
      </c>
      <c r="F1499" s="23">
        <f>IFERROR(__xludf.DUMMYFUNCTION("""COMPUTED_VALUE"""),44786.67476707176)</f>
        <v>44786.67477</v>
      </c>
      <c r="G1499" s="24" t="str">
        <f>IFERROR(__xludf.DUMMYFUNCTION("""COMPUTED_VALUE"""),"Claire")</f>
        <v>Claire</v>
      </c>
      <c r="H1499" s="24">
        <f>IFERROR(__xludf.DUMMYFUNCTION("""COMPUTED_VALUE"""),1501.0)</f>
        <v>1501</v>
      </c>
      <c r="I1499" s="24" t="str">
        <f>IFERROR(__xludf.DUMMYFUNCTION("""COMPUTED_VALUE"""),"Drinks")</f>
        <v>Drinks</v>
      </c>
    </row>
    <row r="1500">
      <c r="A1500" s="23">
        <f>IFERROR(__xludf.DUMMYFUNCTION("""COMPUTED_VALUE"""),44800.66971662037)</f>
        <v>44800.66972</v>
      </c>
      <c r="B1500" s="24" t="str">
        <f>IFERROR(__xludf.DUMMYFUNCTION("""COMPUTED_VALUE"""),"Claire")</f>
        <v>Claire</v>
      </c>
      <c r="C1500" s="24">
        <f>IFERROR(__xludf.DUMMYFUNCTION("""COMPUTED_VALUE"""),239.0)</f>
        <v>239</v>
      </c>
      <c r="D1500" s="24" t="str">
        <f>IFERROR(__xludf.DUMMYFUNCTION("""COMPUTED_VALUE"""),"Dairy/eggs")</f>
        <v>Dairy/eggs</v>
      </c>
      <c r="F1500" s="23">
        <f>IFERROR(__xludf.DUMMYFUNCTION("""COMPUTED_VALUE"""),44786.675117280094)</f>
        <v>44786.67512</v>
      </c>
      <c r="G1500" s="24" t="str">
        <f>IFERROR(__xludf.DUMMYFUNCTION("""COMPUTED_VALUE"""),"Claire")</f>
        <v>Claire</v>
      </c>
      <c r="H1500" s="24">
        <f>IFERROR(__xludf.DUMMYFUNCTION("""COMPUTED_VALUE"""),582.0)</f>
        <v>582</v>
      </c>
      <c r="I1500" s="24" t="str">
        <f>IFERROR(__xludf.DUMMYFUNCTION("""COMPUTED_VALUE"""),"Produce")</f>
        <v>Produce</v>
      </c>
    </row>
    <row r="1501">
      <c r="A1501" s="23">
        <f>IFERROR(__xludf.DUMMYFUNCTION("""COMPUTED_VALUE"""),44800.66996494213)</f>
        <v>44800.66996</v>
      </c>
      <c r="B1501" s="24" t="str">
        <f>IFERROR(__xludf.DUMMYFUNCTION("""COMPUTED_VALUE"""),"Claire")</f>
        <v>Claire</v>
      </c>
      <c r="C1501" s="24">
        <f>IFERROR(__xludf.DUMMYFUNCTION("""COMPUTED_VALUE"""),1670.0)</f>
        <v>1670</v>
      </c>
      <c r="D1501" s="24" t="str">
        <f>IFERROR(__xludf.DUMMYFUNCTION("""COMPUTED_VALUE"""),"Produce")</f>
        <v>Produce</v>
      </c>
      <c r="F1501" s="23">
        <f>IFERROR(__xludf.DUMMYFUNCTION("""COMPUTED_VALUE"""),44786.675554305555)</f>
        <v>44786.67555</v>
      </c>
      <c r="G1501" s="24" t="str">
        <f>IFERROR(__xludf.DUMMYFUNCTION("""COMPUTED_VALUE"""),"Claire")</f>
        <v>Claire</v>
      </c>
      <c r="H1501" s="24">
        <f>IFERROR(__xludf.DUMMYFUNCTION("""COMPUTED_VALUE"""),-531.0)</f>
        <v>-531</v>
      </c>
      <c r="I1501" s="24" t="str">
        <f>IFERROR(__xludf.DUMMYFUNCTION("""COMPUTED_VALUE"""),"Frozen")</f>
        <v>Frozen</v>
      </c>
    </row>
    <row r="1502">
      <c r="A1502" s="23">
        <f>IFERROR(__xludf.DUMMYFUNCTION("""COMPUTED_VALUE"""),44800.67186483797)</f>
        <v>44800.67186</v>
      </c>
      <c r="B1502" s="24" t="str">
        <f>IFERROR(__xludf.DUMMYFUNCTION("""COMPUTED_VALUE"""),"Claire")</f>
        <v>Claire</v>
      </c>
      <c r="C1502" s="24">
        <f>IFERROR(__xludf.DUMMYFUNCTION("""COMPUTED_VALUE"""),537.0)</f>
        <v>537</v>
      </c>
      <c r="D1502" s="24" t="str">
        <f>IFERROR(__xludf.DUMMYFUNCTION("""COMPUTED_VALUE"""),"Meat")</f>
        <v>Meat</v>
      </c>
      <c r="F1502" s="23">
        <f>IFERROR(__xludf.DUMMYFUNCTION("""COMPUTED_VALUE"""),44786.67580564815)</f>
        <v>44786.67581</v>
      </c>
      <c r="G1502" s="24" t="str">
        <f>IFERROR(__xludf.DUMMYFUNCTION("""COMPUTED_VALUE"""),"Claire")</f>
        <v>Claire</v>
      </c>
      <c r="H1502" s="24">
        <f>IFERROR(__xludf.DUMMYFUNCTION("""COMPUTED_VALUE"""),-523.0)</f>
        <v>-523</v>
      </c>
      <c r="I1502" s="24" t="str">
        <f>IFERROR(__xludf.DUMMYFUNCTION("""COMPUTED_VALUE"""),"Produce")</f>
        <v>Produce</v>
      </c>
    </row>
    <row r="1503">
      <c r="A1503" s="23">
        <f>IFERROR(__xludf.DUMMYFUNCTION("""COMPUTED_VALUE"""),44800.6731020949)</f>
        <v>44800.6731</v>
      </c>
      <c r="B1503" s="24" t="str">
        <f>IFERROR(__xludf.DUMMYFUNCTION("""COMPUTED_VALUE"""),"Claire")</f>
        <v>Claire</v>
      </c>
      <c r="C1503" s="24">
        <f>IFERROR(__xludf.DUMMYFUNCTION("""COMPUTED_VALUE"""),1338.0)</f>
        <v>1338</v>
      </c>
      <c r="D1503" s="24" t="str">
        <f>IFERROR(__xludf.DUMMYFUNCTION("""COMPUTED_VALUE"""),"Drinks [fridge]")</f>
        <v>Drinks [fridge]</v>
      </c>
      <c r="F1503" s="23">
        <f>IFERROR(__xludf.DUMMYFUNCTION("""COMPUTED_VALUE"""),44786.67610898149)</f>
        <v>44786.67611</v>
      </c>
      <c r="G1503" s="24" t="str">
        <f>IFERROR(__xludf.DUMMYFUNCTION("""COMPUTED_VALUE"""),"Claire")</f>
        <v>Claire</v>
      </c>
      <c r="H1503" s="24">
        <f>IFERROR(__xludf.DUMMYFUNCTION("""COMPUTED_VALUE"""),-1246.0)</f>
        <v>-1246</v>
      </c>
      <c r="I1503" s="24" t="str">
        <f>IFERROR(__xludf.DUMMYFUNCTION("""COMPUTED_VALUE"""),"Produce")</f>
        <v>Produce</v>
      </c>
    </row>
    <row r="1504">
      <c r="A1504" s="23">
        <f>IFERROR(__xludf.DUMMYFUNCTION("""COMPUTED_VALUE"""),44800.67338368056)</f>
        <v>44800.67338</v>
      </c>
      <c r="B1504" s="24" t="str">
        <f>IFERROR(__xludf.DUMMYFUNCTION("""COMPUTED_VALUE"""),"Claire")</f>
        <v>Claire</v>
      </c>
      <c r="C1504" s="24">
        <f>IFERROR(__xludf.DUMMYFUNCTION("""COMPUTED_VALUE"""),894.0)</f>
        <v>894</v>
      </c>
      <c r="D1504" s="24" t="str">
        <f>IFERROR(__xludf.DUMMYFUNCTION("""COMPUTED_VALUE"""),"Produce")</f>
        <v>Produce</v>
      </c>
      <c r="F1504" s="23">
        <f>IFERROR(__xludf.DUMMYFUNCTION("""COMPUTED_VALUE"""),44786.67636113426)</f>
        <v>44786.67636</v>
      </c>
      <c r="G1504" s="24" t="str">
        <f>IFERROR(__xludf.DUMMYFUNCTION("""COMPUTED_VALUE"""),"Claire")</f>
        <v>Claire</v>
      </c>
      <c r="H1504" s="24">
        <f>IFERROR(__xludf.DUMMYFUNCTION("""COMPUTED_VALUE"""),-1084.0)</f>
        <v>-1084</v>
      </c>
      <c r="I1504" s="24" t="str">
        <f>IFERROR(__xludf.DUMMYFUNCTION("""COMPUTED_VALUE"""),"Dairy")</f>
        <v>Dairy</v>
      </c>
    </row>
    <row r="1505">
      <c r="A1505" s="23">
        <f>IFERROR(__xludf.DUMMYFUNCTION("""COMPUTED_VALUE"""),44800.6735541088)</f>
        <v>44800.67355</v>
      </c>
      <c r="B1505" s="24" t="str">
        <f>IFERROR(__xludf.DUMMYFUNCTION("""COMPUTED_VALUE"""),"Claire")</f>
        <v>Claire</v>
      </c>
      <c r="C1505" s="24">
        <f>IFERROR(__xludf.DUMMYFUNCTION("""COMPUTED_VALUE"""),701.0)</f>
        <v>701</v>
      </c>
      <c r="D1505" s="24" t="str">
        <f>IFERROR(__xludf.DUMMYFUNCTION("""COMPUTED_VALUE"""),"Produce")</f>
        <v>Produce</v>
      </c>
      <c r="F1505" s="23">
        <f>IFERROR(__xludf.DUMMYFUNCTION("""COMPUTED_VALUE"""),44786.67885159722)</f>
        <v>44786.67885</v>
      </c>
      <c r="G1505" s="24" t="str">
        <f>IFERROR(__xludf.DUMMYFUNCTION("""COMPUTED_VALUE"""),"Claire")</f>
        <v>Claire</v>
      </c>
      <c r="H1505" s="24">
        <f>IFERROR(__xludf.DUMMYFUNCTION("""COMPUTED_VALUE"""),-195.0)</f>
        <v>-195</v>
      </c>
      <c r="I1505" s="24" t="str">
        <f>IFERROR(__xludf.DUMMYFUNCTION("""COMPUTED_VALUE"""),"Chips")</f>
        <v>Chips</v>
      </c>
    </row>
    <row r="1506">
      <c r="A1506" s="23">
        <f>IFERROR(__xludf.DUMMYFUNCTION("""COMPUTED_VALUE"""),44800.68835290509)</f>
        <v>44800.68835</v>
      </c>
      <c r="B1506" s="24" t="str">
        <f>IFERROR(__xludf.DUMMYFUNCTION("""COMPUTED_VALUE"""),"Claire")</f>
        <v>Claire</v>
      </c>
      <c r="C1506" s="24">
        <f>IFERROR(__xludf.DUMMYFUNCTION("""COMPUTED_VALUE"""),-202.0)</f>
        <v>-202</v>
      </c>
      <c r="D1506" s="24" t="str">
        <f>IFERROR(__xludf.DUMMYFUNCTION("""COMPUTED_VALUE"""),"Meat")</f>
        <v>Meat</v>
      </c>
      <c r="F1506" s="23">
        <f>IFERROR(__xludf.DUMMYFUNCTION("""COMPUTED_VALUE"""),44786.68271056713)</f>
        <v>44786.68271</v>
      </c>
      <c r="G1506" s="24" t="str">
        <f>IFERROR(__xludf.DUMMYFUNCTION("""COMPUTED_VALUE"""),"Claire")</f>
        <v>Claire</v>
      </c>
      <c r="H1506" s="24">
        <f>IFERROR(__xludf.DUMMYFUNCTION("""COMPUTED_VALUE"""),-177.0)</f>
        <v>-177</v>
      </c>
      <c r="I1506" s="24" t="str">
        <f>IFERROR(__xludf.DUMMYFUNCTION("""COMPUTED_VALUE"""),"Pet supplies")</f>
        <v>Pet supplies</v>
      </c>
    </row>
    <row r="1507">
      <c r="A1507" s="23">
        <f>IFERROR(__xludf.DUMMYFUNCTION("""COMPUTED_VALUE"""),44800.688587418976)</f>
        <v>44800.68859</v>
      </c>
      <c r="B1507" s="24" t="str">
        <f>IFERROR(__xludf.DUMMYFUNCTION("""COMPUTED_VALUE"""),"Claire")</f>
        <v>Claire</v>
      </c>
      <c r="C1507" s="24">
        <f>IFERROR(__xludf.DUMMYFUNCTION("""COMPUTED_VALUE"""),-302.0)</f>
        <v>-302</v>
      </c>
      <c r="D1507" s="24" t="str">
        <f>IFERROR(__xludf.DUMMYFUNCTION("""COMPUTED_VALUE"""),"Produce")</f>
        <v>Produce</v>
      </c>
      <c r="F1507" s="23">
        <f>IFERROR(__xludf.DUMMYFUNCTION("""COMPUTED_VALUE"""),44786.68381847222)</f>
        <v>44786.68382</v>
      </c>
      <c r="G1507" s="24" t="str">
        <f>IFERROR(__xludf.DUMMYFUNCTION("""COMPUTED_VALUE"""),"nathan")</f>
        <v>nathan</v>
      </c>
      <c r="H1507" s="24">
        <f>IFERROR(__xludf.DUMMYFUNCTION("""COMPUTED_VALUE"""),19.0)</f>
        <v>19</v>
      </c>
      <c r="I1507" s="24"/>
    </row>
    <row r="1508">
      <c r="A1508" s="23">
        <f>IFERROR(__xludf.DUMMYFUNCTION("""COMPUTED_VALUE"""),44800.68879396991)</f>
        <v>44800.68879</v>
      </c>
      <c r="B1508" s="24" t="str">
        <f>IFERROR(__xludf.DUMMYFUNCTION("""COMPUTED_VALUE"""),"Claire")</f>
        <v>Claire</v>
      </c>
      <c r="C1508" s="24">
        <f>IFERROR(__xludf.DUMMYFUNCTION("""COMPUTED_VALUE"""),-640.0)</f>
        <v>-640</v>
      </c>
      <c r="D1508" s="24" t="str">
        <f>IFERROR(__xludf.DUMMYFUNCTION("""COMPUTED_VALUE"""),"Dairy")</f>
        <v>Dairy</v>
      </c>
      <c r="F1508" s="23">
        <f>IFERROR(__xludf.DUMMYFUNCTION("""COMPUTED_VALUE"""),44786.68673679398)</f>
        <v>44786.68674</v>
      </c>
      <c r="G1508" s="24" t="str">
        <f>IFERROR(__xludf.DUMMYFUNCTION("""COMPUTED_VALUE"""),"Tiffany Jiang")</f>
        <v>Tiffany Jiang</v>
      </c>
      <c r="H1508" s="24">
        <f>IFERROR(__xludf.DUMMYFUNCTION("""COMPUTED_VALUE"""),13.0)</f>
        <v>13</v>
      </c>
      <c r="I1508" s="24"/>
    </row>
    <row r="1509">
      <c r="A1509" s="23">
        <f>IFERROR(__xludf.DUMMYFUNCTION("""COMPUTED_VALUE"""),44800.689175381944)</f>
        <v>44800.68918</v>
      </c>
      <c r="B1509" s="24" t="str">
        <f>IFERROR(__xludf.DUMMYFUNCTION("""COMPUTED_VALUE"""),"Claire")</f>
        <v>Claire</v>
      </c>
      <c r="C1509" s="24">
        <f>IFERROR(__xludf.DUMMYFUNCTION("""COMPUTED_VALUE"""),-414.0)</f>
        <v>-414</v>
      </c>
      <c r="D1509" s="24" t="str">
        <f>IFERROR(__xludf.DUMMYFUNCTION("""COMPUTED_VALUE"""),"Drinks [fridge]")</f>
        <v>Drinks [fridge]</v>
      </c>
      <c r="F1509" s="23">
        <f>IFERROR(__xludf.DUMMYFUNCTION("""COMPUTED_VALUE"""),44786.68724244213)</f>
        <v>44786.68724</v>
      </c>
      <c r="G1509" s="24" t="str">
        <f>IFERROR(__xludf.DUMMYFUNCTION("""COMPUTED_VALUE"""),"Beverly Pinn")</f>
        <v>Beverly Pinn</v>
      </c>
      <c r="H1509" s="24">
        <f>IFERROR(__xludf.DUMMYFUNCTION("""COMPUTED_VALUE"""),20.0)</f>
        <v>20</v>
      </c>
      <c r="I1509" s="24"/>
    </row>
    <row r="1510">
      <c r="A1510" s="23">
        <f>IFERROR(__xludf.DUMMYFUNCTION("""COMPUTED_VALUE"""),44800.68948644676)</f>
        <v>44800.68949</v>
      </c>
      <c r="B1510" s="24" t="str">
        <f>IFERROR(__xludf.DUMMYFUNCTION("""COMPUTED_VALUE"""),"Claire")</f>
        <v>Claire</v>
      </c>
      <c r="C1510" s="24">
        <f>IFERROR(__xludf.DUMMYFUNCTION("""COMPUTED_VALUE"""),-996.0)</f>
        <v>-996</v>
      </c>
      <c r="D1510" s="24" t="str">
        <f>IFERROR(__xludf.DUMMYFUNCTION("""COMPUTED_VALUE"""),"Drinks [dry]")</f>
        <v>Drinks [dry]</v>
      </c>
      <c r="F1510" s="23">
        <f>IFERROR(__xludf.DUMMYFUNCTION("""COMPUTED_VALUE"""),44786.68743071759)</f>
        <v>44786.68743</v>
      </c>
      <c r="G1510" s="24" t="str">
        <f>IFERROR(__xludf.DUMMYFUNCTION("""COMPUTED_VALUE"""),"Beverly Pinn")</f>
        <v>Beverly Pinn</v>
      </c>
      <c r="H1510" s="24">
        <f>IFERROR(__xludf.DUMMYFUNCTION("""COMPUTED_VALUE"""),3.0)</f>
        <v>3</v>
      </c>
      <c r="I1510" s="24"/>
    </row>
    <row r="1511">
      <c r="A1511" s="23">
        <f>IFERROR(__xludf.DUMMYFUNCTION("""COMPUTED_VALUE"""),44800.68973741898)</f>
        <v>44800.68974</v>
      </c>
      <c r="B1511" s="24" t="str">
        <f>IFERROR(__xludf.DUMMYFUNCTION("""COMPUTED_VALUE"""),"Claire")</f>
        <v>Claire</v>
      </c>
      <c r="C1511" s="24">
        <f>IFERROR(__xludf.DUMMYFUNCTION("""COMPUTED_VALUE"""),-217.0)</f>
        <v>-217</v>
      </c>
      <c r="D1511" s="24" t="str">
        <f>IFERROR(__xludf.DUMMYFUNCTION("""COMPUTED_VALUE"""),"Snacks")</f>
        <v>Snacks</v>
      </c>
      <c r="F1511" s="23">
        <f>IFERROR(__xludf.DUMMYFUNCTION("""COMPUTED_VALUE"""),44786.68763760417)</f>
        <v>44786.68764</v>
      </c>
      <c r="G1511" s="24" t="str">
        <f>IFERROR(__xludf.DUMMYFUNCTION("""COMPUTED_VALUE"""),"Emily Stucke")</f>
        <v>Emily Stucke</v>
      </c>
      <c r="H1511" s="24">
        <f>IFERROR(__xludf.DUMMYFUNCTION("""COMPUTED_VALUE"""),11.0)</f>
        <v>11</v>
      </c>
      <c r="I1511" s="24"/>
    </row>
    <row r="1512">
      <c r="A1512" s="23">
        <f>IFERROR(__xludf.DUMMYFUNCTION("""COMPUTED_VALUE"""),44800.69144310185)</f>
        <v>44800.69144</v>
      </c>
      <c r="B1512" s="24" t="str">
        <f>IFERROR(__xludf.DUMMYFUNCTION("""COMPUTED_VALUE"""),"Claire")</f>
        <v>Claire</v>
      </c>
      <c r="C1512" s="24">
        <f>IFERROR(__xludf.DUMMYFUNCTION("""COMPUTED_VALUE"""),700.0)</f>
        <v>700</v>
      </c>
      <c r="D1512" s="24" t="str">
        <f>IFERROR(__xludf.DUMMYFUNCTION("""COMPUTED_VALUE"""),"Produce")</f>
        <v>Produce</v>
      </c>
      <c r="F1512" s="23">
        <f>IFERROR(__xludf.DUMMYFUNCTION("""COMPUTED_VALUE"""),44786.690095162034)</f>
        <v>44786.6901</v>
      </c>
      <c r="G1512" s="24" t="str">
        <f>IFERROR(__xludf.DUMMYFUNCTION("""COMPUTED_VALUE"""),"Gilda castillo ")</f>
        <v>Gilda castillo </v>
      </c>
      <c r="H1512" s="24">
        <f>IFERROR(__xludf.DUMMYFUNCTION("""COMPUTED_VALUE"""),20.0)</f>
        <v>20</v>
      </c>
      <c r="I1512" s="24"/>
    </row>
    <row r="1513">
      <c r="A1513" s="23">
        <f>IFERROR(__xludf.DUMMYFUNCTION("""COMPUTED_VALUE"""),44800.69222291667)</f>
        <v>44800.69222</v>
      </c>
      <c r="B1513" s="24" t="str">
        <f>IFERROR(__xludf.DUMMYFUNCTION("""COMPUTED_VALUE"""),"Claire")</f>
        <v>Claire</v>
      </c>
      <c r="C1513" s="24">
        <f>IFERROR(__xludf.DUMMYFUNCTION("""COMPUTED_VALUE"""),-160.0)</f>
        <v>-160</v>
      </c>
      <c r="D1513" s="24" t="str">
        <f>IFERROR(__xludf.DUMMYFUNCTION("""COMPUTED_VALUE"""),"Produce")</f>
        <v>Produce</v>
      </c>
      <c r="F1513" s="23">
        <f>IFERROR(__xludf.DUMMYFUNCTION("""COMPUTED_VALUE"""),44786.69075863426)</f>
        <v>44786.69076</v>
      </c>
      <c r="G1513" s="24" t="str">
        <f>IFERROR(__xludf.DUMMYFUNCTION("""COMPUTED_VALUE"""),"Angeles Cortes")</f>
        <v>Angeles Cortes</v>
      </c>
      <c r="H1513" s="24">
        <f>IFERROR(__xludf.DUMMYFUNCTION("""COMPUTED_VALUE"""),20.0)</f>
        <v>20</v>
      </c>
      <c r="I1513" s="24"/>
    </row>
    <row r="1514">
      <c r="A1514" s="23">
        <f>IFERROR(__xludf.DUMMYFUNCTION("""COMPUTED_VALUE"""),44801.66771525463)</f>
        <v>44801.66772</v>
      </c>
      <c r="B1514" s="24" t="str">
        <f>IFERROR(__xludf.DUMMYFUNCTION("""COMPUTED_VALUE"""),"JC")</f>
        <v>JC</v>
      </c>
      <c r="C1514" s="24">
        <f>IFERROR(__xludf.DUMMYFUNCTION("""COMPUTED_VALUE"""),145.0)</f>
        <v>145</v>
      </c>
      <c r="D1514" s="24" t="str">
        <f>IFERROR(__xludf.DUMMYFUNCTION("""COMPUTED_VALUE"""),"Assorted Dry")</f>
        <v>Assorted Dry</v>
      </c>
      <c r="F1514" s="23">
        <f>IFERROR(__xludf.DUMMYFUNCTION("""COMPUTED_VALUE"""),44786.69124986111)</f>
        <v>44786.69125</v>
      </c>
      <c r="G1514" s="24" t="str">
        <f>IFERROR(__xludf.DUMMYFUNCTION("""COMPUTED_VALUE"""),"Angeles Cortes")</f>
        <v>Angeles Cortes</v>
      </c>
      <c r="H1514" s="24">
        <f>IFERROR(__xludf.DUMMYFUNCTION("""COMPUTED_VALUE"""),2.0)</f>
        <v>2</v>
      </c>
      <c r="I1514" s="24"/>
    </row>
    <row r="1515">
      <c r="A1515" s="23">
        <f>IFERROR(__xludf.DUMMYFUNCTION("""COMPUTED_VALUE"""),44801.6680012963)</f>
        <v>44801.668</v>
      </c>
      <c r="B1515" s="24" t="str">
        <f>IFERROR(__xludf.DUMMYFUNCTION("""COMPUTED_VALUE"""),"JC")</f>
        <v>JC</v>
      </c>
      <c r="C1515" s="24">
        <f>IFERROR(__xludf.DUMMYFUNCTION("""COMPUTED_VALUE"""),269.0)</f>
        <v>269</v>
      </c>
      <c r="D1515" s="24" t="str">
        <f>IFERROR(__xludf.DUMMYFUNCTION("""COMPUTED_VALUE"""),"Produce")</f>
        <v>Produce</v>
      </c>
      <c r="F1515" s="23">
        <f>IFERROR(__xludf.DUMMYFUNCTION("""COMPUTED_VALUE"""),44786.699993692135)</f>
        <v>44786.69999</v>
      </c>
      <c r="G1515" s="24" t="str">
        <f>IFERROR(__xludf.DUMMYFUNCTION("""COMPUTED_VALUE"""),"Beverly Pinn")</f>
        <v>Beverly Pinn</v>
      </c>
      <c r="H1515" s="24"/>
      <c r="I1515" s="24"/>
    </row>
    <row r="1516">
      <c r="A1516" s="23">
        <f>IFERROR(__xludf.DUMMYFUNCTION("""COMPUTED_VALUE"""),44801.668336504634)</f>
        <v>44801.66834</v>
      </c>
      <c r="B1516" s="24" t="str">
        <f>IFERROR(__xludf.DUMMYFUNCTION("""COMPUTED_VALUE"""),"JC")</f>
        <v>JC</v>
      </c>
      <c r="C1516" s="24">
        <f>IFERROR(__xludf.DUMMYFUNCTION("""COMPUTED_VALUE"""),148.0)</f>
        <v>148</v>
      </c>
      <c r="D1516" s="24" t="str">
        <f>IFERROR(__xludf.DUMMYFUNCTION("""COMPUTED_VALUE"""),"Produce")</f>
        <v>Produce</v>
      </c>
      <c r="F1516" s="23">
        <f>IFERROR(__xludf.DUMMYFUNCTION("""COMPUTED_VALUE"""),44786.70228979167)</f>
        <v>44786.70229</v>
      </c>
      <c r="G1516" s="24" t="str">
        <f>IFERROR(__xludf.DUMMYFUNCTION("""COMPUTED_VALUE"""),"Dean Chien")</f>
        <v>Dean Chien</v>
      </c>
      <c r="H1516" s="24">
        <f>IFERROR(__xludf.DUMMYFUNCTION("""COMPUTED_VALUE"""),19.0)</f>
        <v>19</v>
      </c>
      <c r="I1516" s="24"/>
    </row>
    <row r="1517">
      <c r="A1517" s="23">
        <f>IFERROR(__xludf.DUMMYFUNCTION("""COMPUTED_VALUE"""),44801.668550601855)</f>
        <v>44801.66855</v>
      </c>
      <c r="B1517" s="24" t="str">
        <f>IFERROR(__xludf.DUMMYFUNCTION("""COMPUTED_VALUE"""),"JC")</f>
        <v>JC</v>
      </c>
      <c r="C1517" s="24">
        <f>IFERROR(__xludf.DUMMYFUNCTION("""COMPUTED_VALUE"""),36.0)</f>
        <v>36</v>
      </c>
      <c r="D1517" s="24" t="str">
        <f>IFERROR(__xludf.DUMMYFUNCTION("""COMPUTED_VALUE"""),"Produce")</f>
        <v>Produce</v>
      </c>
      <c r="F1517" s="23">
        <f>IFERROR(__xludf.DUMMYFUNCTION("""COMPUTED_VALUE"""),44787.0)</f>
        <v>44787</v>
      </c>
      <c r="G1517" s="24" t="str">
        <f>IFERROR(__xludf.DUMMYFUNCTION("""COMPUTED_VALUE"""),"Claire")</f>
        <v>Claire</v>
      </c>
      <c r="H1517" s="24">
        <f>IFERROR(__xludf.DUMMYFUNCTION("""COMPUTED_VALUE"""),37.0)</f>
        <v>37</v>
      </c>
      <c r="I1517" s="24" t="str">
        <f>IFERROR(__xludf.DUMMYFUNCTION("""COMPUTED_VALUE"""),"Sandtown quakers")</f>
        <v>Sandtown quakers</v>
      </c>
    </row>
    <row r="1518">
      <c r="A1518" s="23">
        <f>IFERROR(__xludf.DUMMYFUNCTION("""COMPUTED_VALUE"""),44801.66988337963)</f>
        <v>44801.66988</v>
      </c>
      <c r="B1518" s="24" t="str">
        <f>IFERROR(__xludf.DUMMYFUNCTION("""COMPUTED_VALUE"""),"JC")</f>
        <v>JC</v>
      </c>
      <c r="C1518" s="24">
        <f>IFERROR(__xludf.DUMMYFUNCTION("""COMPUTED_VALUE"""),145.0)</f>
        <v>145</v>
      </c>
      <c r="D1518" s="24" t="str">
        <f>IFERROR(__xludf.DUMMYFUNCTION("""COMPUTED_VALUE"""),"Baby Supplies")</f>
        <v>Baby Supplies</v>
      </c>
      <c r="F1518" s="23">
        <f>IFERROR(__xludf.DUMMYFUNCTION("""COMPUTED_VALUE"""),44787.0)</f>
        <v>44787</v>
      </c>
      <c r="G1518" s="24" t="str">
        <f>IFERROR(__xludf.DUMMYFUNCTION("""COMPUTED_VALUE"""),"Claire")</f>
        <v>Claire</v>
      </c>
      <c r="H1518" s="24">
        <f>IFERROR(__xludf.DUMMYFUNCTION("""COMPUTED_VALUE"""),787.0)</f>
        <v>787</v>
      </c>
      <c r="I1518" s="24" t="str">
        <f>IFERROR(__xludf.DUMMYFUNCTION("""COMPUTED_VALUE"""),"Amazon")</f>
        <v>Amazon</v>
      </c>
    </row>
    <row r="1519">
      <c r="A1519" s="23">
        <f>IFERROR(__xludf.DUMMYFUNCTION("""COMPUTED_VALUE"""),44801.67017106481)</f>
        <v>44801.67017</v>
      </c>
      <c r="B1519" s="24" t="str">
        <f>IFERROR(__xludf.DUMMYFUNCTION("""COMPUTED_VALUE"""),"JC")</f>
        <v>JC</v>
      </c>
      <c r="C1519" s="24">
        <f>IFERROR(__xludf.DUMMYFUNCTION("""COMPUTED_VALUE"""),67.0)</f>
        <v>67</v>
      </c>
      <c r="D1519" s="24" t="str">
        <f>IFERROR(__xludf.DUMMYFUNCTION("""COMPUTED_VALUE"""),"Paper Supplies")</f>
        <v>Paper Supplies</v>
      </c>
      <c r="F1519" s="23">
        <f>IFERROR(__xludf.DUMMYFUNCTION("""COMPUTED_VALUE"""),44787.0)</f>
        <v>44787</v>
      </c>
      <c r="G1519" s="24" t="str">
        <f>IFERROR(__xludf.DUMMYFUNCTION("""COMPUTED_VALUE"""),"Claire")</f>
        <v>Claire</v>
      </c>
      <c r="H1519" s="24">
        <f>IFERROR(__xludf.DUMMYFUNCTION("""COMPUTED_VALUE"""),460.0)</f>
        <v>460</v>
      </c>
      <c r="I1519" s="24" t="str">
        <f>IFERROR(__xludf.DUMMYFUNCTION("""COMPUTED_VALUE"""),"Amazon")</f>
        <v>Amazon</v>
      </c>
    </row>
    <row r="1520">
      <c r="A1520" s="23">
        <f>IFERROR(__xludf.DUMMYFUNCTION("""COMPUTED_VALUE"""),44801.67061341435)</f>
        <v>44801.67061</v>
      </c>
      <c r="B1520" s="24" t="str">
        <f>IFERROR(__xludf.DUMMYFUNCTION("""COMPUTED_VALUE"""),"JC")</f>
        <v>JC</v>
      </c>
      <c r="C1520" s="24">
        <f>IFERROR(__xludf.DUMMYFUNCTION("""COMPUTED_VALUE"""),796.0)</f>
        <v>796</v>
      </c>
      <c r="D1520" s="24" t="str">
        <f>IFERROR(__xludf.DUMMYFUNCTION("""COMPUTED_VALUE"""),"Drinks [Dry]")</f>
        <v>Drinks [Dry]</v>
      </c>
      <c r="F1520" s="23">
        <f>IFERROR(__xludf.DUMMYFUNCTION("""COMPUTED_VALUE"""),44787.0)</f>
        <v>44787</v>
      </c>
      <c r="G1520" s="24" t="str">
        <f>IFERROR(__xludf.DUMMYFUNCTION("""COMPUTED_VALUE"""),"Claire")</f>
        <v>Claire</v>
      </c>
      <c r="H1520" s="24">
        <f>IFERROR(__xludf.DUMMYFUNCTION("""COMPUTED_VALUE"""),844.0)</f>
        <v>844</v>
      </c>
      <c r="I1520" s="24" t="str">
        <f>IFERROR(__xludf.DUMMYFUNCTION("""COMPUTED_VALUE"""),"Amazon")</f>
        <v>Amazon</v>
      </c>
    </row>
    <row r="1521">
      <c r="A1521" s="23">
        <f>IFERROR(__xludf.DUMMYFUNCTION("""COMPUTED_VALUE"""),44801.67105456019)</f>
        <v>44801.67105</v>
      </c>
      <c r="B1521" s="24" t="str">
        <f>IFERROR(__xludf.DUMMYFUNCTION("""COMPUTED_VALUE"""),"JC")</f>
        <v>JC</v>
      </c>
      <c r="C1521" s="24">
        <f>IFERROR(__xludf.DUMMYFUNCTION("""COMPUTED_VALUE"""),299.0)</f>
        <v>299</v>
      </c>
      <c r="D1521" s="24" t="str">
        <f>IFERROR(__xludf.DUMMYFUNCTION("""COMPUTED_VALUE"""),"Assorted Fridge")</f>
        <v>Assorted Fridge</v>
      </c>
      <c r="F1521" s="23">
        <f>IFERROR(__xludf.DUMMYFUNCTION("""COMPUTED_VALUE"""),44787.0)</f>
        <v>44787</v>
      </c>
      <c r="G1521" s="24" t="str">
        <f>IFERROR(__xludf.DUMMYFUNCTION("""COMPUTED_VALUE"""),"Claire")</f>
        <v>Claire</v>
      </c>
      <c r="H1521" s="24">
        <f>IFERROR(__xludf.DUMMYFUNCTION("""COMPUTED_VALUE"""),680.0)</f>
        <v>680</v>
      </c>
      <c r="I1521" s="24" t="str">
        <f>IFERROR(__xludf.DUMMYFUNCTION("""COMPUTED_VALUE"""),"Assorted option")</f>
        <v>Assorted option</v>
      </c>
    </row>
    <row r="1522">
      <c r="A1522" s="23">
        <f>IFERROR(__xludf.DUMMYFUNCTION("""COMPUTED_VALUE"""),44801.67168998843)</f>
        <v>44801.67169</v>
      </c>
      <c r="B1522" s="24" t="str">
        <f>IFERROR(__xludf.DUMMYFUNCTION("""COMPUTED_VALUE"""),"JC")</f>
        <v>JC</v>
      </c>
      <c r="C1522" s="24">
        <f>IFERROR(__xludf.DUMMYFUNCTION("""COMPUTED_VALUE"""),89.0)</f>
        <v>89</v>
      </c>
      <c r="D1522" s="24" t="str">
        <f>IFERROR(__xludf.DUMMYFUNCTION("""COMPUTED_VALUE"""),"Household")</f>
        <v>Household</v>
      </c>
      <c r="F1522" s="23">
        <f>IFERROR(__xludf.DUMMYFUNCTION("""COMPUTED_VALUE"""),44787.0)</f>
        <v>44787</v>
      </c>
      <c r="G1522" s="24" t="str">
        <f>IFERROR(__xludf.DUMMYFUNCTION("""COMPUTED_VALUE"""),"Travis ")</f>
        <v>Travis </v>
      </c>
      <c r="H1522" s="24">
        <f>IFERROR(__xludf.DUMMYFUNCTION("""COMPUTED_VALUE"""),20.0)</f>
        <v>20</v>
      </c>
      <c r="I1522" s="24"/>
    </row>
    <row r="1523">
      <c r="A1523" s="23">
        <f>IFERROR(__xludf.DUMMYFUNCTION("""COMPUTED_VALUE"""),44801.67248932871)</f>
        <v>44801.67249</v>
      </c>
      <c r="B1523" s="24" t="str">
        <f>IFERROR(__xludf.DUMMYFUNCTION("""COMPUTED_VALUE"""),"JC")</f>
        <v>JC</v>
      </c>
      <c r="C1523" s="24">
        <f>IFERROR(__xludf.DUMMYFUNCTION("""COMPUTED_VALUE"""),181.0)</f>
        <v>181</v>
      </c>
      <c r="D1523" s="24" t="str">
        <f>IFERROR(__xludf.DUMMYFUNCTION("""COMPUTED_VALUE"""),"Grains (rice, pasta, etc.)")</f>
        <v>Grains (rice, pasta, etc.)</v>
      </c>
      <c r="F1523" s="23">
        <f>IFERROR(__xludf.DUMMYFUNCTION("""COMPUTED_VALUE"""),44787.0)</f>
        <v>44787</v>
      </c>
      <c r="G1523" s="24" t="str">
        <f>IFERROR(__xludf.DUMMYFUNCTION("""COMPUTED_VALUE"""),"Kaneesha Bailey")</f>
        <v>Kaneesha Bailey</v>
      </c>
      <c r="H1523" s="24">
        <f>IFERROR(__xludf.DUMMYFUNCTION("""COMPUTED_VALUE"""),16.0)</f>
        <v>16</v>
      </c>
      <c r="I1523" s="24"/>
    </row>
    <row r="1524">
      <c r="A1524" s="23">
        <f>IFERROR(__xludf.DUMMYFUNCTION("""COMPUTED_VALUE"""),44801.672983125005)</f>
        <v>44801.67298</v>
      </c>
      <c r="B1524" s="24" t="str">
        <f>IFERROR(__xludf.DUMMYFUNCTION("""COMPUTED_VALUE"""),"JC")</f>
        <v>JC</v>
      </c>
      <c r="C1524" s="24">
        <f>IFERROR(__xludf.DUMMYFUNCTION("""COMPUTED_VALUE"""),41.0)</f>
        <v>41</v>
      </c>
      <c r="D1524" s="24" t="str">
        <f>IFERROR(__xludf.DUMMYFUNCTION("""COMPUTED_VALUE"""),"Assorted Dry")</f>
        <v>Assorted Dry</v>
      </c>
      <c r="F1524" s="23">
        <f>IFERROR(__xludf.DUMMYFUNCTION("""COMPUTED_VALUE"""),44787.0)</f>
        <v>44787</v>
      </c>
      <c r="G1524" s="24" t="str">
        <f>IFERROR(__xludf.DUMMYFUNCTION("""COMPUTED_VALUE"""),"Kaneesha Bailey")</f>
        <v>Kaneesha Bailey</v>
      </c>
      <c r="H1524" s="24">
        <f>IFERROR(__xludf.DUMMYFUNCTION("""COMPUTED_VALUE"""),9.0)</f>
        <v>9</v>
      </c>
      <c r="I1524" s="24"/>
    </row>
    <row r="1525">
      <c r="A1525" s="23">
        <f>IFERROR(__xludf.DUMMYFUNCTION("""COMPUTED_VALUE"""),44801.67340731482)</f>
        <v>44801.67341</v>
      </c>
      <c r="B1525" s="24" t="str">
        <f>IFERROR(__xludf.DUMMYFUNCTION("""COMPUTED_VALUE"""),"JC")</f>
        <v>JC</v>
      </c>
      <c r="C1525" s="24">
        <f>IFERROR(__xludf.DUMMYFUNCTION("""COMPUTED_VALUE"""),60.0)</f>
        <v>60</v>
      </c>
      <c r="D1525" s="24" t="str">
        <f>IFERROR(__xludf.DUMMYFUNCTION("""COMPUTED_VALUE"""),"Produce")</f>
        <v>Produce</v>
      </c>
      <c r="F1525" s="23">
        <f>IFERROR(__xludf.DUMMYFUNCTION("""COMPUTED_VALUE"""),44787.0)</f>
        <v>44787</v>
      </c>
      <c r="G1525" s="24" t="str">
        <f>IFERROR(__xludf.DUMMYFUNCTION("""COMPUTED_VALUE"""),"Denise Wilkins")</f>
        <v>Denise Wilkins</v>
      </c>
      <c r="H1525" s="24">
        <f>IFERROR(__xludf.DUMMYFUNCTION("""COMPUTED_VALUE"""),20.0)</f>
        <v>20</v>
      </c>
      <c r="I1525" s="24"/>
    </row>
    <row r="1526">
      <c r="A1526" s="23">
        <f>IFERROR(__xludf.DUMMYFUNCTION("""COMPUTED_VALUE"""),44804.695282326385)</f>
        <v>44804.69528</v>
      </c>
      <c r="B1526" s="24" t="str">
        <f>IFERROR(__xludf.DUMMYFUNCTION("""COMPUTED_VALUE"""),"Claire")</f>
        <v>Claire</v>
      </c>
      <c r="C1526" s="24">
        <f>IFERROR(__xludf.DUMMYFUNCTION("""COMPUTED_VALUE"""),540.0)</f>
        <v>540</v>
      </c>
      <c r="D1526" s="24" t="str">
        <f>IFERROR(__xludf.DUMMYFUNCTION("""COMPUTED_VALUE"""),"Produce")</f>
        <v>Produce</v>
      </c>
      <c r="F1526" s="23">
        <f>IFERROR(__xludf.DUMMYFUNCTION("""COMPUTED_VALUE"""),44787.5704938426)</f>
        <v>44787.57049</v>
      </c>
      <c r="G1526" s="24" t="str">
        <f>IFERROR(__xludf.DUMMYFUNCTION("""COMPUTED_VALUE"""),"Claire")</f>
        <v>Claire</v>
      </c>
      <c r="H1526" s="24">
        <f>IFERROR(__xludf.DUMMYFUNCTION("""COMPUTED_VALUE"""),558.0)</f>
        <v>558</v>
      </c>
      <c r="I1526" s="24" t="str">
        <f>IFERROR(__xludf.DUMMYFUNCTION("""COMPUTED_VALUE"""),"Assort/mix")</f>
        <v>Assort/mix</v>
      </c>
    </row>
    <row r="1527">
      <c r="A1527" s="23">
        <f>IFERROR(__xludf.DUMMYFUNCTION("""COMPUTED_VALUE"""),44804.69622965278)</f>
        <v>44804.69623</v>
      </c>
      <c r="B1527" s="24" t="str">
        <f>IFERROR(__xludf.DUMMYFUNCTION("""COMPUTED_VALUE"""),"Claire")</f>
        <v>Claire</v>
      </c>
      <c r="C1527" s="24">
        <f>IFERROR(__xludf.DUMMYFUNCTION("""COMPUTED_VALUE"""),430.0)</f>
        <v>430</v>
      </c>
      <c r="D1527" s="24" t="str">
        <f>IFERROR(__xludf.DUMMYFUNCTION("""COMPUTED_VALUE"""),"Produce")</f>
        <v>Produce</v>
      </c>
      <c r="F1527" s="23">
        <f>IFERROR(__xludf.DUMMYFUNCTION("""COMPUTED_VALUE"""),44787.57078459491)</f>
        <v>44787.57078</v>
      </c>
      <c r="G1527" s="24" t="str">
        <f>IFERROR(__xludf.DUMMYFUNCTION("""COMPUTED_VALUE"""),"Claire")</f>
        <v>Claire</v>
      </c>
      <c r="H1527" s="24">
        <f>IFERROR(__xludf.DUMMYFUNCTION("""COMPUTED_VALUE"""),571.0)</f>
        <v>571</v>
      </c>
      <c r="I1527" s="24" t="str">
        <f>IFERROR(__xludf.DUMMYFUNCTION("""COMPUTED_VALUE"""),"Produce")</f>
        <v>Produce</v>
      </c>
    </row>
    <row r="1528">
      <c r="A1528" s="23">
        <f>IFERROR(__xludf.DUMMYFUNCTION("""COMPUTED_VALUE"""),44806.63787452546)</f>
        <v>44806.63787</v>
      </c>
      <c r="B1528" s="24" t="str">
        <f>IFERROR(__xludf.DUMMYFUNCTION("""COMPUTED_VALUE"""),"Adeola Sulaiman")</f>
        <v>Adeola Sulaiman</v>
      </c>
      <c r="C1528" s="24">
        <f>IFERROR(__xludf.DUMMYFUNCTION("""COMPUTED_VALUE"""),198.0)</f>
        <v>198</v>
      </c>
      <c r="D1528" s="24" t="str">
        <f>IFERROR(__xludf.DUMMYFUNCTION("""COMPUTED_VALUE"""),"Household")</f>
        <v>Household</v>
      </c>
      <c r="F1528" s="23">
        <f>IFERROR(__xludf.DUMMYFUNCTION("""COMPUTED_VALUE"""),44787.57102517361)</f>
        <v>44787.57103</v>
      </c>
      <c r="G1528" s="24" t="str">
        <f>IFERROR(__xludf.DUMMYFUNCTION("""COMPUTED_VALUE"""),"Claire")</f>
        <v>Claire</v>
      </c>
      <c r="H1528" s="24">
        <f>IFERROR(__xludf.DUMMYFUNCTION("""COMPUTED_VALUE"""),531.0)</f>
        <v>531</v>
      </c>
      <c r="I1528" s="24" t="str">
        <f>IFERROR(__xludf.DUMMYFUNCTION("""COMPUTED_VALUE"""),"Frozen")</f>
        <v>Frozen</v>
      </c>
    </row>
    <row r="1529">
      <c r="A1529" s="23">
        <f>IFERROR(__xludf.DUMMYFUNCTION("""COMPUTED_VALUE"""),44806.638179155096)</f>
        <v>44806.63818</v>
      </c>
      <c r="B1529" s="24" t="str">
        <f>IFERROR(__xludf.DUMMYFUNCTION("""COMPUTED_VALUE"""),"Adeola Sulaiman")</f>
        <v>Adeola Sulaiman</v>
      </c>
      <c r="C1529" s="24">
        <f>IFERROR(__xludf.DUMMYFUNCTION("""COMPUTED_VALUE"""),109.0)</f>
        <v>109</v>
      </c>
      <c r="D1529" s="24" t="str">
        <f>IFERROR(__xludf.DUMMYFUNCTION("""COMPUTED_VALUE"""),"Snacks")</f>
        <v>Snacks</v>
      </c>
      <c r="F1529" s="23">
        <f>IFERROR(__xludf.DUMMYFUNCTION("""COMPUTED_VALUE"""),44787.57243943287)</f>
        <v>44787.57244</v>
      </c>
      <c r="G1529" s="24" t="str">
        <f>IFERROR(__xludf.DUMMYFUNCTION("""COMPUTED_VALUE"""),"Claire")</f>
        <v>Claire</v>
      </c>
      <c r="H1529" s="24">
        <f>IFERROR(__xludf.DUMMYFUNCTION("""COMPUTED_VALUE"""),195.0)</f>
        <v>195</v>
      </c>
      <c r="I1529" s="24" t="str">
        <f>IFERROR(__xludf.DUMMYFUNCTION("""COMPUTED_VALUE"""),"Snacks")</f>
        <v>Snacks</v>
      </c>
    </row>
    <row r="1530">
      <c r="A1530" s="23">
        <f>IFERROR(__xludf.DUMMYFUNCTION("""COMPUTED_VALUE"""),44806.63875496528)</f>
        <v>44806.63875</v>
      </c>
      <c r="B1530" s="24" t="str">
        <f>IFERROR(__xludf.DUMMYFUNCTION("""COMPUTED_VALUE"""),"Adeola Sulaiman")</f>
        <v>Adeola Sulaiman</v>
      </c>
      <c r="C1530" s="24">
        <f>IFERROR(__xludf.DUMMYFUNCTION("""COMPUTED_VALUE"""),71.0)</f>
        <v>71</v>
      </c>
      <c r="D1530" s="24" t="str">
        <f>IFERROR(__xludf.DUMMYFUNCTION("""COMPUTED_VALUE"""),"Personal Care")</f>
        <v>Personal Care</v>
      </c>
      <c r="F1530" s="23">
        <f>IFERROR(__xludf.DUMMYFUNCTION("""COMPUTED_VALUE"""),44787.586061365735)</f>
        <v>44787.58606</v>
      </c>
      <c r="G1530" s="24" t="str">
        <f>IFERROR(__xludf.DUMMYFUNCTION("""COMPUTED_VALUE"""),"Claire")</f>
        <v>Claire</v>
      </c>
      <c r="H1530" s="24">
        <f>IFERROR(__xludf.DUMMYFUNCTION("""COMPUTED_VALUE"""),172.0)</f>
        <v>172</v>
      </c>
      <c r="I1530" s="24" t="str">
        <f>IFERROR(__xludf.DUMMYFUNCTION("""COMPUTED_VALUE"""),"Drinks")</f>
        <v>Drinks</v>
      </c>
    </row>
    <row r="1531">
      <c r="A1531" s="23">
        <f>IFERROR(__xludf.DUMMYFUNCTION("""COMPUTED_VALUE"""),44806.70634690972)</f>
        <v>44806.70635</v>
      </c>
      <c r="B1531" s="24" t="str">
        <f>IFERROR(__xludf.DUMMYFUNCTION("""COMPUTED_VALUE"""),"Sunita pathik ")</f>
        <v>Sunita pathik </v>
      </c>
      <c r="C1531" s="24">
        <f>IFERROR(__xludf.DUMMYFUNCTION("""COMPUTED_VALUE"""),152.0)</f>
        <v>152</v>
      </c>
      <c r="D1531" s="24" t="str">
        <f>IFERROR(__xludf.DUMMYFUNCTION("""COMPUTED_VALUE"""),"Assorted Fridge")</f>
        <v>Assorted Fridge</v>
      </c>
      <c r="F1531" s="23">
        <f>IFERROR(__xludf.DUMMYFUNCTION("""COMPUTED_VALUE"""),44787.58638804398)</f>
        <v>44787.58639</v>
      </c>
      <c r="G1531" s="24" t="str">
        <f>IFERROR(__xludf.DUMMYFUNCTION("""COMPUTED_VALUE"""),"Claire")</f>
        <v>Claire</v>
      </c>
      <c r="H1531" s="24">
        <f>IFERROR(__xludf.DUMMYFUNCTION("""COMPUTED_VALUE"""),79.0)</f>
        <v>79</v>
      </c>
      <c r="I1531" s="24" t="str">
        <f>IFERROR(__xludf.DUMMYFUNCTION("""COMPUTED_VALUE"""),"Assorted option")</f>
        <v>Assorted option</v>
      </c>
    </row>
    <row r="1532">
      <c r="A1532" s="23">
        <f>IFERROR(__xludf.DUMMYFUNCTION("""COMPUTED_VALUE"""),44807.72137663195)</f>
        <v>44807.72138</v>
      </c>
      <c r="B1532" s="24" t="str">
        <f>IFERROR(__xludf.DUMMYFUNCTION("""COMPUTED_VALUE"""),"Claire")</f>
        <v>Claire</v>
      </c>
      <c r="C1532" s="24">
        <f>IFERROR(__xludf.DUMMYFUNCTION("""COMPUTED_VALUE"""),67.0)</f>
        <v>67</v>
      </c>
      <c r="D1532" s="24" t="str">
        <f>IFERROR(__xludf.DUMMYFUNCTION("""COMPUTED_VALUE"""),"Assorted Dry")</f>
        <v>Assorted Dry</v>
      </c>
      <c r="F1532" s="23">
        <f>IFERROR(__xludf.DUMMYFUNCTION("""COMPUTED_VALUE"""),44787.65883493055)</f>
        <v>44787.65883</v>
      </c>
      <c r="G1532" s="24" t="str">
        <f>IFERROR(__xludf.DUMMYFUNCTION("""COMPUTED_VALUE"""),"Cybil Bailey")</f>
        <v>Cybil Bailey</v>
      </c>
      <c r="H1532" s="24">
        <f>IFERROR(__xludf.DUMMYFUNCTION("""COMPUTED_VALUE"""),8.0)</f>
        <v>8</v>
      </c>
      <c r="I1532" s="24"/>
    </row>
    <row r="1533">
      <c r="A1533" s="23">
        <f>IFERROR(__xludf.DUMMYFUNCTION("""COMPUTED_VALUE"""),44807.72164733796)</f>
        <v>44807.72165</v>
      </c>
      <c r="B1533" s="24" t="str">
        <f>IFERROR(__xludf.DUMMYFUNCTION("""COMPUTED_VALUE"""),"Claire")</f>
        <v>Claire</v>
      </c>
      <c r="C1533" s="24">
        <f>IFERROR(__xludf.DUMMYFUNCTION("""COMPUTED_VALUE"""),77.0)</f>
        <v>77</v>
      </c>
      <c r="D1533" s="24" t="str">
        <f>IFERROR(__xludf.DUMMYFUNCTION("""COMPUTED_VALUE"""),"Household")</f>
        <v>Household</v>
      </c>
      <c r="F1533" s="23">
        <f>IFERROR(__xludf.DUMMYFUNCTION("""COMPUTED_VALUE"""),44787.66458958333)</f>
        <v>44787.66459</v>
      </c>
      <c r="G1533" s="24" t="str">
        <f>IFERROR(__xludf.DUMMYFUNCTION("""COMPUTED_VALUE"""),"Trqvis")</f>
        <v>Trqvis</v>
      </c>
      <c r="H1533" s="24">
        <f>IFERROR(__xludf.DUMMYFUNCTION("""COMPUTED_VALUE"""),20.0)</f>
        <v>20</v>
      </c>
      <c r="I1533" s="24" t="str">
        <f>IFERROR(__xludf.DUMMYFUNCTION("""COMPUTED_VALUE"""),"Assorted option")</f>
        <v>Assorted option</v>
      </c>
    </row>
    <row r="1534">
      <c r="A1534" s="23">
        <f>IFERROR(__xludf.DUMMYFUNCTION("""COMPUTED_VALUE"""),44807.721994907406)</f>
        <v>44807.72199</v>
      </c>
      <c r="B1534" s="24" t="str">
        <f>IFERROR(__xludf.DUMMYFUNCTION("""COMPUTED_VALUE"""),"Claire")</f>
        <v>Claire</v>
      </c>
      <c r="C1534" s="24">
        <f>IFERROR(__xludf.DUMMYFUNCTION("""COMPUTED_VALUE"""),275.0)</f>
        <v>275</v>
      </c>
      <c r="D1534" s="24" t="str">
        <f>IFERROR(__xludf.DUMMYFUNCTION("""COMPUTED_VALUE"""),"Cleaning Supplies")</f>
        <v>Cleaning Supplies</v>
      </c>
      <c r="F1534" s="23">
        <f>IFERROR(__xludf.DUMMYFUNCTION("""COMPUTED_VALUE"""),44787.66603539352)</f>
        <v>44787.66604</v>
      </c>
      <c r="G1534" s="24" t="str">
        <f>IFERROR(__xludf.DUMMYFUNCTION("""COMPUTED_VALUE"""),"Shaneen")</f>
        <v>Shaneen</v>
      </c>
      <c r="H1534" s="24">
        <f>IFERROR(__xludf.DUMMYFUNCTION("""COMPUTED_VALUE"""),20.0)</f>
        <v>20</v>
      </c>
      <c r="I1534" s="24"/>
    </row>
    <row r="1535">
      <c r="A1535" s="23">
        <f>IFERROR(__xludf.DUMMYFUNCTION("""COMPUTED_VALUE"""),44807.72265689815)</f>
        <v>44807.72266</v>
      </c>
      <c r="B1535" s="24" t="str">
        <f>IFERROR(__xludf.DUMMYFUNCTION("""COMPUTED_VALUE"""),"Claire")</f>
        <v>Claire</v>
      </c>
      <c r="C1535" s="24">
        <f>IFERROR(__xludf.DUMMYFUNCTION("""COMPUTED_VALUE"""),542.0)</f>
        <v>542</v>
      </c>
      <c r="D1535" s="24" t="str">
        <f>IFERROR(__xludf.DUMMYFUNCTION("""COMPUTED_VALUE"""),"Snacks")</f>
        <v>Snacks</v>
      </c>
      <c r="F1535" s="23">
        <f>IFERROR(__xludf.DUMMYFUNCTION("""COMPUTED_VALUE"""),44787.67020658565)</f>
        <v>44787.67021</v>
      </c>
      <c r="G1535" s="24" t="str">
        <f>IFERROR(__xludf.DUMMYFUNCTION("""COMPUTED_VALUE"""),"Gretchen Pike")</f>
        <v>Gretchen Pike</v>
      </c>
      <c r="H1535" s="24">
        <f>IFERROR(__xludf.DUMMYFUNCTION("""COMPUTED_VALUE"""),20.0)</f>
        <v>20</v>
      </c>
      <c r="I1535" s="24"/>
    </row>
    <row r="1536">
      <c r="A1536" s="23">
        <f>IFERROR(__xludf.DUMMYFUNCTION("""COMPUTED_VALUE"""),44807.722964062494)</f>
        <v>44807.72296</v>
      </c>
      <c r="B1536" s="24" t="str">
        <f>IFERROR(__xludf.DUMMYFUNCTION("""COMPUTED_VALUE"""),"Claire")</f>
        <v>Claire</v>
      </c>
      <c r="C1536" s="24">
        <f>IFERROR(__xludf.DUMMYFUNCTION("""COMPUTED_VALUE"""),69.0)</f>
        <v>69</v>
      </c>
      <c r="D1536" s="24" t="str">
        <f>IFERROR(__xludf.DUMMYFUNCTION("""COMPUTED_VALUE"""),"Snacks")</f>
        <v>Snacks</v>
      </c>
      <c r="F1536" s="23">
        <f>IFERROR(__xludf.DUMMYFUNCTION("""COMPUTED_VALUE"""),44787.69312077546)</f>
        <v>44787.69312</v>
      </c>
      <c r="G1536" s="24" t="str">
        <f>IFERROR(__xludf.DUMMYFUNCTION("""COMPUTED_VALUE"""),"Shaneen")</f>
        <v>Shaneen</v>
      </c>
      <c r="H1536" s="24">
        <f>IFERROR(__xludf.DUMMYFUNCTION("""COMPUTED_VALUE"""),0.5)</f>
        <v>0.5</v>
      </c>
      <c r="I1536" s="24"/>
    </row>
    <row r="1537">
      <c r="A1537" s="23">
        <f>IFERROR(__xludf.DUMMYFUNCTION("""COMPUTED_VALUE"""),44807.72364266204)</f>
        <v>44807.72364</v>
      </c>
      <c r="B1537" s="24" t="str">
        <f>IFERROR(__xludf.DUMMYFUNCTION("""COMPUTED_VALUE"""),"Claire")</f>
        <v>Claire</v>
      </c>
      <c r="C1537" s="24">
        <f>IFERROR(__xludf.DUMMYFUNCTION("""COMPUTED_VALUE"""),953.0)</f>
        <v>953</v>
      </c>
      <c r="D1537" s="24" t="str">
        <f>IFERROR(__xludf.DUMMYFUNCTION("""COMPUTED_VALUE"""),"Produce")</f>
        <v>Produce</v>
      </c>
      <c r="F1537" s="23">
        <f>IFERROR(__xludf.DUMMYFUNCTION("""COMPUTED_VALUE"""),44787.698489027774)</f>
        <v>44787.69849</v>
      </c>
      <c r="G1537" s="24" t="str">
        <f>IFERROR(__xludf.DUMMYFUNCTION("""COMPUTED_VALUE"""),"Carla")</f>
        <v>Carla</v>
      </c>
      <c r="H1537" s="24">
        <f>IFERROR(__xludf.DUMMYFUNCTION("""COMPUTED_VALUE"""),9.0)</f>
        <v>9</v>
      </c>
      <c r="I1537" s="24"/>
    </row>
    <row r="1538">
      <c r="A1538" s="23">
        <f>IFERROR(__xludf.DUMMYFUNCTION("""COMPUTED_VALUE"""),44807.72404434028)</f>
        <v>44807.72404</v>
      </c>
      <c r="B1538" s="24" t="str">
        <f>IFERROR(__xludf.DUMMYFUNCTION("""COMPUTED_VALUE"""),"Claire")</f>
        <v>Claire</v>
      </c>
      <c r="C1538" s="24">
        <f>IFERROR(__xludf.DUMMYFUNCTION("""COMPUTED_VALUE"""),955.0)</f>
        <v>955</v>
      </c>
      <c r="D1538" s="24" t="str">
        <f>IFERROR(__xludf.DUMMYFUNCTION("""COMPUTED_VALUE"""),"Produce")</f>
        <v>Produce</v>
      </c>
      <c r="F1538" s="23">
        <f>IFERROR(__xludf.DUMMYFUNCTION("""COMPUTED_VALUE"""),44787.69891650463)</f>
        <v>44787.69892</v>
      </c>
      <c r="G1538" s="24" t="str">
        <f>IFERROR(__xludf.DUMMYFUNCTION("""COMPUTED_VALUE"""),"James w")</f>
        <v>James w</v>
      </c>
      <c r="H1538" s="24">
        <f>IFERROR(__xludf.DUMMYFUNCTION("""COMPUTED_VALUE"""),20.0)</f>
        <v>20</v>
      </c>
      <c r="I1538" s="24"/>
    </row>
    <row r="1539">
      <c r="A1539" s="23">
        <f>IFERROR(__xludf.DUMMYFUNCTION("""COMPUTED_VALUE"""),44807.72424642361)</f>
        <v>44807.72425</v>
      </c>
      <c r="B1539" s="24" t="str">
        <f>IFERROR(__xludf.DUMMYFUNCTION("""COMPUTED_VALUE"""),"Claire")</f>
        <v>Claire</v>
      </c>
      <c r="C1539" s="24">
        <f>IFERROR(__xludf.DUMMYFUNCTION("""COMPUTED_VALUE"""),1038.0)</f>
        <v>1038</v>
      </c>
      <c r="D1539" s="24" t="str">
        <f>IFERROR(__xludf.DUMMYFUNCTION("""COMPUTED_VALUE"""),"Drinks [Dry]")</f>
        <v>Drinks [Dry]</v>
      </c>
      <c r="F1539" s="23">
        <f>IFERROR(__xludf.DUMMYFUNCTION("""COMPUTED_VALUE"""),44787.70159653935)</f>
        <v>44787.7016</v>
      </c>
      <c r="G1539" s="24" t="str">
        <f>IFERROR(__xludf.DUMMYFUNCTION("""COMPUTED_VALUE"""),"Opey")</f>
        <v>Opey</v>
      </c>
      <c r="H1539" s="24">
        <f>IFERROR(__xludf.DUMMYFUNCTION("""COMPUTED_VALUE"""),19.0)</f>
        <v>19</v>
      </c>
      <c r="I1539" s="24"/>
    </row>
    <row r="1540">
      <c r="A1540" s="23">
        <f>IFERROR(__xludf.DUMMYFUNCTION("""COMPUTED_VALUE"""),44807.7245580324)</f>
        <v>44807.72456</v>
      </c>
      <c r="B1540" s="24" t="str">
        <f>IFERROR(__xludf.DUMMYFUNCTION("""COMPUTED_VALUE"""),"Claire")</f>
        <v>Claire</v>
      </c>
      <c r="C1540" s="24">
        <f>IFERROR(__xludf.DUMMYFUNCTION("""COMPUTED_VALUE"""),938.0)</f>
        <v>938</v>
      </c>
      <c r="D1540" s="24" t="str">
        <f>IFERROR(__xludf.DUMMYFUNCTION("""COMPUTED_VALUE"""),"Drinks [Fridge]")</f>
        <v>Drinks [Fridge]</v>
      </c>
      <c r="F1540" s="23">
        <f>IFERROR(__xludf.DUMMYFUNCTION("""COMPUTED_VALUE"""),44789.0)</f>
        <v>44789</v>
      </c>
      <c r="G1540" s="24" t="str">
        <f>IFERROR(__xludf.DUMMYFUNCTION("""COMPUTED_VALUE"""),"Gretchen Pike")</f>
        <v>Gretchen Pike</v>
      </c>
      <c r="H1540" s="24">
        <f>IFERROR(__xludf.DUMMYFUNCTION("""COMPUTED_VALUE"""),20.0)</f>
        <v>20</v>
      </c>
      <c r="I1540" s="24"/>
    </row>
    <row r="1541">
      <c r="A1541" s="23">
        <f>IFERROR(__xludf.DUMMYFUNCTION("""COMPUTED_VALUE"""),44807.72485704861)</f>
        <v>44807.72486</v>
      </c>
      <c r="B1541" s="24" t="str">
        <f>IFERROR(__xludf.DUMMYFUNCTION("""COMPUTED_VALUE"""),"Claire")</f>
        <v>Claire</v>
      </c>
      <c r="C1541" s="24">
        <f>IFERROR(__xludf.DUMMYFUNCTION("""COMPUTED_VALUE"""),926.0)</f>
        <v>926</v>
      </c>
      <c r="D1541" s="24" t="str">
        <f>IFERROR(__xludf.DUMMYFUNCTION("""COMPUTED_VALUE"""),"Produce")</f>
        <v>Produce</v>
      </c>
      <c r="F1541" s="23">
        <f>IFERROR(__xludf.DUMMYFUNCTION("""COMPUTED_VALUE"""),44789.0)</f>
        <v>44789</v>
      </c>
      <c r="G1541" s="24" t="str">
        <f>IFERROR(__xludf.DUMMYFUNCTION("""COMPUTED_VALUE"""),"Gretchen Pike")</f>
        <v>Gretchen Pike</v>
      </c>
      <c r="H1541" s="24">
        <f>IFERROR(__xludf.DUMMYFUNCTION("""COMPUTED_VALUE"""),4.0)</f>
        <v>4</v>
      </c>
      <c r="I1541" s="24"/>
    </row>
    <row r="1542">
      <c r="A1542" s="23">
        <f>IFERROR(__xludf.DUMMYFUNCTION("""COMPUTED_VALUE"""),44807.72540009259)</f>
        <v>44807.7254</v>
      </c>
      <c r="B1542" s="24" t="str">
        <f>IFERROR(__xludf.DUMMYFUNCTION("""COMPUTED_VALUE"""),"Claire")</f>
        <v>Claire</v>
      </c>
      <c r="C1542" s="24">
        <f>IFERROR(__xludf.DUMMYFUNCTION("""COMPUTED_VALUE"""),376.0)</f>
        <v>376</v>
      </c>
      <c r="D1542" s="24" t="str">
        <f>IFERROR(__xludf.DUMMYFUNCTION("""COMPUTED_VALUE"""),"Cleaning Supplies")</f>
        <v>Cleaning Supplies</v>
      </c>
      <c r="F1542" s="23">
        <f>IFERROR(__xludf.DUMMYFUNCTION("""COMPUTED_VALUE"""),44789.660655347216)</f>
        <v>44789.66066</v>
      </c>
      <c r="G1542" s="24" t="str">
        <f>IFERROR(__xludf.DUMMYFUNCTION("""COMPUTED_VALUE"""),"Spencer Ellsworth")</f>
        <v>Spencer Ellsworth</v>
      </c>
      <c r="H1542" s="24">
        <f>IFERROR(__xludf.DUMMYFUNCTION("""COMPUTED_VALUE"""),88.0)</f>
        <v>88</v>
      </c>
      <c r="I1542" s="24" t="str">
        <f>IFERROR(__xludf.DUMMYFUNCTION("""COMPUTED_VALUE"""),"Alto Dale Farm")</f>
        <v>Alto Dale Farm</v>
      </c>
    </row>
    <row r="1543">
      <c r="A1543" s="23">
        <f>IFERROR(__xludf.DUMMYFUNCTION("""COMPUTED_VALUE"""),44807.72568741898)</f>
        <v>44807.72569</v>
      </c>
      <c r="B1543" s="24" t="str">
        <f>IFERROR(__xludf.DUMMYFUNCTION("""COMPUTED_VALUE"""),"Claire")</f>
        <v>Claire</v>
      </c>
      <c r="C1543" s="24">
        <f>IFERROR(__xludf.DUMMYFUNCTION("""COMPUTED_VALUE"""),605.0)</f>
        <v>605</v>
      </c>
      <c r="D1543" s="24" t="str">
        <f>IFERROR(__xludf.DUMMYFUNCTION("""COMPUTED_VALUE"""),"Pet Supplies")</f>
        <v>Pet Supplies</v>
      </c>
      <c r="F1543" s="23">
        <f>IFERROR(__xludf.DUMMYFUNCTION("""COMPUTED_VALUE"""),44789.7034950463)</f>
        <v>44789.7035</v>
      </c>
      <c r="G1543" s="24" t="str">
        <f>IFERROR(__xludf.DUMMYFUNCTION("""COMPUTED_VALUE"""),"Barbara Jordan")</f>
        <v>Barbara Jordan</v>
      </c>
      <c r="H1543" s="24">
        <f>IFERROR(__xludf.DUMMYFUNCTION("""COMPUTED_VALUE"""),19.0)</f>
        <v>19</v>
      </c>
      <c r="I1543" s="24"/>
    </row>
    <row r="1544">
      <c r="A1544" s="23">
        <f>IFERROR(__xludf.DUMMYFUNCTION("""COMPUTED_VALUE"""),44807.73010163195)</f>
        <v>44807.7301</v>
      </c>
      <c r="B1544" s="24" t="str">
        <f>IFERROR(__xludf.DUMMYFUNCTION("""COMPUTED_VALUE"""),"Claire")</f>
        <v>Claire</v>
      </c>
      <c r="C1544" s="24">
        <f>IFERROR(__xludf.DUMMYFUNCTION("""COMPUTED_VALUE"""),256.0)</f>
        <v>256</v>
      </c>
      <c r="D1544" s="24" t="str">
        <f>IFERROR(__xludf.DUMMYFUNCTION("""COMPUTED_VALUE"""),"Assorted Dry")</f>
        <v>Assorted Dry</v>
      </c>
      <c r="F1544" s="23">
        <f>IFERROR(__xludf.DUMMYFUNCTION("""COMPUTED_VALUE"""),44790.0)</f>
        <v>44790</v>
      </c>
      <c r="G1544" s="24" t="str">
        <f>IFERROR(__xludf.DUMMYFUNCTION("""COMPUTED_VALUE"""),"Juanita Chandler ")</f>
        <v>Juanita Chandler </v>
      </c>
      <c r="H1544" s="24">
        <f>IFERROR(__xludf.DUMMYFUNCTION("""COMPUTED_VALUE"""),18.0)</f>
        <v>18</v>
      </c>
      <c r="I1544" s="24"/>
    </row>
    <row r="1545">
      <c r="A1545" s="23">
        <f>IFERROR(__xludf.DUMMYFUNCTION("""COMPUTED_VALUE"""),44807.73029765046)</f>
        <v>44807.7303</v>
      </c>
      <c r="B1545" s="24" t="str">
        <f>IFERROR(__xludf.DUMMYFUNCTION("""COMPUTED_VALUE"""),"Claire")</f>
        <v>Claire</v>
      </c>
      <c r="C1545" s="24">
        <f>IFERROR(__xludf.DUMMYFUNCTION("""COMPUTED_VALUE"""),508.0)</f>
        <v>508</v>
      </c>
      <c r="D1545" s="24" t="str">
        <f>IFERROR(__xludf.DUMMYFUNCTION("""COMPUTED_VALUE"""),"Meat [Raw]")</f>
        <v>Meat [Raw]</v>
      </c>
      <c r="F1545" s="23">
        <f>IFERROR(__xludf.DUMMYFUNCTION("""COMPUTED_VALUE"""),44790.0)</f>
        <v>44790</v>
      </c>
      <c r="G1545" s="24" t="str">
        <f>IFERROR(__xludf.DUMMYFUNCTION("""COMPUTED_VALUE"""),"Juanita Chandler ")</f>
        <v>Juanita Chandler </v>
      </c>
      <c r="H1545" s="24">
        <f>IFERROR(__xludf.DUMMYFUNCTION("""COMPUTED_VALUE"""),12.0)</f>
        <v>12</v>
      </c>
      <c r="I1545" s="24"/>
    </row>
    <row r="1546">
      <c r="A1546" s="23">
        <f>IFERROR(__xludf.DUMMYFUNCTION("""COMPUTED_VALUE"""),44807.731198043984)</f>
        <v>44807.7312</v>
      </c>
      <c r="B1546" s="24" t="str">
        <f>IFERROR(__xludf.DUMMYFUNCTION("""COMPUTED_VALUE"""),"Claire")</f>
        <v>Claire</v>
      </c>
      <c r="C1546" s="24">
        <f>IFERROR(__xludf.DUMMYFUNCTION("""COMPUTED_VALUE"""),527.0)</f>
        <v>527</v>
      </c>
      <c r="D1546" s="24" t="str">
        <f>IFERROR(__xludf.DUMMYFUNCTION("""COMPUTED_VALUE"""),"Assorted Dry")</f>
        <v>Assorted Dry</v>
      </c>
      <c r="F1546" s="23">
        <f>IFERROR(__xludf.DUMMYFUNCTION("""COMPUTED_VALUE"""),44790.0)</f>
        <v>44790</v>
      </c>
      <c r="G1546" s="24" t="str">
        <f>IFERROR(__xludf.DUMMYFUNCTION("""COMPUTED_VALUE"""),"Cheryl Utsey")</f>
        <v>Cheryl Utsey</v>
      </c>
      <c r="H1546" s="24">
        <f>IFERROR(__xludf.DUMMYFUNCTION("""COMPUTED_VALUE"""),20.0)</f>
        <v>20</v>
      </c>
      <c r="I1546" s="24"/>
    </row>
    <row r="1547">
      <c r="A1547" s="23">
        <f>IFERROR(__xludf.DUMMYFUNCTION("""COMPUTED_VALUE"""),44807.73184202546)</f>
        <v>44807.73184</v>
      </c>
      <c r="B1547" s="24" t="str">
        <f>IFERROR(__xludf.DUMMYFUNCTION("""COMPUTED_VALUE"""),"Claire")</f>
        <v>Claire</v>
      </c>
      <c r="C1547" s="24">
        <f>IFERROR(__xludf.DUMMYFUNCTION("""COMPUTED_VALUE"""),-99.0)</f>
        <v>-99</v>
      </c>
      <c r="D1547" s="24" t="str">
        <f>IFERROR(__xludf.DUMMYFUNCTION("""COMPUTED_VALUE"""),"Assorted Dry")</f>
        <v>Assorted Dry</v>
      </c>
      <c r="F1547" s="23">
        <f>IFERROR(__xludf.DUMMYFUNCTION("""COMPUTED_VALUE"""),44790.0)</f>
        <v>44790</v>
      </c>
      <c r="G1547" s="24" t="str">
        <f>IFERROR(__xludf.DUMMYFUNCTION("""COMPUTED_VALUE"""),"Cheryl Utsey")</f>
        <v>Cheryl Utsey</v>
      </c>
      <c r="H1547" s="24">
        <f>IFERROR(__xludf.DUMMYFUNCTION("""COMPUTED_VALUE"""),1.0)</f>
        <v>1</v>
      </c>
      <c r="I1547" s="24"/>
    </row>
    <row r="1548">
      <c r="A1548" s="23">
        <f>IFERROR(__xludf.DUMMYFUNCTION("""COMPUTED_VALUE"""),44807.7321165625)</f>
        <v>44807.73212</v>
      </c>
      <c r="B1548" s="24" t="str">
        <f>IFERROR(__xludf.DUMMYFUNCTION("""COMPUTED_VALUE"""),"Claire")</f>
        <v>Claire</v>
      </c>
      <c r="C1548" s="24">
        <f>IFERROR(__xludf.DUMMYFUNCTION("""COMPUTED_VALUE"""),-121.0)</f>
        <v>-121</v>
      </c>
      <c r="D1548" s="24" t="str">
        <f>IFERROR(__xludf.DUMMYFUNCTION("""COMPUTED_VALUE"""),"Assorted Dry")</f>
        <v>Assorted Dry</v>
      </c>
      <c r="F1548" s="23">
        <f>IFERROR(__xludf.DUMMYFUNCTION("""COMPUTED_VALUE"""),44790.0)</f>
        <v>44790</v>
      </c>
      <c r="G1548" s="24" t="str">
        <f>IFERROR(__xludf.DUMMYFUNCTION("""COMPUTED_VALUE"""),"Gina Privette")</f>
        <v>Gina Privette</v>
      </c>
      <c r="H1548" s="24">
        <f>IFERROR(__xludf.DUMMYFUNCTION("""COMPUTED_VALUE"""),20.0)</f>
        <v>20</v>
      </c>
      <c r="I1548" s="24"/>
    </row>
    <row r="1549">
      <c r="A1549" s="23">
        <f>IFERROR(__xludf.DUMMYFUNCTION("""COMPUTED_VALUE"""),44807.73246482639)</f>
        <v>44807.73246</v>
      </c>
      <c r="B1549" s="24" t="str">
        <f>IFERROR(__xludf.DUMMYFUNCTION("""COMPUTED_VALUE"""),"Claire ")</f>
        <v>Claire </v>
      </c>
      <c r="C1549" s="24">
        <f>IFERROR(__xludf.DUMMYFUNCTION("""COMPUTED_VALUE"""),-589.0)</f>
        <v>-589</v>
      </c>
      <c r="D1549" s="24" t="str">
        <f>IFERROR(__xludf.DUMMYFUNCTION("""COMPUTED_VALUE"""),"Drinks [Dry]")</f>
        <v>Drinks [Dry]</v>
      </c>
      <c r="F1549" s="23">
        <f>IFERROR(__xludf.DUMMYFUNCTION("""COMPUTED_VALUE"""),44790.0)</f>
        <v>44790</v>
      </c>
      <c r="G1549" s="24" t="str">
        <f>IFERROR(__xludf.DUMMYFUNCTION("""COMPUTED_VALUE"""),"Obi Nwokoro")</f>
        <v>Obi Nwokoro</v>
      </c>
      <c r="H1549" s="24">
        <f>IFERROR(__xludf.DUMMYFUNCTION("""COMPUTED_VALUE"""),20.0)</f>
        <v>20</v>
      </c>
      <c r="I1549" s="24"/>
    </row>
    <row r="1550">
      <c r="A1550" s="23">
        <f>IFERROR(__xludf.DUMMYFUNCTION("""COMPUTED_VALUE"""),44807.73468689815)</f>
        <v>44807.73469</v>
      </c>
      <c r="B1550" s="24" t="str">
        <f>IFERROR(__xludf.DUMMYFUNCTION("""COMPUTED_VALUE"""),"Claire")</f>
        <v>Claire</v>
      </c>
      <c r="C1550" s="24">
        <f>IFERROR(__xludf.DUMMYFUNCTION("""COMPUTED_VALUE"""),-175.0)</f>
        <v>-175</v>
      </c>
      <c r="D1550" s="24" t="str">
        <f>IFERROR(__xludf.DUMMYFUNCTION("""COMPUTED_VALUE"""),"Pet Supplies")</f>
        <v>Pet Supplies</v>
      </c>
      <c r="F1550" s="23">
        <f>IFERROR(__xludf.DUMMYFUNCTION("""COMPUTED_VALUE"""),44790.0)</f>
        <v>44790</v>
      </c>
      <c r="G1550" s="24" t="str">
        <f>IFERROR(__xludf.DUMMYFUNCTION("""COMPUTED_VALUE"""),"Dee Satterfield")</f>
        <v>Dee Satterfield</v>
      </c>
      <c r="H1550" s="24">
        <f>IFERROR(__xludf.DUMMYFUNCTION("""COMPUTED_VALUE"""),18.0)</f>
        <v>18</v>
      </c>
      <c r="I1550" s="24"/>
    </row>
    <row r="1551">
      <c r="A1551" s="23">
        <f>IFERROR(__xludf.DUMMYFUNCTION("""COMPUTED_VALUE"""),44807.734905185185)</f>
        <v>44807.73491</v>
      </c>
      <c r="B1551" s="24" t="str">
        <f>IFERROR(__xludf.DUMMYFUNCTION("""COMPUTED_VALUE"""),"Claire")</f>
        <v>Claire</v>
      </c>
      <c r="C1551" s="24">
        <f>IFERROR(__xludf.DUMMYFUNCTION("""COMPUTED_VALUE"""),-33.0)</f>
        <v>-33</v>
      </c>
      <c r="D1551" s="24" t="str">
        <f>IFERROR(__xludf.DUMMYFUNCTION("""COMPUTED_VALUE"""),"Cleaning Supplies")</f>
        <v>Cleaning Supplies</v>
      </c>
      <c r="F1551" s="23">
        <f>IFERROR(__xludf.DUMMYFUNCTION("""COMPUTED_VALUE"""),44790.0)</f>
        <v>44790</v>
      </c>
      <c r="G1551" s="24" t="str">
        <f>IFERROR(__xludf.DUMMYFUNCTION("""COMPUTED_VALUE"""),"Sharron Robinson")</f>
        <v>Sharron Robinson</v>
      </c>
      <c r="H1551" s="24">
        <f>IFERROR(__xludf.DUMMYFUNCTION("""COMPUTED_VALUE"""),20.0)</f>
        <v>20</v>
      </c>
      <c r="I1551" s="24"/>
    </row>
    <row r="1552">
      <c r="A1552" s="23">
        <f>IFERROR(__xludf.DUMMYFUNCTION("""COMPUTED_VALUE"""),44808.613411388884)</f>
        <v>44808.61341</v>
      </c>
      <c r="B1552" s="24" t="str">
        <f>IFERROR(__xludf.DUMMYFUNCTION("""COMPUTED_VALUE"""),"JC")</f>
        <v>JC</v>
      </c>
      <c r="C1552" s="24">
        <f>IFERROR(__xludf.DUMMYFUNCTION("""COMPUTED_VALUE"""),693.0)</f>
        <v>693</v>
      </c>
      <c r="D1552" s="24" t="str">
        <f>IFERROR(__xludf.DUMMYFUNCTION("""COMPUTED_VALUE"""),"Produce")</f>
        <v>Produce</v>
      </c>
      <c r="F1552" s="23">
        <f>IFERROR(__xludf.DUMMYFUNCTION("""COMPUTED_VALUE"""),44790.0)</f>
        <v>44790</v>
      </c>
      <c r="G1552" s="24" t="str">
        <f>IFERROR(__xludf.DUMMYFUNCTION("""COMPUTED_VALUE"""),"Sharron Robinson")</f>
        <v>Sharron Robinson</v>
      </c>
      <c r="H1552" s="24">
        <f>IFERROR(__xludf.DUMMYFUNCTION("""COMPUTED_VALUE"""),14.0)</f>
        <v>14</v>
      </c>
      <c r="I1552" s="24"/>
    </row>
    <row r="1553">
      <c r="A1553" s="23">
        <f>IFERROR(__xludf.DUMMYFUNCTION("""COMPUTED_VALUE"""),44808.61469267361)</f>
        <v>44808.61469</v>
      </c>
      <c r="B1553" s="24" t="str">
        <f>IFERROR(__xludf.DUMMYFUNCTION("""COMPUTED_VALUE"""),"JC")</f>
        <v>JC</v>
      </c>
      <c r="C1553" s="24">
        <f>IFERROR(__xludf.DUMMYFUNCTION("""COMPUTED_VALUE"""),356.0)</f>
        <v>356</v>
      </c>
      <c r="D1553" s="24" t="str">
        <f>IFERROR(__xludf.DUMMYFUNCTION("""COMPUTED_VALUE"""),"Cereal")</f>
        <v>Cereal</v>
      </c>
      <c r="F1553" s="23">
        <f>IFERROR(__xludf.DUMMYFUNCTION("""COMPUTED_VALUE"""),44790.0)</f>
        <v>44790</v>
      </c>
      <c r="G1553" s="24" t="str">
        <f>IFERROR(__xludf.DUMMYFUNCTION("""COMPUTED_VALUE"""),"Melissa Thomas")</f>
        <v>Melissa Thomas</v>
      </c>
      <c r="H1553" s="24">
        <f>IFERROR(__xludf.DUMMYFUNCTION("""COMPUTED_VALUE"""),20.0)</f>
        <v>20</v>
      </c>
      <c r="I1553" s="24"/>
    </row>
    <row r="1554">
      <c r="A1554" s="23">
        <f>IFERROR(__xludf.DUMMYFUNCTION("""COMPUTED_VALUE"""),44808.61516119213)</f>
        <v>44808.61516</v>
      </c>
      <c r="B1554" s="24" t="str">
        <f>IFERROR(__xludf.DUMMYFUNCTION("""COMPUTED_VALUE"""),"JC")</f>
        <v>JC</v>
      </c>
      <c r="C1554" s="24">
        <f>IFERROR(__xludf.DUMMYFUNCTION("""COMPUTED_VALUE"""),147.0)</f>
        <v>147</v>
      </c>
      <c r="D1554" s="24" t="str">
        <f>IFERROR(__xludf.DUMMYFUNCTION("""COMPUTED_VALUE"""),"Paper Supplies")</f>
        <v>Paper Supplies</v>
      </c>
      <c r="F1554" s="23">
        <f>IFERROR(__xludf.DUMMYFUNCTION("""COMPUTED_VALUE"""),44790.0)</f>
        <v>44790</v>
      </c>
      <c r="G1554" s="24" t="str">
        <f>IFERROR(__xludf.DUMMYFUNCTION("""COMPUTED_VALUE"""),"Melissa Thomas")</f>
        <v>Melissa Thomas</v>
      </c>
      <c r="H1554" s="24">
        <f>IFERROR(__xludf.DUMMYFUNCTION("""COMPUTED_VALUE"""),8.0)</f>
        <v>8</v>
      </c>
      <c r="I1554" s="24"/>
    </row>
    <row r="1555">
      <c r="A1555" s="23">
        <f>IFERROR(__xludf.DUMMYFUNCTION("""COMPUTED_VALUE"""),44808.615489456024)</f>
        <v>44808.61549</v>
      </c>
      <c r="B1555" s="24" t="str">
        <f>IFERROR(__xludf.DUMMYFUNCTION("""COMPUTED_VALUE"""),"JC")</f>
        <v>JC</v>
      </c>
      <c r="C1555" s="24">
        <f>IFERROR(__xludf.DUMMYFUNCTION("""COMPUTED_VALUE"""),121.0)</f>
        <v>121</v>
      </c>
      <c r="D1555" s="24" t="str">
        <f>IFERROR(__xludf.DUMMYFUNCTION("""COMPUTED_VALUE"""),"Drinks [Dry]")</f>
        <v>Drinks [Dry]</v>
      </c>
      <c r="F1555" s="23">
        <f>IFERROR(__xludf.DUMMYFUNCTION("""COMPUTED_VALUE"""),44790.0)</f>
        <v>44790</v>
      </c>
      <c r="G1555" s="24" t="str">
        <f>IFERROR(__xludf.DUMMYFUNCTION("""COMPUTED_VALUE"""),"Julia Buckson")</f>
        <v>Julia Buckson</v>
      </c>
      <c r="H1555" s="24">
        <f>IFERROR(__xludf.DUMMYFUNCTION("""COMPUTED_VALUE"""),20.0)</f>
        <v>20</v>
      </c>
      <c r="I1555" s="24"/>
    </row>
    <row r="1556">
      <c r="A1556" s="23">
        <f>IFERROR(__xludf.DUMMYFUNCTION("""COMPUTED_VALUE"""),44808.61613152778)</f>
        <v>44808.61613</v>
      </c>
      <c r="B1556" s="24" t="str">
        <f>IFERROR(__xludf.DUMMYFUNCTION("""COMPUTED_VALUE"""),"JC")</f>
        <v>JC</v>
      </c>
      <c r="C1556" s="24">
        <f>IFERROR(__xludf.DUMMYFUNCTION("""COMPUTED_VALUE"""),728.0)</f>
        <v>728</v>
      </c>
      <c r="D1556" s="24" t="str">
        <f>IFERROR(__xludf.DUMMYFUNCTION("""COMPUTED_VALUE"""),"Drinks [Dry]")</f>
        <v>Drinks [Dry]</v>
      </c>
      <c r="F1556" s="23">
        <f>IFERROR(__xludf.DUMMYFUNCTION("""COMPUTED_VALUE"""),44790.0)</f>
        <v>44790</v>
      </c>
      <c r="G1556" s="24" t="str">
        <f>IFERROR(__xludf.DUMMYFUNCTION("""COMPUTED_VALUE"""),"Adeola S")</f>
        <v>Adeola S</v>
      </c>
      <c r="H1556" s="24">
        <f>IFERROR(__xludf.DUMMYFUNCTION("""COMPUTED_VALUE"""),20.0)</f>
        <v>20</v>
      </c>
      <c r="I1556" s="24"/>
    </row>
    <row r="1557">
      <c r="A1557" s="23">
        <f>IFERROR(__xludf.DUMMYFUNCTION("""COMPUTED_VALUE"""),44808.61668515046)</f>
        <v>44808.61669</v>
      </c>
      <c r="B1557" s="24" t="str">
        <f>IFERROR(__xludf.DUMMYFUNCTION("""COMPUTED_VALUE"""),"JC")</f>
        <v>JC</v>
      </c>
      <c r="C1557" s="24">
        <f>IFERROR(__xludf.DUMMYFUNCTION("""COMPUTED_VALUE"""),321.0)</f>
        <v>321</v>
      </c>
      <c r="D1557" s="24" t="str">
        <f>IFERROR(__xludf.DUMMYFUNCTION("""COMPUTED_VALUE"""),"Drinks [Fridge]")</f>
        <v>Drinks [Fridge]</v>
      </c>
      <c r="F1557" s="23">
        <f>IFERROR(__xludf.DUMMYFUNCTION("""COMPUTED_VALUE"""),44790.0)</f>
        <v>44790</v>
      </c>
      <c r="G1557" s="24" t="str">
        <f>IFERROR(__xludf.DUMMYFUNCTION("""COMPUTED_VALUE"""),"Adeola S")</f>
        <v>Adeola S</v>
      </c>
      <c r="H1557" s="24">
        <f>IFERROR(__xludf.DUMMYFUNCTION("""COMPUTED_VALUE"""),4.0)</f>
        <v>4</v>
      </c>
      <c r="I1557" s="24"/>
    </row>
    <row r="1558">
      <c r="A1558" s="23">
        <f>IFERROR(__xludf.DUMMYFUNCTION("""COMPUTED_VALUE"""),44808.61706773148)</f>
        <v>44808.61707</v>
      </c>
      <c r="B1558" s="24" t="str">
        <f>IFERROR(__xludf.DUMMYFUNCTION("""COMPUTED_VALUE"""),"JC")</f>
        <v>JC</v>
      </c>
      <c r="C1558" s="24">
        <f>IFERROR(__xludf.DUMMYFUNCTION("""COMPUTED_VALUE"""),322.0)</f>
        <v>322</v>
      </c>
      <c r="D1558" s="24" t="str">
        <f>IFERROR(__xludf.DUMMYFUNCTION("""COMPUTED_VALUE"""),"Oil")</f>
        <v>Oil</v>
      </c>
      <c r="F1558" s="23">
        <f>IFERROR(__xludf.DUMMYFUNCTION("""COMPUTED_VALUE"""),44790.0)</f>
        <v>44790</v>
      </c>
      <c r="G1558" s="24" t="str">
        <f>IFERROR(__xludf.DUMMYFUNCTION("""COMPUTED_VALUE"""),"Sarah Kondo")</f>
        <v>Sarah Kondo</v>
      </c>
      <c r="H1558" s="24">
        <f>IFERROR(__xludf.DUMMYFUNCTION("""COMPUTED_VALUE"""),1.0)</f>
        <v>1</v>
      </c>
      <c r="I1558" s="24"/>
    </row>
    <row r="1559">
      <c r="A1559" s="23">
        <f>IFERROR(__xludf.DUMMYFUNCTION("""COMPUTED_VALUE"""),44808.64736278936)</f>
        <v>44808.64736</v>
      </c>
      <c r="B1559" s="24" t="str">
        <f>IFERROR(__xludf.DUMMYFUNCTION("""COMPUTED_VALUE"""),"Zoe")</f>
        <v>Zoe</v>
      </c>
      <c r="C1559" s="24">
        <f>IFERROR(__xludf.DUMMYFUNCTION("""COMPUTED_VALUE"""),670.0)</f>
        <v>670</v>
      </c>
      <c r="D1559" s="24" t="str">
        <f>IFERROR(__xludf.DUMMYFUNCTION("""COMPUTED_VALUE"""),"Assorted Fridge")</f>
        <v>Assorted Fridge</v>
      </c>
      <c r="F1559" s="23">
        <f>IFERROR(__xludf.DUMMYFUNCTION("""COMPUTED_VALUE"""),44790.35598476852)</f>
        <v>44790.35598</v>
      </c>
      <c r="G1559" s="24" t="str">
        <f>IFERROR(__xludf.DUMMYFUNCTION("""COMPUTED_VALUE"""),"Beverly Pinn")</f>
        <v>Beverly Pinn</v>
      </c>
      <c r="H1559" s="24">
        <f>IFERROR(__xludf.DUMMYFUNCTION("""COMPUTED_VALUE"""),20.0)</f>
        <v>20</v>
      </c>
      <c r="I1559" s="24"/>
    </row>
    <row r="1560">
      <c r="A1560" s="23">
        <f>IFERROR(__xludf.DUMMYFUNCTION("""COMPUTED_VALUE"""),44812.55818204861)</f>
        <v>44812.55818</v>
      </c>
      <c r="B1560" s="24" t="str">
        <f>IFERROR(__xludf.DUMMYFUNCTION("""COMPUTED_VALUE"""),"Claire")</f>
        <v>Claire</v>
      </c>
      <c r="C1560" s="24">
        <f>IFERROR(__xludf.DUMMYFUNCTION("""COMPUTED_VALUE"""),360.0)</f>
        <v>360</v>
      </c>
      <c r="D1560" s="24" t="str">
        <f>IFERROR(__xludf.DUMMYFUNCTION("""COMPUTED_VALUE"""),"Produce")</f>
        <v>Produce</v>
      </c>
      <c r="F1560" s="23">
        <f>IFERROR(__xludf.DUMMYFUNCTION("""COMPUTED_VALUE"""),44790.59095792824)</f>
        <v>44790.59096</v>
      </c>
      <c r="G1560" s="24" t="str">
        <f>IFERROR(__xludf.DUMMYFUNCTION("""COMPUTED_VALUE"""),"Bud Stracker - sisson st dpw drinks ")</f>
        <v>Bud Stracker - sisson st dpw drinks </v>
      </c>
      <c r="H1560" s="24">
        <f>IFERROR(__xludf.DUMMYFUNCTION("""COMPUTED_VALUE"""),18.0)</f>
        <v>18</v>
      </c>
      <c r="I1560" s="24"/>
    </row>
    <row r="1561">
      <c r="A1561" s="23">
        <f>IFERROR(__xludf.DUMMYFUNCTION("""COMPUTED_VALUE"""),44812.55880112269)</f>
        <v>44812.5588</v>
      </c>
      <c r="B1561" s="24" t="str">
        <f>IFERROR(__xludf.DUMMYFUNCTION("""COMPUTED_VALUE"""),"Claire")</f>
        <v>Claire</v>
      </c>
      <c r="C1561" s="24">
        <f>IFERROR(__xludf.DUMMYFUNCTION("""COMPUTED_VALUE"""),412.0)</f>
        <v>412</v>
      </c>
      <c r="D1561" s="24" t="str">
        <f>IFERROR(__xludf.DUMMYFUNCTION("""COMPUTED_VALUE"""),"Assorted Fridge")</f>
        <v>Assorted Fridge</v>
      </c>
      <c r="F1561" s="23">
        <f>IFERROR(__xludf.DUMMYFUNCTION("""COMPUTED_VALUE"""),44790.5911141088)</f>
        <v>44790.59111</v>
      </c>
      <c r="G1561" s="24" t="str">
        <f>IFERROR(__xludf.DUMMYFUNCTION("""COMPUTED_VALUE"""),"Bud Stracker - personal ")</f>
        <v>Bud Stracker - personal </v>
      </c>
      <c r="H1561" s="24">
        <f>IFERROR(__xludf.DUMMYFUNCTION("""COMPUTED_VALUE"""),6.0)</f>
        <v>6</v>
      </c>
      <c r="I1561" s="24"/>
    </row>
    <row r="1562">
      <c r="A1562" s="23">
        <f>IFERROR(__xludf.DUMMYFUNCTION("""COMPUTED_VALUE"""),44812.55971427083)</f>
        <v>44812.55971</v>
      </c>
      <c r="B1562" s="24" t="str">
        <f>IFERROR(__xludf.DUMMYFUNCTION("""COMPUTED_VALUE"""),"Claire")</f>
        <v>Claire</v>
      </c>
      <c r="C1562" s="24">
        <f>IFERROR(__xludf.DUMMYFUNCTION("""COMPUTED_VALUE"""),76.0)</f>
        <v>76</v>
      </c>
      <c r="D1562" s="24" t="str">
        <f>IFERROR(__xludf.DUMMYFUNCTION("""COMPUTED_VALUE"""),"Snacks")</f>
        <v>Snacks</v>
      </c>
      <c r="F1562" s="23">
        <f>IFERROR(__xludf.DUMMYFUNCTION("""COMPUTED_VALUE"""),44790.653717037036)</f>
        <v>44790.65372</v>
      </c>
      <c r="G1562" s="24" t="str">
        <f>IFERROR(__xludf.DUMMYFUNCTION("""COMPUTED_VALUE"""),"Claire")</f>
        <v>Claire</v>
      </c>
      <c r="H1562" s="24">
        <f>IFERROR(__xludf.DUMMYFUNCTION("""COMPUTED_VALUE"""),497.0)</f>
        <v>497</v>
      </c>
      <c r="I1562" s="24" t="str">
        <f>IFERROR(__xludf.DUMMYFUNCTION("""COMPUTED_VALUE"""),"Drinks")</f>
        <v>Drinks</v>
      </c>
    </row>
    <row r="1563">
      <c r="A1563" s="23">
        <f>IFERROR(__xludf.DUMMYFUNCTION("""COMPUTED_VALUE"""),44812.56021751158)</f>
        <v>44812.56022</v>
      </c>
      <c r="B1563" s="24" t="str">
        <f>IFERROR(__xludf.DUMMYFUNCTION("""COMPUTED_VALUE"""),"Claire")</f>
        <v>Claire</v>
      </c>
      <c r="C1563" s="24">
        <f>IFERROR(__xludf.DUMMYFUNCTION("""COMPUTED_VALUE"""),211.0)</f>
        <v>211</v>
      </c>
      <c r="D1563" s="24" t="str">
        <f>IFERROR(__xludf.DUMMYFUNCTION("""COMPUTED_VALUE"""),"Snacks")</f>
        <v>Snacks</v>
      </c>
      <c r="F1563" s="23">
        <f>IFERROR(__xludf.DUMMYFUNCTION("""COMPUTED_VALUE"""),44790.65403543982)</f>
        <v>44790.65404</v>
      </c>
      <c r="G1563" s="24" t="str">
        <f>IFERROR(__xludf.DUMMYFUNCTION("""COMPUTED_VALUE"""),"Claire")</f>
        <v>Claire</v>
      </c>
      <c r="H1563" s="24">
        <f>IFERROR(__xludf.DUMMYFUNCTION("""COMPUTED_VALUE"""),207.0)</f>
        <v>207</v>
      </c>
      <c r="I1563" s="24" t="str">
        <f>IFERROR(__xludf.DUMMYFUNCTION("""COMPUTED_VALUE"""),"Shoes")</f>
        <v>Shoes</v>
      </c>
    </row>
    <row r="1564">
      <c r="A1564" s="23">
        <f>IFERROR(__xludf.DUMMYFUNCTION("""COMPUTED_VALUE"""),44812.56137697916)</f>
        <v>44812.56138</v>
      </c>
      <c r="B1564" s="24" t="str">
        <f>IFERROR(__xludf.DUMMYFUNCTION("""COMPUTED_VALUE"""),"Claire")</f>
        <v>Claire</v>
      </c>
      <c r="C1564" s="24">
        <f>IFERROR(__xludf.DUMMYFUNCTION("""COMPUTED_VALUE"""),429.0)</f>
        <v>429</v>
      </c>
      <c r="D1564" s="24" t="str">
        <f>IFERROR(__xludf.DUMMYFUNCTION("""COMPUTED_VALUE"""),"Baby Supplies")</f>
        <v>Baby Supplies</v>
      </c>
      <c r="F1564" s="23">
        <f>IFERROR(__xludf.DUMMYFUNCTION("""COMPUTED_VALUE"""),44790.65428420139)</f>
        <v>44790.65428</v>
      </c>
      <c r="G1564" s="24" t="str">
        <f>IFERROR(__xludf.DUMMYFUNCTION("""COMPUTED_VALUE"""),"Claire")</f>
        <v>Claire</v>
      </c>
      <c r="H1564" s="24">
        <f>IFERROR(__xludf.DUMMYFUNCTION("""COMPUTED_VALUE"""),725.0)</f>
        <v>725</v>
      </c>
      <c r="I1564" s="24" t="str">
        <f>IFERROR(__xludf.DUMMYFUNCTION("""COMPUTED_VALUE"""),"Dairy")</f>
        <v>Dairy</v>
      </c>
    </row>
    <row r="1565">
      <c r="A1565" s="23">
        <f>IFERROR(__xludf.DUMMYFUNCTION("""COMPUTED_VALUE"""),44812.702341539356)</f>
        <v>44812.70234</v>
      </c>
      <c r="B1565" s="24" t="str">
        <f>IFERROR(__xludf.DUMMYFUNCTION("""COMPUTED_VALUE"""),"Claire")</f>
        <v>Claire</v>
      </c>
      <c r="C1565" s="24">
        <f>IFERROR(__xludf.DUMMYFUNCTION("""COMPUTED_VALUE"""),819.0)</f>
        <v>819</v>
      </c>
      <c r="D1565" s="24" t="str">
        <f>IFERROR(__xludf.DUMMYFUNCTION("""COMPUTED_VALUE"""),"Assorted Fridge")</f>
        <v>Assorted Fridge</v>
      </c>
      <c r="F1565" s="23">
        <f>IFERROR(__xludf.DUMMYFUNCTION("""COMPUTED_VALUE"""),44790.65573839121)</f>
        <v>44790.65574</v>
      </c>
      <c r="G1565" s="24" t="str">
        <f>IFERROR(__xludf.DUMMYFUNCTION("""COMPUTED_VALUE"""),"Claire")</f>
        <v>Claire</v>
      </c>
      <c r="H1565" s="24">
        <f>IFERROR(__xludf.DUMMYFUNCTION("""COMPUTED_VALUE"""),217.0)</f>
        <v>217</v>
      </c>
      <c r="I1565" s="24" t="str">
        <f>IFERROR(__xludf.DUMMYFUNCTION("""COMPUTED_VALUE"""),"Meat")</f>
        <v>Meat</v>
      </c>
    </row>
    <row r="1566">
      <c r="A1566" s="23">
        <f>IFERROR(__xludf.DUMMYFUNCTION("""COMPUTED_VALUE"""),44812.70348966435)</f>
        <v>44812.70349</v>
      </c>
      <c r="B1566" s="24" t="str">
        <f>IFERROR(__xludf.DUMMYFUNCTION("""COMPUTED_VALUE"""),"Claire")</f>
        <v>Claire</v>
      </c>
      <c r="C1566" s="24">
        <f>IFERROR(__xludf.DUMMYFUNCTION("""COMPUTED_VALUE"""),171.0)</f>
        <v>171</v>
      </c>
      <c r="D1566" s="24" t="str">
        <f>IFERROR(__xludf.DUMMYFUNCTION("""COMPUTED_VALUE"""),"Produce")</f>
        <v>Produce</v>
      </c>
      <c r="F1566" s="23">
        <f>IFERROR(__xludf.DUMMYFUNCTION("""COMPUTED_VALUE"""),44790.696266770836)</f>
        <v>44790.69627</v>
      </c>
      <c r="G1566" s="24" t="str">
        <f>IFERROR(__xludf.DUMMYFUNCTION("""COMPUTED_VALUE"""),"Theresa Keil")</f>
        <v>Theresa Keil</v>
      </c>
      <c r="H1566" s="24">
        <f>IFERROR(__xludf.DUMMYFUNCTION("""COMPUTED_VALUE"""),127.0)</f>
        <v>127</v>
      </c>
      <c r="I1566" s="24"/>
    </row>
    <row r="1567">
      <c r="A1567" s="23">
        <f>IFERROR(__xludf.DUMMYFUNCTION("""COMPUTED_VALUE"""),44813.67882146991)</f>
        <v>44813.67882</v>
      </c>
      <c r="B1567" s="24" t="str">
        <f>IFERROR(__xludf.DUMMYFUNCTION("""COMPUTED_VALUE"""),"Claire")</f>
        <v>Claire</v>
      </c>
      <c r="C1567" s="24">
        <f>IFERROR(__xludf.DUMMYFUNCTION("""COMPUTED_VALUE"""),234.0)</f>
        <v>234</v>
      </c>
      <c r="D1567" s="24" t="str">
        <f>IFERROR(__xludf.DUMMYFUNCTION("""COMPUTED_VALUE"""),"Snacks")</f>
        <v>Snacks</v>
      </c>
      <c r="F1567" s="23">
        <f>IFERROR(__xludf.DUMMYFUNCTION("""COMPUTED_VALUE"""),44790.84317833333)</f>
        <v>44790.84318</v>
      </c>
      <c r="G1567" s="24" t="str">
        <f>IFERROR(__xludf.DUMMYFUNCTION("""COMPUTED_VALUE"""),"Vincent Faulk")</f>
        <v>Vincent Faulk</v>
      </c>
      <c r="H1567" s="24">
        <f>IFERROR(__xludf.DUMMYFUNCTION("""COMPUTED_VALUE"""),673.0)</f>
        <v>673</v>
      </c>
      <c r="I1567" s="24" t="str">
        <f>IFERROR(__xludf.DUMMYFUNCTION("""COMPUTED_VALUE"""),"Fresh fruit farm ")</f>
        <v>Fresh fruit farm </v>
      </c>
    </row>
    <row r="1568">
      <c r="A1568" s="23">
        <f>IFERROR(__xludf.DUMMYFUNCTION("""COMPUTED_VALUE"""),44813.67938091435)</f>
        <v>44813.67938</v>
      </c>
      <c r="B1568" s="24" t="str">
        <f>IFERROR(__xludf.DUMMYFUNCTION("""COMPUTED_VALUE"""),"Claire")</f>
        <v>Claire</v>
      </c>
      <c r="C1568" s="24">
        <f>IFERROR(__xludf.DUMMYFUNCTION("""COMPUTED_VALUE"""),112.0)</f>
        <v>112</v>
      </c>
      <c r="D1568" s="24" t="str">
        <f>IFERROR(__xludf.DUMMYFUNCTION("""COMPUTED_VALUE"""),"Household")</f>
        <v>Household</v>
      </c>
      <c r="F1568" s="23">
        <f>IFERROR(__xludf.DUMMYFUNCTION("""COMPUTED_VALUE"""),44790.84383864583)</f>
        <v>44790.84384</v>
      </c>
      <c r="G1568" s="24" t="str">
        <f>IFERROR(__xludf.DUMMYFUNCTION("""COMPUTED_VALUE"""),"Vincent Faulk")</f>
        <v>Vincent Faulk</v>
      </c>
      <c r="H1568" s="24">
        <f>IFERROR(__xludf.DUMMYFUNCTION("""COMPUTED_VALUE"""),701.0)</f>
        <v>701</v>
      </c>
      <c r="I1568" s="24" t="str">
        <f>IFERROR(__xludf.DUMMYFUNCTION("""COMPUTED_VALUE"""),"Fresh fruit farm ")</f>
        <v>Fresh fruit farm </v>
      </c>
    </row>
    <row r="1569">
      <c r="A1569" s="23">
        <f>IFERROR(__xludf.DUMMYFUNCTION("""COMPUTED_VALUE"""),44813.67960466435)</f>
        <v>44813.6796</v>
      </c>
      <c r="B1569" s="24" t="str">
        <f>IFERROR(__xludf.DUMMYFUNCTION("""COMPUTED_VALUE"""),"Claire")</f>
        <v>Claire</v>
      </c>
      <c r="C1569" s="24">
        <f>IFERROR(__xludf.DUMMYFUNCTION("""COMPUTED_VALUE"""),106.0)</f>
        <v>106</v>
      </c>
      <c r="D1569" s="24" t="str">
        <f>IFERROR(__xludf.DUMMYFUNCTION("""COMPUTED_VALUE"""),"Meat [Raw]")</f>
        <v>Meat [Raw]</v>
      </c>
      <c r="F1569" s="23">
        <f>IFERROR(__xludf.DUMMYFUNCTION("""COMPUTED_VALUE"""),44790.844850497684)</f>
        <v>44790.84485</v>
      </c>
      <c r="G1569" s="24" t="str">
        <f>IFERROR(__xludf.DUMMYFUNCTION("""COMPUTED_VALUE"""),"Vincent Faulk")</f>
        <v>Vincent Faulk</v>
      </c>
      <c r="H1569" s="24">
        <f>IFERROR(__xludf.DUMMYFUNCTION("""COMPUTED_VALUE"""),596.0)</f>
        <v>596</v>
      </c>
      <c r="I1569" s="24" t="str">
        <f>IFERROR(__xludf.DUMMYFUNCTION("""COMPUTED_VALUE"""),"Fresh fruit farm ")</f>
        <v>Fresh fruit farm </v>
      </c>
    </row>
    <row r="1570">
      <c r="A1570" s="23">
        <f>IFERROR(__xludf.DUMMYFUNCTION("""COMPUTED_VALUE"""),44813.67987478009)</f>
        <v>44813.67987</v>
      </c>
      <c r="B1570" s="24" t="str">
        <f>IFERROR(__xludf.DUMMYFUNCTION("""COMPUTED_VALUE"""),"Claire ")</f>
        <v>Claire </v>
      </c>
      <c r="C1570" s="24">
        <f>IFERROR(__xludf.DUMMYFUNCTION("""COMPUTED_VALUE"""),169.0)</f>
        <v>169</v>
      </c>
      <c r="D1570" s="24" t="str">
        <f>IFERROR(__xludf.DUMMYFUNCTION("""COMPUTED_VALUE"""),"Household")</f>
        <v>Household</v>
      </c>
      <c r="F1570" s="23">
        <f>IFERROR(__xludf.DUMMYFUNCTION("""COMPUTED_VALUE"""),44790.8456678588)</f>
        <v>44790.84567</v>
      </c>
      <c r="G1570" s="24" t="str">
        <f>IFERROR(__xludf.DUMMYFUNCTION("""COMPUTED_VALUE"""),"Vincent Faulk")</f>
        <v>Vincent Faulk</v>
      </c>
      <c r="H1570" s="24">
        <f>IFERROR(__xludf.DUMMYFUNCTION("""COMPUTED_VALUE"""),531.0)</f>
        <v>531</v>
      </c>
      <c r="I1570" s="24" t="str">
        <f>IFERROR(__xludf.DUMMYFUNCTION("""COMPUTED_VALUE"""),"Fresh fruit farm ")</f>
        <v>Fresh fruit farm </v>
      </c>
    </row>
    <row r="1571">
      <c r="A1571" s="23">
        <f>IFERROR(__xludf.DUMMYFUNCTION("""COMPUTED_VALUE"""),44813.680100983795)</f>
        <v>44813.6801</v>
      </c>
      <c r="B1571" s="24" t="str">
        <f>IFERROR(__xludf.DUMMYFUNCTION("""COMPUTED_VALUE"""),"Claire")</f>
        <v>Claire</v>
      </c>
      <c r="C1571" s="24">
        <f>IFERROR(__xludf.DUMMYFUNCTION("""COMPUTED_VALUE"""),508.0)</f>
        <v>508</v>
      </c>
      <c r="D1571" s="24" t="str">
        <f>IFERROR(__xludf.DUMMYFUNCTION("""COMPUTED_VALUE"""),"Produce")</f>
        <v>Produce</v>
      </c>
      <c r="F1571" s="23">
        <f>IFERROR(__xludf.DUMMYFUNCTION("""COMPUTED_VALUE"""),44790.846073043984)</f>
        <v>44790.84607</v>
      </c>
      <c r="G1571" s="24" t="str">
        <f>IFERROR(__xludf.DUMMYFUNCTION("""COMPUTED_VALUE"""),"Vincent Faulk")</f>
        <v>Vincent Faulk</v>
      </c>
      <c r="H1571" s="24">
        <f>IFERROR(__xludf.DUMMYFUNCTION("""COMPUTED_VALUE"""),833.0)</f>
        <v>833</v>
      </c>
      <c r="I1571" s="24" t="str">
        <f>IFERROR(__xludf.DUMMYFUNCTION("""COMPUTED_VALUE"""),"Fresh fruit farm ")</f>
        <v>Fresh fruit farm </v>
      </c>
    </row>
    <row r="1572">
      <c r="A1572" s="23">
        <f>IFERROR(__xludf.DUMMYFUNCTION("""COMPUTED_VALUE"""),44813.69756594908)</f>
        <v>44813.69757</v>
      </c>
      <c r="B1572" s="24" t="str">
        <f>IFERROR(__xludf.DUMMYFUNCTION("""COMPUTED_VALUE"""),"Sunita pathik")</f>
        <v>Sunita pathik</v>
      </c>
      <c r="C1572" s="24">
        <f>IFERROR(__xludf.DUMMYFUNCTION("""COMPUTED_VALUE"""),138.0)</f>
        <v>138</v>
      </c>
      <c r="D1572" s="24" t="str">
        <f>IFERROR(__xludf.DUMMYFUNCTION("""COMPUTED_VALUE"""),"Assorted Fridge")</f>
        <v>Assorted Fridge</v>
      </c>
      <c r="F1572" s="23">
        <f>IFERROR(__xludf.DUMMYFUNCTION("""COMPUTED_VALUE"""),44790.85091918982)</f>
        <v>44790.85092</v>
      </c>
      <c r="G1572" s="24" t="str">
        <f>IFERROR(__xludf.DUMMYFUNCTION("""COMPUTED_VALUE"""),"Connor Gephart")</f>
        <v>Connor Gephart</v>
      </c>
      <c r="H1572" s="24">
        <f>IFERROR(__xludf.DUMMYFUNCTION("""COMPUTED_VALUE"""),20.0)</f>
        <v>20</v>
      </c>
      <c r="I1572" s="24"/>
    </row>
    <row r="1573">
      <c r="A1573" s="23">
        <f>IFERROR(__xludf.DUMMYFUNCTION("""COMPUTED_VALUE"""),44814.6894515625)</f>
        <v>44814.68945</v>
      </c>
      <c r="B1573" s="24" t="str">
        <f>IFERROR(__xludf.DUMMYFUNCTION("""COMPUTED_VALUE"""),"Claire")</f>
        <v>Claire</v>
      </c>
      <c r="C1573" s="24">
        <f>IFERROR(__xludf.DUMMYFUNCTION("""COMPUTED_VALUE"""),250.0)</f>
        <v>250</v>
      </c>
      <c r="D1573" s="24" t="str">
        <f>IFERROR(__xludf.DUMMYFUNCTION("""COMPUTED_VALUE"""),"Cleaning Supplies")</f>
        <v>Cleaning Supplies</v>
      </c>
      <c r="F1573" s="23">
        <f>IFERROR(__xludf.DUMMYFUNCTION("""COMPUTED_VALUE"""),44790.85144900463)</f>
        <v>44790.85145</v>
      </c>
      <c r="G1573" s="24" t="str">
        <f>IFERROR(__xludf.DUMMYFUNCTION("""COMPUTED_VALUE"""),"Sarah Kondo")</f>
        <v>Sarah Kondo</v>
      </c>
      <c r="H1573" s="24">
        <f>IFERROR(__xludf.DUMMYFUNCTION("""COMPUTED_VALUE"""),20.0)</f>
        <v>20</v>
      </c>
      <c r="I1573" s="24"/>
    </row>
    <row r="1574">
      <c r="A1574" s="23">
        <f>IFERROR(__xludf.DUMMYFUNCTION("""COMPUTED_VALUE"""),44814.69035336805)</f>
        <v>44814.69035</v>
      </c>
      <c r="B1574" s="24" t="str">
        <f>IFERROR(__xludf.DUMMYFUNCTION("""COMPUTED_VALUE"""),"Claire")</f>
        <v>Claire</v>
      </c>
      <c r="C1574" s="24">
        <f>IFERROR(__xludf.DUMMYFUNCTION("""COMPUTED_VALUE"""),61.0)</f>
        <v>61</v>
      </c>
      <c r="D1574" s="24" t="str">
        <f>IFERROR(__xludf.DUMMYFUNCTION("""COMPUTED_VALUE"""),"Meat [Raw]")</f>
        <v>Meat [Raw]</v>
      </c>
      <c r="F1574" s="23">
        <f>IFERROR(__xludf.DUMMYFUNCTION("""COMPUTED_VALUE"""),44791.0)</f>
        <v>44791</v>
      </c>
      <c r="G1574" s="24" t="str">
        <f>IFERROR(__xludf.DUMMYFUNCTION("""COMPUTED_VALUE"""),"Denise Brown")</f>
        <v>Denise Brown</v>
      </c>
      <c r="H1574" s="24">
        <f>IFERROR(__xludf.DUMMYFUNCTION("""COMPUTED_VALUE"""),17.0)</f>
        <v>17</v>
      </c>
      <c r="I1574" s="24"/>
    </row>
    <row r="1575">
      <c r="A1575" s="23">
        <f>IFERROR(__xludf.DUMMYFUNCTION("""COMPUTED_VALUE"""),44814.691474571766)</f>
        <v>44814.69147</v>
      </c>
      <c r="B1575" s="24" t="str">
        <f>IFERROR(__xludf.DUMMYFUNCTION("""COMPUTED_VALUE"""),"Claire")</f>
        <v>Claire</v>
      </c>
      <c r="C1575" s="24">
        <f>IFERROR(__xludf.DUMMYFUNCTION("""COMPUTED_VALUE"""),1094.0)</f>
        <v>1094</v>
      </c>
      <c r="D1575" s="24" t="str">
        <f>IFERROR(__xludf.DUMMYFUNCTION("""COMPUTED_VALUE"""),"Drinks [Dry]")</f>
        <v>Drinks [Dry]</v>
      </c>
      <c r="F1575" s="23">
        <f>IFERROR(__xludf.DUMMYFUNCTION("""COMPUTED_VALUE"""),44791.0)</f>
        <v>44791</v>
      </c>
      <c r="G1575" s="24" t="str">
        <f>IFERROR(__xludf.DUMMYFUNCTION("""COMPUTED_VALUE"""),"Sheneil Black")</f>
        <v>Sheneil Black</v>
      </c>
      <c r="H1575" s="24">
        <f>IFERROR(__xludf.DUMMYFUNCTION("""COMPUTED_VALUE"""),18.0)</f>
        <v>18</v>
      </c>
      <c r="I1575" s="24"/>
    </row>
    <row r="1576">
      <c r="A1576" s="23">
        <f>IFERROR(__xludf.DUMMYFUNCTION("""COMPUTED_VALUE"""),44814.691804918984)</f>
        <v>44814.6918</v>
      </c>
      <c r="B1576" s="24" t="str">
        <f>IFERROR(__xludf.DUMMYFUNCTION("""COMPUTED_VALUE"""),"Claire")</f>
        <v>Claire</v>
      </c>
      <c r="C1576" s="24">
        <f>IFERROR(__xludf.DUMMYFUNCTION("""COMPUTED_VALUE"""),154.0)</f>
        <v>154</v>
      </c>
      <c r="D1576" s="24" t="str">
        <f>IFERROR(__xludf.DUMMYFUNCTION("""COMPUTED_VALUE"""),"Drinks [Fridge]")</f>
        <v>Drinks [Fridge]</v>
      </c>
      <c r="F1576" s="23">
        <f>IFERROR(__xludf.DUMMYFUNCTION("""COMPUTED_VALUE"""),44791.0)</f>
        <v>44791</v>
      </c>
      <c r="G1576" s="24" t="str">
        <f>IFERROR(__xludf.DUMMYFUNCTION("""COMPUTED_VALUE"""),"Sheneil Black")</f>
        <v>Sheneil Black</v>
      </c>
      <c r="H1576" s="24">
        <f>IFERROR(__xludf.DUMMYFUNCTION("""COMPUTED_VALUE"""),9.0)</f>
        <v>9</v>
      </c>
      <c r="I1576" s="24"/>
    </row>
    <row r="1577">
      <c r="A1577" s="23">
        <f>IFERROR(__xludf.DUMMYFUNCTION("""COMPUTED_VALUE"""),44814.69199883102)</f>
        <v>44814.692</v>
      </c>
      <c r="B1577" s="24" t="str">
        <f>IFERROR(__xludf.DUMMYFUNCTION("""COMPUTED_VALUE"""),"Claire")</f>
        <v>Claire</v>
      </c>
      <c r="C1577" s="24">
        <f>IFERROR(__xludf.DUMMYFUNCTION("""COMPUTED_VALUE"""),-177.0)</f>
        <v>-177</v>
      </c>
      <c r="D1577" s="24" t="str">
        <f>IFERROR(__xludf.DUMMYFUNCTION("""COMPUTED_VALUE"""),"Drinks [Fridge]")</f>
        <v>Drinks [Fridge]</v>
      </c>
      <c r="F1577" s="23">
        <f>IFERROR(__xludf.DUMMYFUNCTION("""COMPUTED_VALUE"""),44791.0)</f>
        <v>44791</v>
      </c>
      <c r="G1577" s="24" t="str">
        <f>IFERROR(__xludf.DUMMYFUNCTION("""COMPUTED_VALUE"""),"Aziza")</f>
        <v>Aziza</v>
      </c>
      <c r="H1577" s="24">
        <f>IFERROR(__xludf.DUMMYFUNCTION("""COMPUTED_VALUE"""),3.0)</f>
        <v>3</v>
      </c>
      <c r="I1577" s="24"/>
    </row>
    <row r="1578">
      <c r="A1578" s="23">
        <f>IFERROR(__xludf.DUMMYFUNCTION("""COMPUTED_VALUE"""),44814.69222403935)</f>
        <v>44814.69222</v>
      </c>
      <c r="B1578" s="24" t="str">
        <f>IFERROR(__xludf.DUMMYFUNCTION("""COMPUTED_VALUE"""),"Claire")</f>
        <v>Claire</v>
      </c>
      <c r="C1578" s="24">
        <f>IFERROR(__xludf.DUMMYFUNCTION("""COMPUTED_VALUE"""),-1026.0)</f>
        <v>-1026</v>
      </c>
      <c r="D1578" s="24" t="str">
        <f>IFERROR(__xludf.DUMMYFUNCTION("""COMPUTED_VALUE"""),"Produce")</f>
        <v>Produce</v>
      </c>
      <c r="F1578" s="23">
        <f>IFERROR(__xludf.DUMMYFUNCTION("""COMPUTED_VALUE"""),44791.69593472223)</f>
        <v>44791.69593</v>
      </c>
      <c r="G1578" s="24" t="str">
        <f>IFERROR(__xludf.DUMMYFUNCTION("""COMPUTED_VALUE"""),"Norma kriger")</f>
        <v>Norma kriger</v>
      </c>
      <c r="H1578" s="24">
        <f>IFERROR(__xludf.DUMMYFUNCTION("""COMPUTED_VALUE"""),24.0)</f>
        <v>24</v>
      </c>
      <c r="I1578" s="24"/>
    </row>
    <row r="1579">
      <c r="A1579" s="23">
        <f>IFERROR(__xludf.DUMMYFUNCTION("""COMPUTED_VALUE"""),44814.69242118055)</f>
        <v>44814.69242</v>
      </c>
      <c r="B1579" s="24" t="str">
        <f>IFERROR(__xludf.DUMMYFUNCTION("""COMPUTED_VALUE"""),"Claire")</f>
        <v>Claire</v>
      </c>
      <c r="C1579" s="24">
        <f>IFERROR(__xludf.DUMMYFUNCTION("""COMPUTED_VALUE"""),-225.0)</f>
        <v>-225</v>
      </c>
      <c r="D1579" s="24" t="str">
        <f>IFERROR(__xludf.DUMMYFUNCTION("""COMPUTED_VALUE"""),"Snacks")</f>
        <v>Snacks</v>
      </c>
      <c r="F1579" s="23">
        <f>IFERROR(__xludf.DUMMYFUNCTION("""COMPUTED_VALUE"""),44791.70168106482)</f>
        <v>44791.70168</v>
      </c>
      <c r="G1579" s="24" t="str">
        <f>IFERROR(__xludf.DUMMYFUNCTION("""COMPUTED_VALUE"""),"Jean")</f>
        <v>Jean</v>
      </c>
      <c r="H1579" s="24">
        <f>IFERROR(__xludf.DUMMYFUNCTION("""COMPUTED_VALUE"""),48.0)</f>
        <v>48</v>
      </c>
      <c r="I1579" s="24"/>
    </row>
    <row r="1580">
      <c r="A1580" s="23">
        <f>IFERROR(__xludf.DUMMYFUNCTION("""COMPUTED_VALUE"""),44814.69262800926)</f>
        <v>44814.69263</v>
      </c>
      <c r="B1580" s="24" t="str">
        <f>IFERROR(__xludf.DUMMYFUNCTION("""COMPUTED_VALUE"""),"Claire")</f>
        <v>Claire</v>
      </c>
      <c r="C1580" s="24">
        <f>IFERROR(__xludf.DUMMYFUNCTION("""COMPUTED_VALUE"""),-271.0)</f>
        <v>-271</v>
      </c>
      <c r="D1580" s="24" t="str">
        <f>IFERROR(__xludf.DUMMYFUNCTION("""COMPUTED_VALUE"""),"Drinks [Dry]")</f>
        <v>Drinks [Dry]</v>
      </c>
      <c r="F1580" s="23">
        <f>IFERROR(__xludf.DUMMYFUNCTION("""COMPUTED_VALUE"""),44791.70571328704)</f>
        <v>44791.70571</v>
      </c>
      <c r="G1580" s="24" t="str">
        <f>IFERROR(__xludf.DUMMYFUNCTION("""COMPUTED_VALUE"""),"Jean")</f>
        <v>Jean</v>
      </c>
      <c r="H1580" s="24">
        <f>IFERROR(__xludf.DUMMYFUNCTION("""COMPUTED_VALUE"""),27.0)</f>
        <v>27</v>
      </c>
      <c r="I1580" s="24"/>
    </row>
    <row r="1581">
      <c r="A1581" s="23">
        <f>IFERROR(__xludf.DUMMYFUNCTION("""COMPUTED_VALUE"""),44814.69306655093)</f>
        <v>44814.69307</v>
      </c>
      <c r="B1581" s="24" t="str">
        <f>IFERROR(__xludf.DUMMYFUNCTION("""COMPUTED_VALUE"""),"Claire")</f>
        <v>Claire</v>
      </c>
      <c r="C1581" s="24">
        <f>IFERROR(__xludf.DUMMYFUNCTION("""COMPUTED_VALUE"""),-248.0)</f>
        <v>-248</v>
      </c>
      <c r="D1581" s="24" t="str">
        <f>IFERROR(__xludf.DUMMYFUNCTION("""COMPUTED_VALUE"""),"Paper Supplies")</f>
        <v>Paper Supplies</v>
      </c>
      <c r="F1581" s="23">
        <f>IFERROR(__xludf.DUMMYFUNCTION("""COMPUTED_VALUE"""),44791.70667685185)</f>
        <v>44791.70668</v>
      </c>
      <c r="G1581" s="24" t="str">
        <f>IFERROR(__xludf.DUMMYFUNCTION("""COMPUTED_VALUE"""),"Jean   extra")</f>
        <v>Jean   extra</v>
      </c>
      <c r="H1581" s="24">
        <f>IFERROR(__xludf.DUMMYFUNCTION("""COMPUTED_VALUE"""),24.0)</f>
        <v>24</v>
      </c>
      <c r="I1581" s="24"/>
    </row>
    <row r="1582">
      <c r="A1582" s="23">
        <f>IFERROR(__xludf.DUMMYFUNCTION("""COMPUTED_VALUE"""),44814.69458393518)</f>
        <v>44814.69458</v>
      </c>
      <c r="B1582" s="24" t="str">
        <f>IFERROR(__xludf.DUMMYFUNCTION("""COMPUTED_VALUE"""),"Claire")</f>
        <v>Claire</v>
      </c>
      <c r="C1582" s="24">
        <f>IFERROR(__xludf.DUMMYFUNCTION("""COMPUTED_VALUE"""),200.0)</f>
        <v>200</v>
      </c>
      <c r="D1582" s="24" t="str">
        <f>IFERROR(__xludf.DUMMYFUNCTION("""COMPUTED_VALUE"""),"Snacks")</f>
        <v>Snacks</v>
      </c>
      <c r="F1582" s="23">
        <f>IFERROR(__xludf.DUMMYFUNCTION("""COMPUTED_VALUE"""),44791.817474745374)</f>
        <v>44791.81747</v>
      </c>
      <c r="G1582" s="24" t="str">
        <f>IFERROR(__xludf.DUMMYFUNCTION("""COMPUTED_VALUE"""),"Nathaniel McClean")</f>
        <v>Nathaniel McClean</v>
      </c>
      <c r="H1582" s="24">
        <f>IFERROR(__xludf.DUMMYFUNCTION("""COMPUTED_VALUE"""),20.0)</f>
        <v>20</v>
      </c>
      <c r="I1582" s="24"/>
    </row>
    <row r="1583">
      <c r="A1583" s="23">
        <f>IFERROR(__xludf.DUMMYFUNCTION("""COMPUTED_VALUE"""),44814.69528893518)</f>
        <v>44814.69529</v>
      </c>
      <c r="B1583" s="24" t="str">
        <f>IFERROR(__xludf.DUMMYFUNCTION("""COMPUTED_VALUE"""),"Claire")</f>
        <v>Claire</v>
      </c>
      <c r="C1583" s="24">
        <f>IFERROR(__xludf.DUMMYFUNCTION("""COMPUTED_VALUE"""),818.0)</f>
        <v>818</v>
      </c>
      <c r="D1583" s="24" t="str">
        <f>IFERROR(__xludf.DUMMYFUNCTION("""COMPUTED_VALUE"""),"Assorted Dry")</f>
        <v>Assorted Dry</v>
      </c>
      <c r="F1583" s="23">
        <f>IFERROR(__xludf.DUMMYFUNCTION("""COMPUTED_VALUE"""),44791.81787648149)</f>
        <v>44791.81788</v>
      </c>
      <c r="G1583" s="24" t="str">
        <f>IFERROR(__xludf.DUMMYFUNCTION("""COMPUTED_VALUE"""),"Aziza")</f>
        <v>Aziza</v>
      </c>
      <c r="H1583" s="24">
        <f>IFERROR(__xludf.DUMMYFUNCTION("""COMPUTED_VALUE"""),20.0)</f>
        <v>20</v>
      </c>
      <c r="I1583" s="24"/>
    </row>
    <row r="1584">
      <c r="A1584" s="23">
        <f>IFERROR(__xludf.DUMMYFUNCTION("""COMPUTED_VALUE"""),44814.697449074076)</f>
        <v>44814.69745</v>
      </c>
      <c r="B1584" s="24" t="str">
        <f>IFERROR(__xludf.DUMMYFUNCTION("""COMPUTED_VALUE"""),"Claire")</f>
        <v>Claire</v>
      </c>
      <c r="C1584" s="24">
        <f>IFERROR(__xludf.DUMMYFUNCTION("""COMPUTED_VALUE"""),916.0)</f>
        <v>916</v>
      </c>
      <c r="D1584" s="24" t="str">
        <f>IFERROR(__xludf.DUMMYFUNCTION("""COMPUTED_VALUE"""),"Produce")</f>
        <v>Produce</v>
      </c>
      <c r="F1584" s="23">
        <f>IFERROR(__xludf.DUMMYFUNCTION("""COMPUTED_VALUE"""),44792.0)</f>
        <v>44792</v>
      </c>
      <c r="G1584" s="24" t="str">
        <f>IFERROR(__xludf.DUMMYFUNCTION("""COMPUTED_VALUE"""),"Juanita Chandler ")</f>
        <v>Juanita Chandler </v>
      </c>
      <c r="H1584" s="24">
        <f>IFERROR(__xludf.DUMMYFUNCTION("""COMPUTED_VALUE"""),9.0)</f>
        <v>9</v>
      </c>
      <c r="I1584" s="24"/>
    </row>
    <row r="1585">
      <c r="A1585" s="23">
        <f>IFERROR(__xludf.DUMMYFUNCTION("""COMPUTED_VALUE"""),44814.6977400463)</f>
        <v>44814.69774</v>
      </c>
      <c r="B1585" s="24" t="str">
        <f>IFERROR(__xludf.DUMMYFUNCTION("""COMPUTED_VALUE"""),"Claire")</f>
        <v>Claire</v>
      </c>
      <c r="C1585" s="24">
        <f>IFERROR(__xludf.DUMMYFUNCTION("""COMPUTED_VALUE"""),491.0)</f>
        <v>491</v>
      </c>
      <c r="D1585" s="24" t="str">
        <f>IFERROR(__xludf.DUMMYFUNCTION("""COMPUTED_VALUE"""),"Snacks")</f>
        <v>Snacks</v>
      </c>
      <c r="F1585" s="23">
        <f>IFERROR(__xludf.DUMMYFUNCTION("""COMPUTED_VALUE"""),44792.0)</f>
        <v>44792</v>
      </c>
      <c r="G1585" s="24" t="str">
        <f>IFERROR(__xludf.DUMMYFUNCTION("""COMPUTED_VALUE"""),"Janet Lomax")</f>
        <v>Janet Lomax</v>
      </c>
      <c r="H1585" s="24">
        <f>IFERROR(__xludf.DUMMYFUNCTION("""COMPUTED_VALUE"""),20.0)</f>
        <v>20</v>
      </c>
      <c r="I1585" s="24"/>
    </row>
    <row r="1586">
      <c r="A1586" s="23">
        <f>IFERROR(__xludf.DUMMYFUNCTION("""COMPUTED_VALUE"""),44814.6979489699)</f>
        <v>44814.69795</v>
      </c>
      <c r="B1586" s="24" t="str">
        <f>IFERROR(__xludf.DUMMYFUNCTION("""COMPUTED_VALUE"""),"Claire")</f>
        <v>Claire</v>
      </c>
      <c r="C1586" s="24">
        <f>IFERROR(__xludf.DUMMYFUNCTION("""COMPUTED_VALUE"""),75.0)</f>
        <v>75</v>
      </c>
      <c r="D1586" s="24" t="str">
        <f>IFERROR(__xludf.DUMMYFUNCTION("""COMPUTED_VALUE"""),"Snacks")</f>
        <v>Snacks</v>
      </c>
      <c r="F1586" s="23">
        <f>IFERROR(__xludf.DUMMYFUNCTION("""COMPUTED_VALUE"""),44792.0)</f>
        <v>44792</v>
      </c>
      <c r="G1586" s="24" t="str">
        <f>IFERROR(__xludf.DUMMYFUNCTION("""COMPUTED_VALUE"""),"Janet Lomax")</f>
        <v>Janet Lomax</v>
      </c>
      <c r="H1586" s="24">
        <f>IFERROR(__xludf.DUMMYFUNCTION("""COMPUTED_VALUE"""),6.0)</f>
        <v>6</v>
      </c>
      <c r="I1586" s="24"/>
    </row>
    <row r="1587">
      <c r="A1587" s="23">
        <f>IFERROR(__xludf.DUMMYFUNCTION("""COMPUTED_VALUE"""),44814.6992030324)</f>
        <v>44814.6992</v>
      </c>
      <c r="B1587" s="24" t="str">
        <f>IFERROR(__xludf.DUMMYFUNCTION("""COMPUTED_VALUE"""),"Claire")</f>
        <v>Claire</v>
      </c>
      <c r="C1587" s="24">
        <f>IFERROR(__xludf.DUMMYFUNCTION("""COMPUTED_VALUE"""),552.0)</f>
        <v>552</v>
      </c>
      <c r="D1587" s="24" t="str">
        <f>IFERROR(__xludf.DUMMYFUNCTION("""COMPUTED_VALUE"""),"Drinks [Fridge]")</f>
        <v>Drinks [Fridge]</v>
      </c>
      <c r="F1587" s="23">
        <f>IFERROR(__xludf.DUMMYFUNCTION("""COMPUTED_VALUE"""),44792.0)</f>
        <v>44792</v>
      </c>
      <c r="G1587" s="24" t="str">
        <f>IFERROR(__xludf.DUMMYFUNCTION("""COMPUTED_VALUE"""),"Cheryl Utsey")</f>
        <v>Cheryl Utsey</v>
      </c>
      <c r="H1587" s="24">
        <f>IFERROR(__xludf.DUMMYFUNCTION("""COMPUTED_VALUE"""),20.0)</f>
        <v>20</v>
      </c>
      <c r="I1587" s="24"/>
    </row>
    <row r="1588">
      <c r="A1588" s="23">
        <f>IFERROR(__xludf.DUMMYFUNCTION("""COMPUTED_VALUE"""),44814.69971166666)</f>
        <v>44814.69971</v>
      </c>
      <c r="B1588" s="24" t="str">
        <f>IFERROR(__xludf.DUMMYFUNCTION("""COMPUTED_VALUE"""),"Claire")</f>
        <v>Claire</v>
      </c>
      <c r="C1588" s="24">
        <f>IFERROR(__xludf.DUMMYFUNCTION("""COMPUTED_VALUE"""),602.0)</f>
        <v>602</v>
      </c>
      <c r="D1588" s="24" t="str">
        <f>IFERROR(__xludf.DUMMYFUNCTION("""COMPUTED_VALUE"""),"Drinks [Dry]")</f>
        <v>Drinks [Dry]</v>
      </c>
      <c r="F1588" s="23">
        <f>IFERROR(__xludf.DUMMYFUNCTION("""COMPUTED_VALUE"""),44792.0)</f>
        <v>44792</v>
      </c>
      <c r="G1588" s="24" t="str">
        <f>IFERROR(__xludf.DUMMYFUNCTION("""COMPUTED_VALUE"""),"Cheryl Utsey")</f>
        <v>Cheryl Utsey</v>
      </c>
      <c r="H1588" s="24">
        <f>IFERROR(__xludf.DUMMYFUNCTION("""COMPUTED_VALUE"""),1.0)</f>
        <v>1</v>
      </c>
      <c r="I1588" s="24"/>
    </row>
    <row r="1589">
      <c r="A1589" s="23">
        <f>IFERROR(__xludf.DUMMYFUNCTION("""COMPUTED_VALUE"""),44814.69989795138)</f>
        <v>44814.6999</v>
      </c>
      <c r="B1589" s="24" t="str">
        <f>IFERROR(__xludf.DUMMYFUNCTION("""COMPUTED_VALUE"""),"Claire")</f>
        <v>Claire</v>
      </c>
      <c r="C1589" s="24">
        <f>IFERROR(__xludf.DUMMYFUNCTION("""COMPUTED_VALUE"""),84.0)</f>
        <v>84</v>
      </c>
      <c r="D1589" s="24" t="str">
        <f>IFERROR(__xludf.DUMMYFUNCTION("""COMPUTED_VALUE"""),"Drinks [Dry]")</f>
        <v>Drinks [Dry]</v>
      </c>
      <c r="F1589" s="23">
        <f>IFERROR(__xludf.DUMMYFUNCTION("""COMPUTED_VALUE"""),44792.65376528935)</f>
        <v>44792.65377</v>
      </c>
      <c r="G1589" s="24" t="str">
        <f>IFERROR(__xludf.DUMMYFUNCTION("""COMPUTED_VALUE"""),"Jean")</f>
        <v>Jean</v>
      </c>
      <c r="H1589" s="24">
        <f>IFERROR(__xludf.DUMMYFUNCTION("""COMPUTED_VALUE"""),130.0)</f>
        <v>130</v>
      </c>
      <c r="I1589" s="24" t="str">
        <f>IFERROR(__xludf.DUMMYFUNCTION("""COMPUTED_VALUE"""),"Shoes")</f>
        <v>Shoes</v>
      </c>
    </row>
    <row r="1590">
      <c r="A1590" s="23">
        <f>IFERROR(__xludf.DUMMYFUNCTION("""COMPUTED_VALUE"""),44814.701807210644)</f>
        <v>44814.70181</v>
      </c>
      <c r="B1590" s="24" t="str">
        <f>IFERROR(__xludf.DUMMYFUNCTION("""COMPUTED_VALUE"""),"Claire")</f>
        <v>Claire</v>
      </c>
      <c r="C1590" s="24">
        <f>IFERROR(__xludf.DUMMYFUNCTION("""COMPUTED_VALUE"""),604.0)</f>
        <v>604</v>
      </c>
      <c r="D1590" s="24" t="str">
        <f>IFERROR(__xludf.DUMMYFUNCTION("""COMPUTED_VALUE"""),"Paper Supplies")</f>
        <v>Paper Supplies</v>
      </c>
      <c r="F1590" s="23">
        <f>IFERROR(__xludf.DUMMYFUNCTION("""COMPUTED_VALUE"""),44792.65461434028)</f>
        <v>44792.65461</v>
      </c>
      <c r="G1590" s="24" t="str">
        <f>IFERROR(__xludf.DUMMYFUNCTION("""COMPUTED_VALUE"""),"Jean")</f>
        <v>Jean</v>
      </c>
      <c r="H1590" s="24">
        <f>IFERROR(__xludf.DUMMYFUNCTION("""COMPUTED_VALUE"""),221.0)</f>
        <v>221</v>
      </c>
      <c r="I1590" s="24" t="str">
        <f>IFERROR(__xludf.DUMMYFUNCTION("""COMPUTED_VALUE"""),"Snacks")</f>
        <v>Snacks</v>
      </c>
    </row>
    <row r="1591">
      <c r="A1591" s="23">
        <f>IFERROR(__xludf.DUMMYFUNCTION("""COMPUTED_VALUE"""),44814.703800219904)</f>
        <v>44814.7038</v>
      </c>
      <c r="B1591" s="24" t="str">
        <f>IFERROR(__xludf.DUMMYFUNCTION("""COMPUTED_VALUE"""),"Claire")</f>
        <v>Claire</v>
      </c>
      <c r="C1591" s="24">
        <f>IFERROR(__xludf.DUMMYFUNCTION("""COMPUTED_VALUE"""),374.0)</f>
        <v>374</v>
      </c>
      <c r="D1591" s="24" t="str">
        <f>IFERROR(__xludf.DUMMYFUNCTION("""COMPUTED_VALUE"""),"Meat [Raw]")</f>
        <v>Meat [Raw]</v>
      </c>
      <c r="F1591" s="23">
        <f>IFERROR(__xludf.DUMMYFUNCTION("""COMPUTED_VALUE"""),44792.655906099535)</f>
        <v>44792.65591</v>
      </c>
      <c r="G1591" s="24" t="str">
        <f>IFERROR(__xludf.DUMMYFUNCTION("""COMPUTED_VALUE"""),"Jean")</f>
        <v>Jean</v>
      </c>
      <c r="H1591" s="24">
        <f>IFERROR(__xludf.DUMMYFUNCTION("""COMPUTED_VALUE"""),629.0)</f>
        <v>629</v>
      </c>
      <c r="I1591" s="24" t="str">
        <f>IFERROR(__xludf.DUMMYFUNCTION("""COMPUTED_VALUE"""),"Drinks")</f>
        <v>Drinks</v>
      </c>
    </row>
    <row r="1592">
      <c r="A1592" s="23">
        <f>IFERROR(__xludf.DUMMYFUNCTION("""COMPUTED_VALUE"""),44814.70430939815)</f>
        <v>44814.70431</v>
      </c>
      <c r="B1592" s="24" t="str">
        <f>IFERROR(__xludf.DUMMYFUNCTION("""COMPUTED_VALUE"""),"Claire")</f>
        <v>Claire</v>
      </c>
      <c r="C1592" s="24">
        <f>IFERROR(__xludf.DUMMYFUNCTION("""COMPUTED_VALUE"""),934.0)</f>
        <v>934</v>
      </c>
      <c r="D1592" s="24" t="str">
        <f>IFERROR(__xludf.DUMMYFUNCTION("""COMPUTED_VALUE"""),"Produce")</f>
        <v>Produce</v>
      </c>
      <c r="F1592" s="23">
        <f>IFERROR(__xludf.DUMMYFUNCTION("""COMPUTED_VALUE"""),44792.656469629634)</f>
        <v>44792.65647</v>
      </c>
      <c r="G1592" s="24" t="str">
        <f>IFERROR(__xludf.DUMMYFUNCTION("""COMPUTED_VALUE"""),"Jean")</f>
        <v>Jean</v>
      </c>
      <c r="H1592" s="24">
        <f>IFERROR(__xludf.DUMMYFUNCTION("""COMPUTED_VALUE"""),439.0)</f>
        <v>439</v>
      </c>
      <c r="I1592" s="24" t="str">
        <f>IFERROR(__xludf.DUMMYFUNCTION("""COMPUTED_VALUE"""),"Produce")</f>
        <v>Produce</v>
      </c>
    </row>
    <row r="1593">
      <c r="A1593" s="23">
        <f>IFERROR(__xludf.DUMMYFUNCTION("""COMPUTED_VALUE"""),44814.70595479167)</f>
        <v>44814.70595</v>
      </c>
      <c r="B1593" s="24" t="str">
        <f>IFERROR(__xludf.DUMMYFUNCTION("""COMPUTED_VALUE"""),"Claire")</f>
        <v>Claire</v>
      </c>
      <c r="C1593" s="24">
        <f>IFERROR(__xludf.DUMMYFUNCTION("""COMPUTED_VALUE"""),231.0)</f>
        <v>231</v>
      </c>
      <c r="D1593" s="24" t="str">
        <f>IFERROR(__xludf.DUMMYFUNCTION("""COMPUTED_VALUE"""),"Cleaning Supplies")</f>
        <v>Cleaning Supplies</v>
      </c>
      <c r="F1593" s="23">
        <f>IFERROR(__xludf.DUMMYFUNCTION("""COMPUTED_VALUE"""),44792.657092187495)</f>
        <v>44792.65709</v>
      </c>
      <c r="G1593" s="24" t="str">
        <f>IFERROR(__xludf.DUMMYFUNCTION("""COMPUTED_VALUE"""),"Jean")</f>
        <v>Jean</v>
      </c>
      <c r="H1593" s="24">
        <f>IFERROR(__xludf.DUMMYFUNCTION("""COMPUTED_VALUE"""),325.0)</f>
        <v>325</v>
      </c>
      <c r="I1593" s="24" t="str">
        <f>IFERROR(__xludf.DUMMYFUNCTION("""COMPUTED_VALUE"""),"Meat")</f>
        <v>Meat</v>
      </c>
    </row>
    <row r="1594">
      <c r="A1594" s="23">
        <f>IFERROR(__xludf.DUMMYFUNCTION("""COMPUTED_VALUE"""),44814.7062134838)</f>
        <v>44814.70621</v>
      </c>
      <c r="B1594" s="24" t="str">
        <f>IFERROR(__xludf.DUMMYFUNCTION("""COMPUTED_VALUE"""),"Claire")</f>
        <v>Claire</v>
      </c>
      <c r="C1594" s="24">
        <f>IFERROR(__xludf.DUMMYFUNCTION("""COMPUTED_VALUE"""),1299.0)</f>
        <v>1299</v>
      </c>
      <c r="D1594" s="24" t="str">
        <f>IFERROR(__xludf.DUMMYFUNCTION("""COMPUTED_VALUE"""),"Drinks [Dry]")</f>
        <v>Drinks [Dry]</v>
      </c>
      <c r="F1594" s="23">
        <f>IFERROR(__xludf.DUMMYFUNCTION("""COMPUTED_VALUE"""),44792.66681607639)</f>
        <v>44792.66682</v>
      </c>
      <c r="G1594" s="24" t="str">
        <f>IFERROR(__xludf.DUMMYFUNCTION("""COMPUTED_VALUE"""),"Spencer Ellsworth ")</f>
        <v>Spencer Ellsworth </v>
      </c>
      <c r="H1594" s="24">
        <f>IFERROR(__xludf.DUMMYFUNCTION("""COMPUTED_VALUE"""),30.0)</f>
        <v>30</v>
      </c>
      <c r="I1594" s="24" t="str">
        <f>IFERROR(__xludf.DUMMYFUNCTION("""COMPUTED_VALUE"""),"Alto Dale Farm")</f>
        <v>Alto Dale Farm</v>
      </c>
    </row>
    <row r="1595">
      <c r="A1595" s="23">
        <f>IFERROR(__xludf.DUMMYFUNCTION("""COMPUTED_VALUE"""),44814.706777418985)</f>
        <v>44814.70678</v>
      </c>
      <c r="B1595" s="24" t="str">
        <f>IFERROR(__xludf.DUMMYFUNCTION("""COMPUTED_VALUE"""),"Claire")</f>
        <v>Claire</v>
      </c>
      <c r="C1595" s="24">
        <f>IFERROR(__xludf.DUMMYFUNCTION("""COMPUTED_VALUE"""),199.0)</f>
        <v>199</v>
      </c>
      <c r="D1595" s="24" t="str">
        <f>IFERROR(__xludf.DUMMYFUNCTION("""COMPUTED_VALUE"""),"Produce")</f>
        <v>Produce</v>
      </c>
      <c r="F1595" s="23">
        <f>IFERROR(__xludf.DUMMYFUNCTION("""COMPUTED_VALUE"""),44792.68784726852)</f>
        <v>44792.68785</v>
      </c>
      <c r="G1595" s="24" t="str">
        <f>IFERROR(__xludf.DUMMYFUNCTION("""COMPUTED_VALUE"""),"Beth Torres")</f>
        <v>Beth Torres</v>
      </c>
      <c r="H1595" s="24">
        <f>IFERROR(__xludf.DUMMYFUNCTION("""COMPUTED_VALUE"""),19.0)</f>
        <v>19</v>
      </c>
      <c r="I1595" s="24"/>
    </row>
    <row r="1596">
      <c r="A1596" s="23">
        <f>IFERROR(__xludf.DUMMYFUNCTION("""COMPUTED_VALUE"""),44814.707451076385)</f>
        <v>44814.70745</v>
      </c>
      <c r="B1596" s="24" t="str">
        <f>IFERROR(__xludf.DUMMYFUNCTION("""COMPUTED_VALUE"""),"Claire")</f>
        <v>Claire</v>
      </c>
      <c r="C1596" s="24">
        <f>IFERROR(__xludf.DUMMYFUNCTION("""COMPUTED_VALUE"""),316.0)</f>
        <v>316</v>
      </c>
      <c r="D1596" s="24" t="str">
        <f>IFERROR(__xludf.DUMMYFUNCTION("""COMPUTED_VALUE"""),"Produce")</f>
        <v>Produce</v>
      </c>
      <c r="F1596" s="23">
        <f>IFERROR(__xludf.DUMMYFUNCTION("""COMPUTED_VALUE"""),44792.687966006946)</f>
        <v>44792.68797</v>
      </c>
      <c r="G1596" s="24" t="str">
        <f>IFERROR(__xludf.DUMMYFUNCTION("""COMPUTED_VALUE"""),"Beth Torres")</f>
        <v>Beth Torres</v>
      </c>
      <c r="H1596" s="24">
        <f>IFERROR(__xludf.DUMMYFUNCTION("""COMPUTED_VALUE"""),10.0)</f>
        <v>10</v>
      </c>
      <c r="I1596" s="24"/>
    </row>
    <row r="1597">
      <c r="A1597" s="23">
        <f>IFERROR(__xludf.DUMMYFUNCTION("""COMPUTED_VALUE"""),44815.547299548605)</f>
        <v>44815.5473</v>
      </c>
      <c r="B1597" s="24" t="str">
        <f>IFERROR(__xludf.DUMMYFUNCTION("""COMPUTED_VALUE"""),"Alex")</f>
        <v>Alex</v>
      </c>
      <c r="C1597" s="24">
        <f>IFERROR(__xludf.DUMMYFUNCTION("""COMPUTED_VALUE"""),190.0)</f>
        <v>190</v>
      </c>
      <c r="D1597" s="24" t="str">
        <f>IFERROR(__xludf.DUMMYFUNCTION("""COMPUTED_VALUE"""),"Assorted Fridge")</f>
        <v>Assorted Fridge</v>
      </c>
      <c r="F1597" s="23">
        <f>IFERROR(__xludf.DUMMYFUNCTION("""COMPUTED_VALUE"""),44792.693954780094)</f>
        <v>44792.69395</v>
      </c>
      <c r="G1597" s="24" t="str">
        <f>IFERROR(__xludf.DUMMYFUNCTION("""COMPUTED_VALUE"""),"Sunita pathik")</f>
        <v>Sunita pathik</v>
      </c>
      <c r="H1597" s="24">
        <f>IFERROR(__xludf.DUMMYFUNCTION("""COMPUTED_VALUE"""),98.0)</f>
        <v>98</v>
      </c>
      <c r="I1597" s="24" t="str">
        <f>IFERROR(__xludf.DUMMYFUNCTION("""COMPUTED_VALUE"""),"Assorted option")</f>
        <v>Assorted option</v>
      </c>
    </row>
    <row r="1598">
      <c r="A1598" s="23">
        <f>IFERROR(__xludf.DUMMYFUNCTION("""COMPUTED_VALUE"""),44815.67826804398)</f>
        <v>44815.67827</v>
      </c>
      <c r="B1598" s="24" t="str">
        <f>IFERROR(__xludf.DUMMYFUNCTION("""COMPUTED_VALUE"""),"Opey")</f>
        <v>Opey</v>
      </c>
      <c r="C1598" s="24">
        <f>IFERROR(__xludf.DUMMYFUNCTION("""COMPUTED_VALUE"""),816.0)</f>
        <v>816</v>
      </c>
      <c r="D1598" s="24" t="str">
        <f>IFERROR(__xludf.DUMMYFUNCTION("""COMPUTED_VALUE"""),"Assorted Fridge")</f>
        <v>Assorted Fridge</v>
      </c>
      <c r="F1598" s="23">
        <f>IFERROR(__xludf.DUMMYFUNCTION("""COMPUTED_VALUE"""),44792.6942678125)</f>
        <v>44792.69427</v>
      </c>
      <c r="G1598" s="24" t="str">
        <f>IFERROR(__xludf.DUMMYFUNCTION("""COMPUTED_VALUE"""),"Sunita pathik")</f>
        <v>Sunita pathik</v>
      </c>
      <c r="H1598" s="24">
        <f>IFERROR(__xludf.DUMMYFUNCTION("""COMPUTED_VALUE"""),4.0)</f>
        <v>4</v>
      </c>
      <c r="I1598" s="24"/>
    </row>
    <row r="1599">
      <c r="A1599" s="23">
        <f>IFERROR(__xludf.DUMMYFUNCTION("""COMPUTED_VALUE"""),44815.67902425926)</f>
        <v>44815.67902</v>
      </c>
      <c r="B1599" s="24" t="str">
        <f>IFERROR(__xludf.DUMMYFUNCTION("""COMPUTED_VALUE"""),"Opey")</f>
        <v>Opey</v>
      </c>
      <c r="C1599" s="24">
        <f>IFERROR(__xludf.DUMMYFUNCTION("""COMPUTED_VALUE"""),1106.0)</f>
        <v>1106</v>
      </c>
      <c r="D1599" s="24" t="str">
        <f>IFERROR(__xludf.DUMMYFUNCTION("""COMPUTED_VALUE"""),"Assorted Dry")</f>
        <v>Assorted Dry</v>
      </c>
      <c r="F1599" s="23">
        <f>IFERROR(__xludf.DUMMYFUNCTION("""COMPUTED_VALUE"""),44792.695796087966)</f>
        <v>44792.6958</v>
      </c>
      <c r="G1599" s="24" t="str">
        <f>IFERROR(__xludf.DUMMYFUNCTION("""COMPUTED_VALUE"""),"Jean")</f>
        <v>Jean</v>
      </c>
      <c r="H1599" s="24">
        <f>IFERROR(__xludf.DUMMYFUNCTION("""COMPUTED_VALUE"""),56.0)</f>
        <v>56</v>
      </c>
      <c r="I1599" s="24"/>
    </row>
    <row r="1600">
      <c r="A1600" s="23">
        <f>IFERROR(__xludf.DUMMYFUNCTION("""COMPUTED_VALUE"""),44815.68005928241)</f>
        <v>44815.68006</v>
      </c>
      <c r="B1600" s="24" t="str">
        <f>IFERROR(__xludf.DUMMYFUNCTION("""COMPUTED_VALUE"""),"Opey")</f>
        <v>Opey</v>
      </c>
      <c r="C1600" s="24">
        <f>IFERROR(__xludf.DUMMYFUNCTION("""COMPUTED_VALUE"""),85.0)</f>
        <v>85</v>
      </c>
      <c r="D1600" s="24" t="str">
        <f>IFERROR(__xludf.DUMMYFUNCTION("""COMPUTED_VALUE"""),"Assorted Dry")</f>
        <v>Assorted Dry</v>
      </c>
      <c r="F1600" s="23">
        <f>IFERROR(__xludf.DUMMYFUNCTION("""COMPUTED_VALUE"""),44792.69636046296)</f>
        <v>44792.69636</v>
      </c>
      <c r="G1600" s="24" t="str">
        <f>IFERROR(__xludf.DUMMYFUNCTION("""COMPUTED_VALUE"""),"Jean")</f>
        <v>Jean</v>
      </c>
      <c r="H1600" s="24">
        <f>IFERROR(__xludf.DUMMYFUNCTION("""COMPUTED_VALUE"""),13.0)</f>
        <v>13</v>
      </c>
      <c r="I1600" s="24"/>
    </row>
    <row r="1601">
      <c r="A1601" s="23">
        <f>IFERROR(__xludf.DUMMYFUNCTION("""COMPUTED_VALUE"""),44815.68142570602)</f>
        <v>44815.68143</v>
      </c>
      <c r="B1601" s="24" t="str">
        <f>IFERROR(__xludf.DUMMYFUNCTION("""COMPUTED_VALUE"""),"Opey")</f>
        <v>Opey</v>
      </c>
      <c r="C1601" s="24">
        <f>IFERROR(__xludf.DUMMYFUNCTION("""COMPUTED_VALUE"""),837.0)</f>
        <v>837</v>
      </c>
      <c r="D1601" s="24" t="str">
        <f>IFERROR(__xludf.DUMMYFUNCTION("""COMPUTED_VALUE"""),"Assorted Fridge")</f>
        <v>Assorted Fridge</v>
      </c>
      <c r="F1601" s="23">
        <f>IFERROR(__xludf.DUMMYFUNCTION("""COMPUTED_VALUE"""),44793.0)</f>
        <v>44793</v>
      </c>
      <c r="G1601" s="24" t="str">
        <f>IFERROR(__xludf.DUMMYFUNCTION("""COMPUTED_VALUE"""),"Juanita Chandler ")</f>
        <v>Juanita Chandler </v>
      </c>
      <c r="H1601" s="24">
        <f>IFERROR(__xludf.DUMMYFUNCTION("""COMPUTED_VALUE"""),10.0)</f>
        <v>10</v>
      </c>
      <c r="I1601" s="24"/>
    </row>
    <row r="1602">
      <c r="A1602" s="23">
        <f>IFERROR(__xludf.DUMMYFUNCTION("""COMPUTED_VALUE"""),44818.67582597222)</f>
        <v>44818.67583</v>
      </c>
      <c r="B1602" s="24" t="str">
        <f>IFERROR(__xludf.DUMMYFUNCTION("""COMPUTED_VALUE"""),"Claire")</f>
        <v>Claire</v>
      </c>
      <c r="C1602" s="24">
        <f>IFERROR(__xludf.DUMMYFUNCTION("""COMPUTED_VALUE"""),276.0)</f>
        <v>276</v>
      </c>
      <c r="D1602" s="24" t="str">
        <f>IFERROR(__xludf.DUMMYFUNCTION("""COMPUTED_VALUE"""),"Assorted Dry")</f>
        <v>Assorted Dry</v>
      </c>
      <c r="F1602" s="23">
        <f>IFERROR(__xludf.DUMMYFUNCTION("""COMPUTED_VALUE"""),44793.0)</f>
        <v>44793</v>
      </c>
      <c r="G1602" s="24" t="str">
        <f>IFERROR(__xludf.DUMMYFUNCTION("""COMPUTED_VALUE"""),"Denise Brown")</f>
        <v>Denise Brown</v>
      </c>
      <c r="H1602" s="24">
        <f>IFERROR(__xludf.DUMMYFUNCTION("""COMPUTED_VALUE"""),12.0)</f>
        <v>12</v>
      </c>
      <c r="I1602" s="24"/>
    </row>
    <row r="1603">
      <c r="A1603" s="23">
        <f>IFERROR(__xludf.DUMMYFUNCTION("""COMPUTED_VALUE"""),44818.67610876158)</f>
        <v>44818.67611</v>
      </c>
      <c r="B1603" s="24" t="str">
        <f>IFERROR(__xludf.DUMMYFUNCTION("""COMPUTED_VALUE"""),"Claire")</f>
        <v>Claire</v>
      </c>
      <c r="C1603" s="24">
        <f>IFERROR(__xludf.DUMMYFUNCTION("""COMPUTED_VALUE"""),84.0)</f>
        <v>84</v>
      </c>
      <c r="D1603" s="24" t="str">
        <f>IFERROR(__xludf.DUMMYFUNCTION("""COMPUTED_VALUE"""),"Snacks")</f>
        <v>Snacks</v>
      </c>
      <c r="F1603" s="23">
        <f>IFERROR(__xludf.DUMMYFUNCTION("""COMPUTED_VALUE"""),44793.0)</f>
        <v>44793</v>
      </c>
      <c r="G1603" s="24" t="str">
        <f>IFERROR(__xludf.DUMMYFUNCTION("""COMPUTED_VALUE"""),"Lee Little")</f>
        <v>Lee Little</v>
      </c>
      <c r="H1603" s="24">
        <f>IFERROR(__xludf.DUMMYFUNCTION("""COMPUTED_VALUE"""),13.0)</f>
        <v>13</v>
      </c>
      <c r="I1603" s="24"/>
    </row>
    <row r="1604">
      <c r="A1604" s="23">
        <f>IFERROR(__xludf.DUMMYFUNCTION("""COMPUTED_VALUE"""),44818.67640445602)</f>
        <v>44818.6764</v>
      </c>
      <c r="B1604" s="24" t="str">
        <f>IFERROR(__xludf.DUMMYFUNCTION("""COMPUTED_VALUE"""),"Claire")</f>
        <v>Claire</v>
      </c>
      <c r="C1604" s="24">
        <f>IFERROR(__xludf.DUMMYFUNCTION("""COMPUTED_VALUE"""),560.0)</f>
        <v>560</v>
      </c>
      <c r="D1604" s="24" t="str">
        <f>IFERROR(__xludf.DUMMYFUNCTION("""COMPUTED_VALUE"""),"Assorted Fridge")</f>
        <v>Assorted Fridge</v>
      </c>
      <c r="F1604" s="23">
        <f>IFERROR(__xludf.DUMMYFUNCTION("""COMPUTED_VALUE"""),44793.0)</f>
        <v>44793</v>
      </c>
      <c r="G1604" s="24" t="str">
        <f>IFERROR(__xludf.DUMMYFUNCTION("""COMPUTED_VALUE"""),"Brandon Clark")</f>
        <v>Brandon Clark</v>
      </c>
      <c r="H1604" s="24">
        <f>IFERROR(__xludf.DUMMYFUNCTION("""COMPUTED_VALUE"""),18.0)</f>
        <v>18</v>
      </c>
      <c r="I1604" s="24"/>
    </row>
    <row r="1605">
      <c r="A1605" s="23">
        <f>IFERROR(__xludf.DUMMYFUNCTION("""COMPUTED_VALUE"""),44818.676828020834)</f>
        <v>44818.67683</v>
      </c>
      <c r="B1605" s="24" t="str">
        <f>IFERROR(__xludf.DUMMYFUNCTION("""COMPUTED_VALUE"""),"Claire")</f>
        <v>Claire</v>
      </c>
      <c r="C1605" s="24">
        <f>IFERROR(__xludf.DUMMYFUNCTION("""COMPUTED_VALUE"""),614.0)</f>
        <v>614</v>
      </c>
      <c r="D1605" s="24" t="str">
        <f>IFERROR(__xludf.DUMMYFUNCTION("""COMPUTED_VALUE"""),"Produce")</f>
        <v>Produce</v>
      </c>
      <c r="F1605" s="23">
        <f>IFERROR(__xludf.DUMMYFUNCTION("""COMPUTED_VALUE"""),44793.0)</f>
        <v>44793</v>
      </c>
      <c r="G1605" s="24" t="str">
        <f>IFERROR(__xludf.DUMMYFUNCTION("""COMPUTED_VALUE"""),"Denise Wilkins")</f>
        <v>Denise Wilkins</v>
      </c>
      <c r="H1605" s="24">
        <f>IFERROR(__xludf.DUMMYFUNCTION("""COMPUTED_VALUE"""),15.0)</f>
        <v>15</v>
      </c>
      <c r="I1605" s="24"/>
    </row>
    <row r="1606">
      <c r="A1606" s="23">
        <f>IFERROR(__xludf.DUMMYFUNCTION("""COMPUTED_VALUE"""),44819.85071856481)</f>
        <v>44819.85072</v>
      </c>
      <c r="B1606" s="24" t="str">
        <f>IFERROR(__xludf.DUMMYFUNCTION("""COMPUTED_VALUE"""),"Sheneil Black ")</f>
        <v>Sheneil Black </v>
      </c>
      <c r="C1606" s="24">
        <f>IFERROR(__xludf.DUMMYFUNCTION("""COMPUTED_VALUE"""),239.0)</f>
        <v>239</v>
      </c>
      <c r="D1606" s="24" t="str">
        <f>IFERROR(__xludf.DUMMYFUNCTION("""COMPUTED_VALUE"""),"Bread")</f>
        <v>Bread</v>
      </c>
      <c r="F1606" s="23">
        <f>IFERROR(__xludf.DUMMYFUNCTION("""COMPUTED_VALUE"""),44793.0)</f>
        <v>44793</v>
      </c>
      <c r="G1606" s="24" t="str">
        <f>IFERROR(__xludf.DUMMYFUNCTION("""COMPUTED_VALUE"""),"Denise Wilkins")</f>
        <v>Denise Wilkins</v>
      </c>
      <c r="H1606" s="24">
        <f>IFERROR(__xludf.DUMMYFUNCTION("""COMPUTED_VALUE"""),3.0)</f>
        <v>3</v>
      </c>
      <c r="I1606" s="24"/>
    </row>
    <row r="1607">
      <c r="A1607" s="23">
        <f>IFERROR(__xludf.DUMMYFUNCTION("""COMPUTED_VALUE"""),44819.851275243054)</f>
        <v>44819.85128</v>
      </c>
      <c r="B1607" s="24" t="str">
        <f>IFERROR(__xludf.DUMMYFUNCTION("""COMPUTED_VALUE"""),"Sheneil ")</f>
        <v>Sheneil </v>
      </c>
      <c r="C1607" s="24">
        <f>IFERROR(__xludf.DUMMYFUNCTION("""COMPUTED_VALUE"""),228.0)</f>
        <v>228</v>
      </c>
      <c r="D1607" s="24" t="str">
        <f>IFERROR(__xludf.DUMMYFUNCTION("""COMPUTED_VALUE"""),"Snacks")</f>
        <v>Snacks</v>
      </c>
      <c r="F1607" s="23">
        <f>IFERROR(__xludf.DUMMYFUNCTION("""COMPUTED_VALUE"""),44793.72050959491)</f>
        <v>44793.72051</v>
      </c>
      <c r="G1607" s="24" t="str">
        <f>IFERROR(__xludf.DUMMYFUNCTION("""COMPUTED_VALUE"""),"Gilda Castillo ")</f>
        <v>Gilda Castillo </v>
      </c>
      <c r="H1607" s="24">
        <f>IFERROR(__xludf.DUMMYFUNCTION("""COMPUTED_VALUE"""),20.0)</f>
        <v>20</v>
      </c>
      <c r="I1607" s="24"/>
    </row>
    <row r="1608">
      <c r="A1608" s="23">
        <f>IFERROR(__xludf.DUMMYFUNCTION("""COMPUTED_VALUE"""),44819.85162903935)</f>
        <v>44819.85163</v>
      </c>
      <c r="B1608" s="24" t="str">
        <f>IFERROR(__xludf.DUMMYFUNCTION("""COMPUTED_VALUE"""),"Sheneil ")</f>
        <v>Sheneil </v>
      </c>
      <c r="C1608" s="24">
        <f>IFERROR(__xludf.DUMMYFUNCTION("""COMPUTED_VALUE"""),149.0)</f>
        <v>149</v>
      </c>
      <c r="D1608" s="24" t="str">
        <f>IFERROR(__xludf.DUMMYFUNCTION("""COMPUTED_VALUE"""),"Snacks")</f>
        <v>Snacks</v>
      </c>
      <c r="F1608" s="23">
        <f>IFERROR(__xludf.DUMMYFUNCTION("""COMPUTED_VALUE"""),44793.72147737269)</f>
        <v>44793.72148</v>
      </c>
      <c r="G1608" s="24" t="str">
        <f>IFERROR(__xludf.DUMMYFUNCTION("""COMPUTED_VALUE"""),"Angeles Cortes")</f>
        <v>Angeles Cortes</v>
      </c>
      <c r="H1608" s="24">
        <f>IFERROR(__xludf.DUMMYFUNCTION("""COMPUTED_VALUE"""),20.0)</f>
        <v>20</v>
      </c>
      <c r="I1608" s="24"/>
    </row>
    <row r="1609">
      <c r="A1609" s="23">
        <f>IFERROR(__xludf.DUMMYFUNCTION("""COMPUTED_VALUE"""),44819.852033993055)</f>
        <v>44819.85203</v>
      </c>
      <c r="B1609" s="24" t="str">
        <f>IFERROR(__xludf.DUMMYFUNCTION("""COMPUTED_VALUE"""),"Sheneil")</f>
        <v>Sheneil</v>
      </c>
      <c r="C1609" s="24">
        <f>IFERROR(__xludf.DUMMYFUNCTION("""COMPUTED_VALUE"""),183.0)</f>
        <v>183</v>
      </c>
      <c r="D1609" s="24" t="str">
        <f>IFERROR(__xludf.DUMMYFUNCTION("""COMPUTED_VALUE"""),"Toys")</f>
        <v>Toys</v>
      </c>
      <c r="F1609" s="23">
        <f>IFERROR(__xludf.DUMMYFUNCTION("""COMPUTED_VALUE"""),44793.72364221065)</f>
        <v>44793.72364</v>
      </c>
      <c r="G1609" s="24" t="str">
        <f>IFERROR(__xludf.DUMMYFUNCTION("""COMPUTED_VALUE"""),"Evelyn jiang ")</f>
        <v>Evelyn jiang </v>
      </c>
      <c r="H1609" s="24">
        <f>IFERROR(__xludf.DUMMYFUNCTION("""COMPUTED_VALUE"""),20.0)</f>
        <v>20</v>
      </c>
      <c r="I1609" s="24"/>
    </row>
    <row r="1610">
      <c r="A1610" s="23">
        <f>IFERROR(__xludf.DUMMYFUNCTION("""COMPUTED_VALUE"""),44819.8535775463)</f>
        <v>44819.85358</v>
      </c>
      <c r="B1610" s="24" t="str">
        <f>IFERROR(__xludf.DUMMYFUNCTION("""COMPUTED_VALUE"""),"Sheneil")</f>
        <v>Sheneil</v>
      </c>
      <c r="C1610" s="24">
        <f>IFERROR(__xludf.DUMMYFUNCTION("""COMPUTED_VALUE"""),342.0)</f>
        <v>342</v>
      </c>
      <c r="D1610" s="24" t="str">
        <f>IFERROR(__xludf.DUMMYFUNCTION("""COMPUTED_VALUE"""),"Assorted Dry")</f>
        <v>Assorted Dry</v>
      </c>
      <c r="F1610" s="23">
        <f>IFERROR(__xludf.DUMMYFUNCTION("""COMPUTED_VALUE"""),44793.723843009255)</f>
        <v>44793.72384</v>
      </c>
      <c r="G1610" s="24" t="str">
        <f>IFERROR(__xludf.DUMMYFUNCTION("""COMPUTED_VALUE"""),"Nathan so")</f>
        <v>Nathan so</v>
      </c>
      <c r="H1610" s="24">
        <f>IFERROR(__xludf.DUMMYFUNCTION("""COMPUTED_VALUE"""),20.0)</f>
        <v>20</v>
      </c>
      <c r="I1610" s="24"/>
    </row>
    <row r="1611">
      <c r="A1611" s="23">
        <f>IFERROR(__xludf.DUMMYFUNCTION("""COMPUTED_VALUE"""),44819.85402626157)</f>
        <v>44819.85403</v>
      </c>
      <c r="B1611" s="24" t="str">
        <f>IFERROR(__xludf.DUMMYFUNCTION("""COMPUTED_VALUE"""),"Sheneil")</f>
        <v>Sheneil</v>
      </c>
      <c r="C1611" s="24">
        <f>IFERROR(__xludf.DUMMYFUNCTION("""COMPUTED_VALUE"""),304.0)</f>
        <v>304</v>
      </c>
      <c r="D1611" s="24" t="str">
        <f>IFERROR(__xludf.DUMMYFUNCTION("""COMPUTED_VALUE"""),"Frozen [Not Meat]")</f>
        <v>Frozen [Not Meat]</v>
      </c>
      <c r="F1611" s="23">
        <f>IFERROR(__xludf.DUMMYFUNCTION("""COMPUTED_VALUE"""),44793.728010347215)</f>
        <v>44793.72801</v>
      </c>
      <c r="G1611" s="24" t="str">
        <f>IFERROR(__xludf.DUMMYFUNCTION("""COMPUTED_VALUE"""),"Sara B. ")</f>
        <v>Sara B. </v>
      </c>
      <c r="H1611" s="24">
        <f>IFERROR(__xludf.DUMMYFUNCTION("""COMPUTED_VALUE"""),19.0)</f>
        <v>19</v>
      </c>
      <c r="I1611" s="24"/>
    </row>
    <row r="1612">
      <c r="A1612" s="23">
        <f>IFERROR(__xludf.DUMMYFUNCTION("""COMPUTED_VALUE"""),44819.85467623843)</f>
        <v>44819.85468</v>
      </c>
      <c r="B1612" s="24" t="str">
        <f>IFERROR(__xludf.DUMMYFUNCTION("""COMPUTED_VALUE"""),"Sheneil")</f>
        <v>Sheneil</v>
      </c>
      <c r="C1612" s="24">
        <f>IFERROR(__xludf.DUMMYFUNCTION("""COMPUTED_VALUE"""),456.0)</f>
        <v>456</v>
      </c>
      <c r="D1612" s="24" t="str">
        <f>IFERROR(__xludf.DUMMYFUNCTION("""COMPUTED_VALUE"""),"Produce")</f>
        <v>Produce</v>
      </c>
      <c r="F1612" s="23">
        <f>IFERROR(__xludf.DUMMYFUNCTION("""COMPUTED_VALUE"""),44793.73183104167)</f>
        <v>44793.73183</v>
      </c>
      <c r="G1612" s="24" t="str">
        <f>IFERROR(__xludf.DUMMYFUNCTION("""COMPUTED_VALUE"""),"Beverly Pinn")</f>
        <v>Beverly Pinn</v>
      </c>
      <c r="H1612" s="24">
        <f>IFERROR(__xludf.DUMMYFUNCTION("""COMPUTED_VALUE"""),20.0)</f>
        <v>20</v>
      </c>
      <c r="I1612" s="24"/>
    </row>
    <row r="1613">
      <c r="A1613" s="23">
        <f>IFERROR(__xludf.DUMMYFUNCTION("""COMPUTED_VALUE"""),44820.69036083333)</f>
        <v>44820.69036</v>
      </c>
      <c r="B1613" s="24" t="str">
        <f>IFERROR(__xludf.DUMMYFUNCTION("""COMPUTED_VALUE"""),"Claire")</f>
        <v>Claire</v>
      </c>
      <c r="C1613" s="24">
        <f>IFERROR(__xludf.DUMMYFUNCTION("""COMPUTED_VALUE"""),145.0)</f>
        <v>145</v>
      </c>
      <c r="D1613" s="24" t="str">
        <f>IFERROR(__xludf.DUMMYFUNCTION("""COMPUTED_VALUE"""),"Meat [Raw]")</f>
        <v>Meat [Raw]</v>
      </c>
      <c r="F1613" s="23">
        <f>IFERROR(__xludf.DUMMYFUNCTION("""COMPUTED_VALUE"""),44793.732128483796)</f>
        <v>44793.73213</v>
      </c>
      <c r="G1613" s="24" t="str">
        <f>IFERROR(__xludf.DUMMYFUNCTION("""COMPUTED_VALUE"""),"Beverly Pinn")</f>
        <v>Beverly Pinn</v>
      </c>
      <c r="H1613" s="24">
        <f>IFERROR(__xludf.DUMMYFUNCTION("""COMPUTED_VALUE"""),8.0)</f>
        <v>8</v>
      </c>
      <c r="I1613" s="24"/>
    </row>
    <row r="1614">
      <c r="A1614" s="23">
        <f>IFERROR(__xludf.DUMMYFUNCTION("""COMPUTED_VALUE"""),44820.69069640047)</f>
        <v>44820.6907</v>
      </c>
      <c r="B1614" s="24" t="str">
        <f>IFERROR(__xludf.DUMMYFUNCTION("""COMPUTED_VALUE"""),"Claire")</f>
        <v>Claire</v>
      </c>
      <c r="C1614" s="24">
        <f>IFERROR(__xludf.DUMMYFUNCTION("""COMPUTED_VALUE"""),95.0)</f>
        <v>95</v>
      </c>
      <c r="D1614" s="24" t="str">
        <f>IFERROR(__xludf.DUMMYFUNCTION("""COMPUTED_VALUE"""),"Household")</f>
        <v>Household</v>
      </c>
      <c r="F1614" s="23">
        <f>IFERROR(__xludf.DUMMYFUNCTION("""COMPUTED_VALUE"""),44793.73447861111)</f>
        <v>44793.73448</v>
      </c>
      <c r="G1614" s="24" t="str">
        <f>IFERROR(__xludf.DUMMYFUNCTION("""COMPUTED_VALUE"""),"Claire")</f>
        <v>Claire</v>
      </c>
      <c r="H1614" s="24">
        <f>IFERROR(__xludf.DUMMYFUNCTION("""COMPUTED_VALUE"""),466.0)</f>
        <v>466</v>
      </c>
      <c r="I1614" s="24" t="str">
        <f>IFERROR(__xludf.DUMMYFUNCTION("""COMPUTED_VALUE"""),"Trash bags")</f>
        <v>Trash bags</v>
      </c>
    </row>
    <row r="1615">
      <c r="A1615" s="23">
        <f>IFERROR(__xludf.DUMMYFUNCTION("""COMPUTED_VALUE"""),44820.692136620375)</f>
        <v>44820.69214</v>
      </c>
      <c r="B1615" s="24" t="str">
        <f>IFERROR(__xludf.DUMMYFUNCTION("""COMPUTED_VALUE"""),"Claire")</f>
        <v>Claire</v>
      </c>
      <c r="C1615" s="24">
        <f>IFERROR(__xludf.DUMMYFUNCTION("""COMPUTED_VALUE"""),276.0)</f>
        <v>276</v>
      </c>
      <c r="D1615" s="24" t="str">
        <f>IFERROR(__xludf.DUMMYFUNCTION("""COMPUTED_VALUE"""),"STEAM toys")</f>
        <v>STEAM toys</v>
      </c>
      <c r="F1615" s="23">
        <f>IFERROR(__xludf.DUMMYFUNCTION("""COMPUTED_VALUE"""),44793.73469583334)</f>
        <v>44793.7347</v>
      </c>
      <c r="G1615" s="24" t="str">
        <f>IFERROR(__xludf.DUMMYFUNCTION("""COMPUTED_VALUE"""),"Claire")</f>
        <v>Claire</v>
      </c>
      <c r="H1615" s="24">
        <f>IFERROR(__xludf.DUMMYFUNCTION("""COMPUTED_VALUE"""),315.0)</f>
        <v>315</v>
      </c>
      <c r="I1615" s="24" t="str">
        <f>IFERROR(__xludf.DUMMYFUNCTION("""COMPUTED_VALUE"""),"Trash bags")</f>
        <v>Trash bags</v>
      </c>
    </row>
    <row r="1616">
      <c r="A1616" s="23">
        <f>IFERROR(__xludf.DUMMYFUNCTION("""COMPUTED_VALUE"""),44820.69237310185)</f>
        <v>44820.69237</v>
      </c>
      <c r="B1616" s="24" t="str">
        <f>IFERROR(__xludf.DUMMYFUNCTION("""COMPUTED_VALUE"""),"Claire")</f>
        <v>Claire</v>
      </c>
      <c r="C1616" s="24">
        <f>IFERROR(__xludf.DUMMYFUNCTION("""COMPUTED_VALUE"""),335.0)</f>
        <v>335</v>
      </c>
      <c r="D1616" s="24" t="str">
        <f>IFERROR(__xludf.DUMMYFUNCTION("""COMPUTED_VALUE"""),"Produce")</f>
        <v>Produce</v>
      </c>
      <c r="F1616" s="23">
        <f>IFERROR(__xludf.DUMMYFUNCTION("""COMPUTED_VALUE"""),44793.73488894676)</f>
        <v>44793.73489</v>
      </c>
      <c r="G1616" s="24" t="str">
        <f>IFERROR(__xludf.DUMMYFUNCTION("""COMPUTED_VALUE"""),"Claire")</f>
        <v>Claire</v>
      </c>
      <c r="H1616" s="24">
        <f>IFERROR(__xludf.DUMMYFUNCTION("""COMPUTED_VALUE"""),776.0)</f>
        <v>776</v>
      </c>
      <c r="I1616" s="24" t="str">
        <f>IFERROR(__xludf.DUMMYFUNCTION("""COMPUTED_VALUE"""),"Snacks")</f>
        <v>Snacks</v>
      </c>
    </row>
    <row r="1617">
      <c r="A1617" s="23">
        <f>IFERROR(__xludf.DUMMYFUNCTION("""COMPUTED_VALUE"""),44820.69270958333)</f>
        <v>44820.69271</v>
      </c>
      <c r="B1617" s="24" t="str">
        <f>IFERROR(__xludf.DUMMYFUNCTION("""COMPUTED_VALUE"""),"Claire")</f>
        <v>Claire</v>
      </c>
      <c r="C1617" s="24">
        <f>IFERROR(__xludf.DUMMYFUNCTION("""COMPUTED_VALUE"""),122.0)</f>
        <v>122</v>
      </c>
      <c r="D1617" s="24" t="str">
        <f>IFERROR(__xludf.DUMMYFUNCTION("""COMPUTED_VALUE"""),"Snacks")</f>
        <v>Snacks</v>
      </c>
      <c r="F1617" s="23">
        <f>IFERROR(__xludf.DUMMYFUNCTION("""COMPUTED_VALUE"""),44793.735413055554)</f>
        <v>44793.73541</v>
      </c>
      <c r="G1617" s="24" t="str">
        <f>IFERROR(__xludf.DUMMYFUNCTION("""COMPUTED_VALUE"""),"Claire")</f>
        <v>Claire</v>
      </c>
      <c r="H1617" s="24">
        <f>IFERROR(__xludf.DUMMYFUNCTION("""COMPUTED_VALUE"""),218.0)</f>
        <v>218</v>
      </c>
      <c r="I1617" s="24" t="str">
        <f>IFERROR(__xludf.DUMMYFUNCTION("""COMPUTED_VALUE"""),"Snacks")</f>
        <v>Snacks</v>
      </c>
    </row>
    <row r="1618">
      <c r="A1618" s="23">
        <f>IFERROR(__xludf.DUMMYFUNCTION("""COMPUTED_VALUE"""),44820.69303202547)</f>
        <v>44820.69303</v>
      </c>
      <c r="B1618" s="24" t="str">
        <f>IFERROR(__xludf.DUMMYFUNCTION("""COMPUTED_VALUE"""),"Claire")</f>
        <v>Claire</v>
      </c>
      <c r="C1618" s="24">
        <f>IFERROR(__xludf.DUMMYFUNCTION("""COMPUTED_VALUE"""),215.0)</f>
        <v>215</v>
      </c>
      <c r="D1618" s="24" t="str">
        <f>IFERROR(__xludf.DUMMYFUNCTION("""COMPUTED_VALUE"""),"Snacks")</f>
        <v>Snacks</v>
      </c>
      <c r="F1618" s="23">
        <f>IFERROR(__xludf.DUMMYFUNCTION("""COMPUTED_VALUE"""),44793.73570917824)</f>
        <v>44793.73571</v>
      </c>
      <c r="G1618" s="24" t="str">
        <f>IFERROR(__xludf.DUMMYFUNCTION("""COMPUTED_VALUE"""),"Claire")</f>
        <v>Claire</v>
      </c>
      <c r="H1618" s="24">
        <f>IFERROR(__xludf.DUMMYFUNCTION("""COMPUTED_VALUE"""),273.0)</f>
        <v>273</v>
      </c>
      <c r="I1618" s="24" t="str">
        <f>IFERROR(__xludf.DUMMYFUNCTION("""COMPUTED_VALUE"""),"Personal care")</f>
        <v>Personal care</v>
      </c>
    </row>
    <row r="1619">
      <c r="A1619" s="23">
        <f>IFERROR(__xludf.DUMMYFUNCTION("""COMPUTED_VALUE"""),44820.6983377662)</f>
        <v>44820.69834</v>
      </c>
      <c r="B1619" s="24" t="str">
        <f>IFERROR(__xludf.DUMMYFUNCTION("""COMPUTED_VALUE"""),"Claire")</f>
        <v>Claire</v>
      </c>
      <c r="C1619" s="24">
        <f>IFERROR(__xludf.DUMMYFUNCTION("""COMPUTED_VALUE"""),174.0)</f>
        <v>174</v>
      </c>
      <c r="D1619" s="24" t="str">
        <f>IFERROR(__xludf.DUMMYFUNCTION("""COMPUTED_VALUE"""),"Snacks")</f>
        <v>Snacks</v>
      </c>
      <c r="F1619" s="23">
        <f>IFERROR(__xludf.DUMMYFUNCTION("""COMPUTED_VALUE"""),44793.73592958333)</f>
        <v>44793.73593</v>
      </c>
      <c r="G1619" s="24" t="str">
        <f>IFERROR(__xludf.DUMMYFUNCTION("""COMPUTED_VALUE"""),"Claire")</f>
        <v>Claire</v>
      </c>
      <c r="H1619" s="24">
        <f>IFERROR(__xludf.DUMMYFUNCTION("""COMPUTED_VALUE"""),1923.0)</f>
        <v>1923</v>
      </c>
      <c r="I1619" s="24" t="str">
        <f>IFERROR(__xludf.DUMMYFUNCTION("""COMPUTED_VALUE"""),"Drinks")</f>
        <v>Drinks</v>
      </c>
    </row>
    <row r="1620">
      <c r="A1620" s="23">
        <f>IFERROR(__xludf.DUMMYFUNCTION("""COMPUTED_VALUE"""),44820.708599293976)</f>
        <v>44820.7086</v>
      </c>
      <c r="B1620" s="24" t="str">
        <f>IFERROR(__xludf.DUMMYFUNCTION("""COMPUTED_VALUE"""),"Sunita pathik")</f>
        <v>Sunita pathik</v>
      </c>
      <c r="C1620" s="24">
        <f>IFERROR(__xludf.DUMMYFUNCTION("""COMPUTED_VALUE"""),86.0)</f>
        <v>86</v>
      </c>
      <c r="D1620" s="24" t="str">
        <f>IFERROR(__xludf.DUMMYFUNCTION("""COMPUTED_VALUE"""),"Assorted Fridge")</f>
        <v>Assorted Fridge</v>
      </c>
      <c r="F1620" s="23">
        <f>IFERROR(__xludf.DUMMYFUNCTION("""COMPUTED_VALUE"""),44793.73613405093)</f>
        <v>44793.73613</v>
      </c>
      <c r="G1620" s="24" t="str">
        <f>IFERROR(__xludf.DUMMYFUNCTION("""COMPUTED_VALUE"""),"Claire")</f>
        <v>Claire</v>
      </c>
      <c r="H1620" s="24">
        <f>IFERROR(__xludf.DUMMYFUNCTION("""COMPUTED_VALUE"""),705.0)</f>
        <v>705</v>
      </c>
      <c r="I1620" s="24" t="str">
        <f>IFERROR(__xludf.DUMMYFUNCTION("""COMPUTED_VALUE"""),"Produce")</f>
        <v>Produce</v>
      </c>
    </row>
    <row r="1621">
      <c r="A1621" s="23">
        <f>IFERROR(__xludf.DUMMYFUNCTION("""COMPUTED_VALUE"""),44821.68943652778)</f>
        <v>44821.68944</v>
      </c>
      <c r="B1621" s="24" t="str">
        <f>IFERROR(__xludf.DUMMYFUNCTION("""COMPUTED_VALUE"""),"Claire")</f>
        <v>Claire</v>
      </c>
      <c r="C1621" s="24">
        <f>IFERROR(__xludf.DUMMYFUNCTION("""COMPUTED_VALUE"""),186.0)</f>
        <v>186</v>
      </c>
      <c r="D1621" s="24" t="str">
        <f>IFERROR(__xludf.DUMMYFUNCTION("""COMPUTED_VALUE"""),"Snacks")</f>
        <v>Snacks</v>
      </c>
      <c r="F1621" s="23">
        <f>IFERROR(__xludf.DUMMYFUNCTION("""COMPUTED_VALUE"""),44793.736307037034)</f>
        <v>44793.73631</v>
      </c>
      <c r="G1621" s="24" t="str">
        <f>IFERROR(__xludf.DUMMYFUNCTION("""COMPUTED_VALUE"""),"Claire")</f>
        <v>Claire</v>
      </c>
      <c r="H1621" s="24">
        <f>IFERROR(__xludf.DUMMYFUNCTION("""COMPUTED_VALUE"""),706.0)</f>
        <v>706</v>
      </c>
      <c r="I1621" s="24" t="str">
        <f>IFERROR(__xludf.DUMMYFUNCTION("""COMPUTED_VALUE"""),"Cabbage")</f>
        <v>Cabbage</v>
      </c>
    </row>
    <row r="1622">
      <c r="A1622" s="23">
        <f>IFERROR(__xludf.DUMMYFUNCTION("""COMPUTED_VALUE"""),44821.6899433912)</f>
        <v>44821.68994</v>
      </c>
      <c r="B1622" s="24" t="str">
        <f>IFERROR(__xludf.DUMMYFUNCTION("""COMPUTED_VALUE"""),"Claire")</f>
        <v>Claire</v>
      </c>
      <c r="C1622" s="24">
        <f>IFERROR(__xludf.DUMMYFUNCTION("""COMPUTED_VALUE"""),444.0)</f>
        <v>444</v>
      </c>
      <c r="D1622" s="24" t="str">
        <f>IFERROR(__xludf.DUMMYFUNCTION("""COMPUTED_VALUE"""),"STEAM toys")</f>
        <v>STEAM toys</v>
      </c>
      <c r="F1622" s="23">
        <f>IFERROR(__xludf.DUMMYFUNCTION("""COMPUTED_VALUE"""),44793.736523263884)</f>
        <v>44793.73652</v>
      </c>
      <c r="G1622" s="24" t="str">
        <f>IFERROR(__xludf.DUMMYFUNCTION("""COMPUTED_VALUE"""),"Claire")</f>
        <v>Claire</v>
      </c>
      <c r="H1622" s="24">
        <f>IFERROR(__xludf.DUMMYFUNCTION("""COMPUTED_VALUE"""),598.0)</f>
        <v>598</v>
      </c>
      <c r="I1622" s="24" t="str">
        <f>IFERROR(__xludf.DUMMYFUNCTION("""COMPUTED_VALUE"""),"Produce bags")</f>
        <v>Produce bags</v>
      </c>
    </row>
    <row r="1623">
      <c r="A1623" s="23">
        <f>IFERROR(__xludf.DUMMYFUNCTION("""COMPUTED_VALUE"""),44821.690160972226)</f>
        <v>44821.69016</v>
      </c>
      <c r="B1623" s="24" t="str">
        <f>IFERROR(__xludf.DUMMYFUNCTION("""COMPUTED_VALUE"""),"Claire")</f>
        <v>Claire</v>
      </c>
      <c r="C1623" s="24">
        <f>IFERROR(__xludf.DUMMYFUNCTION("""COMPUTED_VALUE"""),122.0)</f>
        <v>122</v>
      </c>
      <c r="D1623" s="24" t="str">
        <f>IFERROR(__xludf.DUMMYFUNCTION("""COMPUTED_VALUE"""),"Snacks")</f>
        <v>Snacks</v>
      </c>
      <c r="F1623" s="23">
        <f>IFERROR(__xludf.DUMMYFUNCTION("""COMPUTED_VALUE"""),44793.736740949076)</f>
        <v>44793.73674</v>
      </c>
      <c r="G1623" s="24" t="str">
        <f>IFERROR(__xludf.DUMMYFUNCTION("""COMPUTED_VALUE"""),"Claire")</f>
        <v>Claire</v>
      </c>
      <c r="H1623" s="24">
        <f>IFERROR(__xludf.DUMMYFUNCTION("""COMPUTED_VALUE"""),627.0)</f>
        <v>627</v>
      </c>
      <c r="I1623" s="24" t="str">
        <f>IFERROR(__xludf.DUMMYFUNCTION("""COMPUTED_VALUE"""),"Produce bags")</f>
        <v>Produce bags</v>
      </c>
    </row>
    <row r="1624">
      <c r="A1624" s="23">
        <f>IFERROR(__xludf.DUMMYFUNCTION("""COMPUTED_VALUE"""),44821.69065585648)</f>
        <v>44821.69066</v>
      </c>
      <c r="B1624" s="24" t="str">
        <f>IFERROR(__xludf.DUMMYFUNCTION("""COMPUTED_VALUE"""),"Claire")</f>
        <v>Claire</v>
      </c>
      <c r="C1624" s="24">
        <f>IFERROR(__xludf.DUMMYFUNCTION("""COMPUTED_VALUE"""),791.0)</f>
        <v>791</v>
      </c>
      <c r="D1624" s="24" t="str">
        <f>IFERROR(__xludf.DUMMYFUNCTION("""COMPUTED_VALUE"""),"STEAM toys ")</f>
        <v>STEAM toys </v>
      </c>
      <c r="F1624" s="23">
        <f>IFERROR(__xludf.DUMMYFUNCTION("""COMPUTED_VALUE"""),44793.736962407405)</f>
        <v>44793.73696</v>
      </c>
      <c r="G1624" s="24" t="str">
        <f>IFERROR(__xludf.DUMMYFUNCTION("""COMPUTED_VALUE"""),"Claire")</f>
        <v>Claire</v>
      </c>
      <c r="H1624" s="24">
        <f>IFERROR(__xludf.DUMMYFUNCTION("""COMPUTED_VALUE"""),1311.0)</f>
        <v>1311</v>
      </c>
      <c r="I1624" s="24" t="str">
        <f>IFERROR(__xludf.DUMMYFUNCTION("""COMPUTED_VALUE"""),"Juice")</f>
        <v>Juice</v>
      </c>
    </row>
    <row r="1625">
      <c r="A1625" s="23">
        <f>IFERROR(__xludf.DUMMYFUNCTION("""COMPUTED_VALUE"""),44821.69108068287)</f>
        <v>44821.69108</v>
      </c>
      <c r="B1625" s="24" t="str">
        <f>IFERROR(__xludf.DUMMYFUNCTION("""COMPUTED_VALUE"""),"Claire")</f>
        <v>Claire</v>
      </c>
      <c r="C1625" s="24">
        <f>IFERROR(__xludf.DUMMYFUNCTION("""COMPUTED_VALUE"""),817.0)</f>
        <v>817</v>
      </c>
      <c r="D1625" s="24" t="str">
        <f>IFERROR(__xludf.DUMMYFUNCTION("""COMPUTED_VALUE"""),"Produce")</f>
        <v>Produce</v>
      </c>
      <c r="F1625" s="23">
        <f>IFERROR(__xludf.DUMMYFUNCTION("""COMPUTED_VALUE"""),44793.737374548604)</f>
        <v>44793.73737</v>
      </c>
      <c r="G1625" s="24" t="str">
        <f>IFERROR(__xludf.DUMMYFUNCTION("""COMPUTED_VALUE"""),"Claire")</f>
        <v>Claire</v>
      </c>
      <c r="H1625" s="24">
        <f>IFERROR(__xludf.DUMMYFUNCTION("""COMPUTED_VALUE"""),-262.0)</f>
        <v>-262</v>
      </c>
      <c r="I1625" s="24" t="str">
        <f>IFERROR(__xludf.DUMMYFUNCTION("""COMPUTED_VALUE"""),"Produce")</f>
        <v>Produce</v>
      </c>
    </row>
    <row r="1626">
      <c r="A1626" s="23">
        <f>IFERROR(__xludf.DUMMYFUNCTION("""COMPUTED_VALUE"""),44821.69143496528)</f>
        <v>44821.69143</v>
      </c>
      <c r="B1626" s="24" t="str">
        <f>IFERROR(__xludf.DUMMYFUNCTION("""COMPUTED_VALUE"""),"Claire")</f>
        <v>Claire</v>
      </c>
      <c r="C1626" s="24">
        <f>IFERROR(__xludf.DUMMYFUNCTION("""COMPUTED_VALUE"""),872.0)</f>
        <v>872</v>
      </c>
      <c r="D1626" s="24" t="str">
        <f>IFERROR(__xludf.DUMMYFUNCTION("""COMPUTED_VALUE"""),"Produce")</f>
        <v>Produce</v>
      </c>
      <c r="F1626" s="23">
        <f>IFERROR(__xludf.DUMMYFUNCTION("""COMPUTED_VALUE"""),44793.7375815162)</f>
        <v>44793.73758</v>
      </c>
      <c r="G1626" s="24" t="str">
        <f>IFERROR(__xludf.DUMMYFUNCTION("""COMPUTED_VALUE"""),"Claire")</f>
        <v>Claire</v>
      </c>
      <c r="H1626" s="24">
        <f>IFERROR(__xludf.DUMMYFUNCTION("""COMPUTED_VALUE"""),-656.0)</f>
        <v>-656</v>
      </c>
      <c r="I1626" s="24" t="str">
        <f>IFERROR(__xludf.DUMMYFUNCTION("""COMPUTED_VALUE"""),"Produce")</f>
        <v>Produce</v>
      </c>
    </row>
    <row r="1627">
      <c r="A1627" s="23">
        <f>IFERROR(__xludf.DUMMYFUNCTION("""COMPUTED_VALUE"""),44821.69298423611)</f>
        <v>44821.69298</v>
      </c>
      <c r="B1627" s="24" t="str">
        <f>IFERROR(__xludf.DUMMYFUNCTION("""COMPUTED_VALUE"""),"Claire")</f>
        <v>Claire</v>
      </c>
      <c r="C1627" s="24">
        <f>IFERROR(__xludf.DUMMYFUNCTION("""COMPUTED_VALUE"""),940.0)</f>
        <v>940</v>
      </c>
      <c r="D1627" s="24" t="str">
        <f>IFERROR(__xludf.DUMMYFUNCTION("""COMPUTED_VALUE"""),"Produce")</f>
        <v>Produce</v>
      </c>
      <c r="F1627" s="23">
        <f>IFERROR(__xludf.DUMMYFUNCTION("""COMPUTED_VALUE"""),44793.737800023155)</f>
        <v>44793.7378</v>
      </c>
      <c r="G1627" s="24" t="str">
        <f>IFERROR(__xludf.DUMMYFUNCTION("""COMPUTED_VALUE"""),"Claire")</f>
        <v>Claire</v>
      </c>
      <c r="H1627" s="24">
        <f>IFERROR(__xludf.DUMMYFUNCTION("""COMPUTED_VALUE"""),-583.0)</f>
        <v>-583</v>
      </c>
      <c r="I1627" s="24" t="str">
        <f>IFERROR(__xludf.DUMMYFUNCTION("""COMPUTED_VALUE"""),"Meat")</f>
        <v>Meat</v>
      </c>
    </row>
    <row r="1628">
      <c r="A1628" s="23">
        <f>IFERROR(__xludf.DUMMYFUNCTION("""COMPUTED_VALUE"""),44821.69420680556)</f>
        <v>44821.69421</v>
      </c>
      <c r="B1628" s="24" t="str">
        <f>IFERROR(__xludf.DUMMYFUNCTION("""COMPUTED_VALUE"""),"Claire")</f>
        <v>Claire</v>
      </c>
      <c r="C1628" s="24">
        <f>IFERROR(__xludf.DUMMYFUNCTION("""COMPUTED_VALUE"""),106.0)</f>
        <v>106</v>
      </c>
      <c r="D1628" s="24" t="str">
        <f>IFERROR(__xludf.DUMMYFUNCTION("""COMPUTED_VALUE"""),"Produce")</f>
        <v>Produce</v>
      </c>
      <c r="F1628" s="23">
        <f>IFERROR(__xludf.DUMMYFUNCTION("""COMPUTED_VALUE"""),44793.73798829861)</f>
        <v>44793.73799</v>
      </c>
      <c r="G1628" s="24" t="str">
        <f>IFERROR(__xludf.DUMMYFUNCTION("""COMPUTED_VALUE"""),"Claire")</f>
        <v>Claire</v>
      </c>
      <c r="H1628" s="24">
        <f>IFERROR(__xludf.DUMMYFUNCTION("""COMPUTED_VALUE"""),-424.0)</f>
        <v>-424</v>
      </c>
      <c r="I1628" s="24" t="str">
        <f>IFERROR(__xludf.DUMMYFUNCTION("""COMPUTED_VALUE"""),"Drinks")</f>
        <v>Drinks</v>
      </c>
    </row>
    <row r="1629">
      <c r="A1629" s="23">
        <f>IFERROR(__xludf.DUMMYFUNCTION("""COMPUTED_VALUE"""),44821.69444503472)</f>
        <v>44821.69445</v>
      </c>
      <c r="B1629" s="24" t="str">
        <f>IFERROR(__xludf.DUMMYFUNCTION("""COMPUTED_VALUE"""),"Claire")</f>
        <v>Claire</v>
      </c>
      <c r="C1629" s="24">
        <f>IFERROR(__xludf.DUMMYFUNCTION("""COMPUTED_VALUE"""),430.0)</f>
        <v>430</v>
      </c>
      <c r="D1629" s="24" t="str">
        <f>IFERROR(__xludf.DUMMYFUNCTION("""COMPUTED_VALUE"""),"Frozen [Not Meat]")</f>
        <v>Frozen [Not Meat]</v>
      </c>
      <c r="F1629" s="23">
        <f>IFERROR(__xludf.DUMMYFUNCTION("""COMPUTED_VALUE"""),44793.73821157408)</f>
        <v>44793.73821</v>
      </c>
      <c r="G1629" s="24" t="str">
        <f>IFERROR(__xludf.DUMMYFUNCTION("""COMPUTED_VALUE"""),"Claire")</f>
        <v>Claire</v>
      </c>
      <c r="H1629" s="24">
        <f>IFERROR(__xludf.DUMMYFUNCTION("""COMPUTED_VALUE"""),-54.0)</f>
        <v>-54</v>
      </c>
      <c r="I1629" s="24" t="str">
        <f>IFERROR(__xludf.DUMMYFUNCTION("""COMPUTED_VALUE"""),"Frozen")</f>
        <v>Frozen</v>
      </c>
    </row>
    <row r="1630">
      <c r="A1630" s="23">
        <f>IFERROR(__xludf.DUMMYFUNCTION("""COMPUTED_VALUE"""),44821.696509351845)</f>
        <v>44821.69651</v>
      </c>
      <c r="B1630" s="24" t="str">
        <f>IFERROR(__xludf.DUMMYFUNCTION("""COMPUTED_VALUE"""),"Claire")</f>
        <v>Claire</v>
      </c>
      <c r="C1630" s="24">
        <f>IFERROR(__xludf.DUMMYFUNCTION("""COMPUTED_VALUE"""),542.0)</f>
        <v>542</v>
      </c>
      <c r="D1630" s="24" t="str">
        <f>IFERROR(__xludf.DUMMYFUNCTION("""COMPUTED_VALUE"""),"Produce")</f>
        <v>Produce</v>
      </c>
      <c r="F1630" s="23">
        <f>IFERROR(__xludf.DUMMYFUNCTION("""COMPUTED_VALUE"""),44793.73853297454)</f>
        <v>44793.73853</v>
      </c>
      <c r="G1630" s="24" t="str">
        <f>IFERROR(__xludf.DUMMYFUNCTION("""COMPUTED_VALUE"""),"Claire")</f>
        <v>Claire</v>
      </c>
      <c r="H1630" s="24">
        <f>IFERROR(__xludf.DUMMYFUNCTION("""COMPUTED_VALUE"""),-1436.0)</f>
        <v>-1436</v>
      </c>
      <c r="I1630" s="24" t="str">
        <f>IFERROR(__xludf.DUMMYFUNCTION("""COMPUTED_VALUE"""),"Drinks ")</f>
        <v>Drinks </v>
      </c>
    </row>
    <row r="1631">
      <c r="A1631" s="23">
        <f>IFERROR(__xludf.DUMMYFUNCTION("""COMPUTED_VALUE"""),44821.69705047453)</f>
        <v>44821.69705</v>
      </c>
      <c r="B1631" s="24" t="str">
        <f>IFERROR(__xludf.DUMMYFUNCTION("""COMPUTED_VALUE"""),"Claire")</f>
        <v>Claire</v>
      </c>
      <c r="C1631" s="24">
        <f>IFERROR(__xludf.DUMMYFUNCTION("""COMPUTED_VALUE"""),555.0)</f>
        <v>555</v>
      </c>
      <c r="D1631" s="24" t="str">
        <f>IFERROR(__xludf.DUMMYFUNCTION("""COMPUTED_VALUE"""),"Assorted Fridge")</f>
        <v>Assorted Fridge</v>
      </c>
      <c r="F1631" s="23">
        <f>IFERROR(__xludf.DUMMYFUNCTION("""COMPUTED_VALUE"""),44793.73875145834)</f>
        <v>44793.73875</v>
      </c>
      <c r="G1631" s="24" t="str">
        <f>IFERROR(__xludf.DUMMYFUNCTION("""COMPUTED_VALUE"""),"Claire")</f>
        <v>Claire</v>
      </c>
      <c r="H1631" s="24">
        <f>IFERROR(__xludf.DUMMYFUNCTION("""COMPUTED_VALUE"""),-391.0)</f>
        <v>-391</v>
      </c>
      <c r="I1631" s="24" t="str">
        <f>IFERROR(__xludf.DUMMYFUNCTION("""COMPUTED_VALUE"""),"Snacks")</f>
        <v>Snacks</v>
      </c>
    </row>
    <row r="1632">
      <c r="A1632" s="23">
        <f>IFERROR(__xludf.DUMMYFUNCTION("""COMPUTED_VALUE"""),44821.69743497685)</f>
        <v>44821.69743</v>
      </c>
      <c r="B1632" s="24" t="str">
        <f>IFERROR(__xludf.DUMMYFUNCTION("""COMPUTED_VALUE"""),"Claire")</f>
        <v>Claire</v>
      </c>
      <c r="C1632" s="24">
        <f>IFERROR(__xludf.DUMMYFUNCTION("""COMPUTED_VALUE"""),576.0)</f>
        <v>576</v>
      </c>
      <c r="D1632" s="24" t="str">
        <f>IFERROR(__xludf.DUMMYFUNCTION("""COMPUTED_VALUE"""),"Assorted Dry")</f>
        <v>Assorted Dry</v>
      </c>
      <c r="F1632" s="23">
        <f>IFERROR(__xludf.DUMMYFUNCTION("""COMPUTED_VALUE"""),44793.749213657415)</f>
        <v>44793.74921</v>
      </c>
      <c r="G1632" s="24" t="str">
        <f>IFERROR(__xludf.DUMMYFUNCTION("""COMPUTED_VALUE"""),"Claire")</f>
        <v>Claire</v>
      </c>
      <c r="H1632" s="24">
        <f>IFERROR(__xludf.DUMMYFUNCTION("""COMPUTED_VALUE"""),250.0)</f>
        <v>250</v>
      </c>
      <c r="I1632" s="24" t="str">
        <f>IFERROR(__xludf.DUMMYFUNCTION("""COMPUTED_VALUE"""),"Frozen")</f>
        <v>Frozen</v>
      </c>
    </row>
    <row r="1633">
      <c r="A1633" s="23">
        <f>IFERROR(__xludf.DUMMYFUNCTION("""COMPUTED_VALUE"""),44821.70480291666)</f>
        <v>44821.7048</v>
      </c>
      <c r="B1633" s="24" t="str">
        <f>IFERROR(__xludf.DUMMYFUNCTION("""COMPUTED_VALUE"""),"Claire")</f>
        <v>Claire</v>
      </c>
      <c r="C1633" s="24">
        <f>IFERROR(__xludf.DUMMYFUNCTION("""COMPUTED_VALUE"""),271.0)</f>
        <v>271</v>
      </c>
      <c r="D1633" s="24" t="str">
        <f>IFERROR(__xludf.DUMMYFUNCTION("""COMPUTED_VALUE"""),"Meat [Raw]")</f>
        <v>Meat [Raw]</v>
      </c>
      <c r="F1633" s="23">
        <f>IFERROR(__xludf.DUMMYFUNCTION("""COMPUTED_VALUE"""),44794.0)</f>
        <v>44794</v>
      </c>
      <c r="G1633" s="24" t="str">
        <f>IFERROR(__xludf.DUMMYFUNCTION("""COMPUTED_VALUE"""),"Travis James")</f>
        <v>Travis James</v>
      </c>
      <c r="H1633" s="24">
        <f>IFERROR(__xludf.DUMMYFUNCTION("""COMPUTED_VALUE"""),20.0)</f>
        <v>20</v>
      </c>
      <c r="I1633" s="24"/>
    </row>
    <row r="1634">
      <c r="A1634" s="23">
        <f>IFERROR(__xludf.DUMMYFUNCTION("""COMPUTED_VALUE"""),44821.70658435185)</f>
        <v>44821.70658</v>
      </c>
      <c r="B1634" s="24" t="str">
        <f>IFERROR(__xludf.DUMMYFUNCTION("""COMPUTED_VALUE"""),"Claire")</f>
        <v>Claire</v>
      </c>
      <c r="C1634" s="24">
        <f>IFERROR(__xludf.DUMMYFUNCTION("""COMPUTED_VALUE"""),528.0)</f>
        <v>528</v>
      </c>
      <c r="D1634" s="24" t="str">
        <f>IFERROR(__xludf.DUMMYFUNCTION("""COMPUTED_VALUE"""),"Canned Goods")</f>
        <v>Canned Goods</v>
      </c>
      <c r="F1634" s="23">
        <f>IFERROR(__xludf.DUMMYFUNCTION("""COMPUTED_VALUE"""),44794.0)</f>
        <v>44794</v>
      </c>
      <c r="G1634" s="24" t="str">
        <f>IFERROR(__xludf.DUMMYFUNCTION("""COMPUTED_VALUE"""),"Travis James")</f>
        <v>Travis James</v>
      </c>
      <c r="H1634" s="24">
        <f>IFERROR(__xludf.DUMMYFUNCTION("""COMPUTED_VALUE"""),1.0)</f>
        <v>1</v>
      </c>
      <c r="I1634" s="24"/>
    </row>
    <row r="1635">
      <c r="A1635" s="23">
        <f>IFERROR(__xludf.DUMMYFUNCTION("""COMPUTED_VALUE"""),44821.7068781713)</f>
        <v>44821.70688</v>
      </c>
      <c r="B1635" s="24" t="str">
        <f>IFERROR(__xludf.DUMMYFUNCTION("""COMPUTED_VALUE"""),"Claire")</f>
        <v>Claire</v>
      </c>
      <c r="C1635" s="24">
        <f>IFERROR(__xludf.DUMMYFUNCTION("""COMPUTED_VALUE"""),39.0)</f>
        <v>39</v>
      </c>
      <c r="D1635" s="24" t="str">
        <f>IFERROR(__xludf.DUMMYFUNCTION("""COMPUTED_VALUE"""),"Meat [Raw]")</f>
        <v>Meat [Raw]</v>
      </c>
      <c r="F1635" s="23">
        <f>IFERROR(__xludf.DUMMYFUNCTION("""COMPUTED_VALUE"""),44794.0)</f>
        <v>44794</v>
      </c>
      <c r="G1635" s="24" t="str">
        <f>IFERROR(__xludf.DUMMYFUNCTION("""COMPUTED_VALUE"""),"Ladaisha Thompson")</f>
        <v>Ladaisha Thompson</v>
      </c>
      <c r="H1635" s="24">
        <f>IFERROR(__xludf.DUMMYFUNCTION("""COMPUTED_VALUE"""),20.0)</f>
        <v>20</v>
      </c>
      <c r="I1635" s="24"/>
    </row>
    <row r="1636">
      <c r="A1636" s="23">
        <f>IFERROR(__xludf.DUMMYFUNCTION("""COMPUTED_VALUE"""),44821.707154375)</f>
        <v>44821.70715</v>
      </c>
      <c r="B1636" s="24" t="str">
        <f>IFERROR(__xludf.DUMMYFUNCTION("""COMPUTED_VALUE"""),"Claire")</f>
        <v>Claire</v>
      </c>
      <c r="C1636" s="24">
        <f>IFERROR(__xludf.DUMMYFUNCTION("""COMPUTED_VALUE"""),137.0)</f>
        <v>137</v>
      </c>
      <c r="D1636" s="24" t="str">
        <f>IFERROR(__xludf.DUMMYFUNCTION("""COMPUTED_VALUE"""),"Snacks")</f>
        <v>Snacks</v>
      </c>
      <c r="F1636" s="23">
        <f>IFERROR(__xludf.DUMMYFUNCTION("""COMPUTED_VALUE"""),44794.0)</f>
        <v>44794</v>
      </c>
      <c r="G1636" s="24" t="str">
        <f>IFERROR(__xludf.DUMMYFUNCTION("""COMPUTED_VALUE"""),"Denise Wilkins")</f>
        <v>Denise Wilkins</v>
      </c>
      <c r="H1636" s="24">
        <f>IFERROR(__xludf.DUMMYFUNCTION("""COMPUTED_VALUE"""),20.0)</f>
        <v>20</v>
      </c>
      <c r="I1636" s="24"/>
    </row>
    <row r="1637">
      <c r="A1637" s="23">
        <f>IFERROR(__xludf.DUMMYFUNCTION("""COMPUTED_VALUE"""),44821.707382361106)</f>
        <v>44821.70738</v>
      </c>
      <c r="B1637" s="24" t="str">
        <f>IFERROR(__xludf.DUMMYFUNCTION("""COMPUTED_VALUE"""),"Claire")</f>
        <v>Claire</v>
      </c>
      <c r="C1637" s="24">
        <f>IFERROR(__xludf.DUMMYFUNCTION("""COMPUTED_VALUE"""),217.0)</f>
        <v>217</v>
      </c>
      <c r="D1637" s="24" t="str">
        <f>IFERROR(__xludf.DUMMYFUNCTION("""COMPUTED_VALUE"""),"Snacks")</f>
        <v>Snacks</v>
      </c>
      <c r="F1637" s="23">
        <f>IFERROR(__xludf.DUMMYFUNCTION("""COMPUTED_VALUE"""),44794.0)</f>
        <v>44794</v>
      </c>
      <c r="G1637" s="24" t="str">
        <f>IFERROR(__xludf.DUMMYFUNCTION("""COMPUTED_VALUE"""),"Denise Wilkins")</f>
        <v>Denise Wilkins</v>
      </c>
      <c r="H1637" s="24">
        <f>IFERROR(__xludf.DUMMYFUNCTION("""COMPUTED_VALUE"""),4.0)</f>
        <v>4</v>
      </c>
      <c r="I1637" s="24"/>
    </row>
    <row r="1638">
      <c r="A1638" s="23">
        <f>IFERROR(__xludf.DUMMYFUNCTION("""COMPUTED_VALUE"""),44821.70779465278)</f>
        <v>44821.70779</v>
      </c>
      <c r="B1638" s="24" t="str">
        <f>IFERROR(__xludf.DUMMYFUNCTION("""COMPUTED_VALUE"""),"Claire")</f>
        <v>Claire</v>
      </c>
      <c r="C1638" s="24">
        <f>IFERROR(__xludf.DUMMYFUNCTION("""COMPUTED_VALUE"""),-435.0)</f>
        <v>-435</v>
      </c>
      <c r="D1638" s="24" t="str">
        <f>IFERROR(__xludf.DUMMYFUNCTION("""COMPUTED_VALUE"""),"Produce")</f>
        <v>Produce</v>
      </c>
      <c r="F1638" s="23">
        <f>IFERROR(__xludf.DUMMYFUNCTION("""COMPUTED_VALUE"""),44794.0)</f>
        <v>44794</v>
      </c>
      <c r="G1638" s="24" t="str">
        <f>IFERROR(__xludf.DUMMYFUNCTION("""COMPUTED_VALUE"""),"Kaneesha")</f>
        <v>Kaneesha</v>
      </c>
      <c r="H1638" s="24">
        <f>IFERROR(__xludf.DUMMYFUNCTION("""COMPUTED_VALUE"""),2.0)</f>
        <v>2</v>
      </c>
      <c r="I1638" s="24"/>
    </row>
    <row r="1639">
      <c r="A1639" s="23">
        <f>IFERROR(__xludf.DUMMYFUNCTION("""COMPUTED_VALUE"""),44821.70800712963)</f>
        <v>44821.70801</v>
      </c>
      <c r="B1639" s="24" t="str">
        <f>IFERROR(__xludf.DUMMYFUNCTION("""COMPUTED_VALUE"""),"Claire")</f>
        <v>Claire</v>
      </c>
      <c r="C1639" s="24">
        <f>IFERROR(__xludf.DUMMYFUNCTION("""COMPUTED_VALUE"""),-345.0)</f>
        <v>-345</v>
      </c>
      <c r="D1639" s="24" t="str">
        <f>IFERROR(__xludf.DUMMYFUNCTION("""COMPUTED_VALUE"""),"Produce")</f>
        <v>Produce</v>
      </c>
      <c r="F1639" s="23">
        <f>IFERROR(__xludf.DUMMYFUNCTION("""COMPUTED_VALUE"""),44794.66059244213)</f>
        <v>44794.66059</v>
      </c>
      <c r="G1639" s="24" t="str">
        <f>IFERROR(__xludf.DUMMYFUNCTION("""COMPUTED_VALUE"""),"Zoe")</f>
        <v>Zoe</v>
      </c>
      <c r="H1639" s="24">
        <f>IFERROR(__xludf.DUMMYFUNCTION("""COMPUTED_VALUE"""),529.0)</f>
        <v>529</v>
      </c>
      <c r="I1639" s="24" t="str">
        <f>IFERROR(__xludf.DUMMYFUNCTION("""COMPUTED_VALUE"""),"Snacks")</f>
        <v>Snacks</v>
      </c>
    </row>
    <row r="1640">
      <c r="A1640" s="23">
        <f>IFERROR(__xludf.DUMMYFUNCTION("""COMPUTED_VALUE"""),44821.70821965278)</f>
        <v>44821.70822</v>
      </c>
      <c r="B1640" s="24" t="str">
        <f>IFERROR(__xludf.DUMMYFUNCTION("""COMPUTED_VALUE"""),"Claire")</f>
        <v>Claire</v>
      </c>
      <c r="C1640" s="24">
        <f>IFERROR(__xludf.DUMMYFUNCTION("""COMPUTED_VALUE"""),-799.0)</f>
        <v>-799</v>
      </c>
      <c r="D1640" s="24" t="str">
        <f>IFERROR(__xludf.DUMMYFUNCTION("""COMPUTED_VALUE"""),"Produce")</f>
        <v>Produce</v>
      </c>
      <c r="F1640" s="23">
        <f>IFERROR(__xludf.DUMMYFUNCTION("""COMPUTED_VALUE"""),44794.66377915509)</f>
        <v>44794.66378</v>
      </c>
      <c r="G1640" s="24" t="str">
        <f>IFERROR(__xludf.DUMMYFUNCTION("""COMPUTED_VALUE"""),"Zoe")</f>
        <v>Zoe</v>
      </c>
      <c r="H1640" s="24">
        <f>IFERROR(__xludf.DUMMYFUNCTION("""COMPUTED_VALUE"""),383.0)</f>
        <v>383</v>
      </c>
      <c r="I1640" s="24" t="str">
        <f>IFERROR(__xludf.DUMMYFUNCTION("""COMPUTED_VALUE"""),"Dairy")</f>
        <v>Dairy</v>
      </c>
    </row>
    <row r="1641">
      <c r="A1641" s="23">
        <f>IFERROR(__xludf.DUMMYFUNCTION("""COMPUTED_VALUE"""),44821.70840488426)</f>
        <v>44821.7084</v>
      </c>
      <c r="B1641" s="24" t="str">
        <f>IFERROR(__xludf.DUMMYFUNCTION("""COMPUTED_VALUE"""),"Claire")</f>
        <v>Claire</v>
      </c>
      <c r="C1641" s="24">
        <f>IFERROR(__xludf.DUMMYFUNCTION("""COMPUTED_VALUE"""),-107.0)</f>
        <v>-107</v>
      </c>
      <c r="D1641" s="24" t="str">
        <f>IFERROR(__xludf.DUMMYFUNCTION("""COMPUTED_VALUE"""),"Snacks")</f>
        <v>Snacks</v>
      </c>
      <c r="F1641" s="23">
        <f>IFERROR(__xludf.DUMMYFUNCTION("""COMPUTED_VALUE"""),44794.666204444446)</f>
        <v>44794.6662</v>
      </c>
      <c r="G1641" s="24" t="str">
        <f>IFERROR(__xludf.DUMMYFUNCTION("""COMPUTED_VALUE"""),"Ceidelina Perez")</f>
        <v>Ceidelina Perez</v>
      </c>
      <c r="H1641" s="24">
        <f>IFERROR(__xludf.DUMMYFUNCTION("""COMPUTED_VALUE"""),20.0)</f>
        <v>20</v>
      </c>
      <c r="I1641" s="24"/>
    </row>
    <row r="1642">
      <c r="A1642" s="23">
        <f>IFERROR(__xludf.DUMMYFUNCTION("""COMPUTED_VALUE"""),44821.70866836805)</f>
        <v>44821.70867</v>
      </c>
      <c r="B1642" s="24" t="str">
        <f>IFERROR(__xludf.DUMMYFUNCTION("""COMPUTED_VALUE"""),"Claire")</f>
        <v>Claire</v>
      </c>
      <c r="C1642" s="24">
        <f>IFERROR(__xludf.DUMMYFUNCTION("""COMPUTED_VALUE"""),-112.0)</f>
        <v>-112</v>
      </c>
      <c r="D1642" s="24" t="str">
        <f>IFERROR(__xludf.DUMMYFUNCTION("""COMPUTED_VALUE"""),"Snacks")</f>
        <v>Snacks</v>
      </c>
      <c r="F1642" s="23">
        <f>IFERROR(__xludf.DUMMYFUNCTION("""COMPUTED_VALUE"""),44794.66721947917)</f>
        <v>44794.66722</v>
      </c>
      <c r="G1642" s="24" t="str">
        <f>IFERROR(__xludf.DUMMYFUNCTION("""COMPUTED_VALUE"""),"Anna Nicosia")</f>
        <v>Anna Nicosia</v>
      </c>
      <c r="H1642" s="24">
        <f>IFERROR(__xludf.DUMMYFUNCTION("""COMPUTED_VALUE"""),14.0)</f>
        <v>14</v>
      </c>
      <c r="I1642" s="24"/>
    </row>
    <row r="1643">
      <c r="A1643" s="23">
        <f>IFERROR(__xludf.DUMMYFUNCTION("""COMPUTED_VALUE"""),44821.709292210646)</f>
        <v>44821.70929</v>
      </c>
      <c r="B1643" s="24" t="str">
        <f>IFERROR(__xludf.DUMMYFUNCTION("""COMPUTED_VALUE"""),"Claire")</f>
        <v>Claire</v>
      </c>
      <c r="C1643" s="24">
        <f>IFERROR(__xludf.DUMMYFUNCTION("""COMPUTED_VALUE"""),-553.0)</f>
        <v>-553</v>
      </c>
      <c r="D1643" s="24" t="str">
        <f>IFERROR(__xludf.DUMMYFUNCTION("""COMPUTED_VALUE"""),"STEAM toys")</f>
        <v>STEAM toys</v>
      </c>
      <c r="F1643" s="23">
        <f>IFERROR(__xludf.DUMMYFUNCTION("""COMPUTED_VALUE"""),44794.6673199537)</f>
        <v>44794.66732</v>
      </c>
      <c r="G1643" s="24" t="str">
        <f>IFERROR(__xludf.DUMMYFUNCTION("""COMPUTED_VALUE"""),"Evan El-Halawani")</f>
        <v>Evan El-Halawani</v>
      </c>
      <c r="H1643" s="24">
        <f>IFERROR(__xludf.DUMMYFUNCTION("""COMPUTED_VALUE"""),17.0)</f>
        <v>17</v>
      </c>
      <c r="I1643" s="24"/>
    </row>
    <row r="1644">
      <c r="A1644" s="23">
        <f>IFERROR(__xludf.DUMMYFUNCTION("""COMPUTED_VALUE"""),44821.70971935186)</f>
        <v>44821.70972</v>
      </c>
      <c r="B1644" s="24" t="str">
        <f>IFERROR(__xludf.DUMMYFUNCTION("""COMPUTED_VALUE"""),"Claire")</f>
        <v>Claire</v>
      </c>
      <c r="C1644" s="24">
        <f>IFERROR(__xludf.DUMMYFUNCTION("""COMPUTED_VALUE"""),-122.0)</f>
        <v>-122</v>
      </c>
      <c r="D1644" s="24" t="str">
        <f>IFERROR(__xludf.DUMMYFUNCTION("""COMPUTED_VALUE"""),"Canned Goods")</f>
        <v>Canned Goods</v>
      </c>
      <c r="F1644" s="23">
        <f>IFERROR(__xludf.DUMMYFUNCTION("""COMPUTED_VALUE"""),44794.667351307864)</f>
        <v>44794.66735</v>
      </c>
      <c r="G1644" s="24" t="str">
        <f>IFERROR(__xludf.DUMMYFUNCTION("""COMPUTED_VALUE"""),"Zoe")</f>
        <v>Zoe</v>
      </c>
      <c r="H1644" s="24">
        <f>IFERROR(__xludf.DUMMYFUNCTION("""COMPUTED_VALUE"""),378.0)</f>
        <v>378</v>
      </c>
      <c r="I1644" s="24" t="str">
        <f>IFERROR(__xludf.DUMMYFUNCTION("""COMPUTED_VALUE"""),"Dairy")</f>
        <v>Dairy</v>
      </c>
    </row>
    <row r="1645">
      <c r="A1645" s="23">
        <f>IFERROR(__xludf.DUMMYFUNCTION("""COMPUTED_VALUE"""),44822.64113001157)</f>
        <v>44822.64113</v>
      </c>
      <c r="B1645" s="24" t="str">
        <f>IFERROR(__xludf.DUMMYFUNCTION("""COMPUTED_VALUE"""),"Lynnette c ")</f>
        <v>Lynnette c </v>
      </c>
      <c r="C1645" s="24">
        <f>IFERROR(__xludf.DUMMYFUNCTION("""COMPUTED_VALUE"""),75.0)</f>
        <v>75</v>
      </c>
      <c r="D1645" s="24"/>
      <c r="F1645" s="23">
        <f>IFERROR(__xludf.DUMMYFUNCTION("""COMPUTED_VALUE"""),44794.66777032407)</f>
        <v>44794.66777</v>
      </c>
      <c r="G1645" s="24" t="str">
        <f>IFERROR(__xludf.DUMMYFUNCTION("""COMPUTED_VALUE"""),"Zoe")</f>
        <v>Zoe</v>
      </c>
      <c r="H1645" s="24">
        <f>IFERROR(__xludf.DUMMYFUNCTION("""COMPUTED_VALUE"""),573.0)</f>
        <v>573</v>
      </c>
      <c r="I1645" s="24" t="str">
        <f>IFERROR(__xludf.DUMMYFUNCTION("""COMPUTED_VALUE"""),"Meat")</f>
        <v>Meat</v>
      </c>
    </row>
    <row r="1646">
      <c r="A1646" s="23">
        <f>IFERROR(__xludf.DUMMYFUNCTION("""COMPUTED_VALUE"""),44822.65390680555)</f>
        <v>44822.65391</v>
      </c>
      <c r="B1646" s="24" t="str">
        <f>IFERROR(__xludf.DUMMYFUNCTION("""COMPUTED_VALUE"""),"Opeyemi")</f>
        <v>Opeyemi</v>
      </c>
      <c r="C1646" s="24">
        <f>IFERROR(__xludf.DUMMYFUNCTION("""COMPUTED_VALUE"""),294.0)</f>
        <v>294</v>
      </c>
      <c r="D1646" s="24" t="str">
        <f>IFERROR(__xludf.DUMMYFUNCTION("""COMPUTED_VALUE"""),"Drinks [Dry]")</f>
        <v>Drinks [Dry]</v>
      </c>
      <c r="F1646" s="23">
        <f>IFERROR(__xludf.DUMMYFUNCTION("""COMPUTED_VALUE"""),44794.668179016204)</f>
        <v>44794.66818</v>
      </c>
      <c r="G1646" s="24" t="str">
        <f>IFERROR(__xludf.DUMMYFUNCTION("""COMPUTED_VALUE"""),"Zoe")</f>
        <v>Zoe</v>
      </c>
      <c r="H1646" s="24">
        <f>IFERROR(__xludf.DUMMYFUNCTION("""COMPUTED_VALUE"""),235.0)</f>
        <v>235</v>
      </c>
      <c r="I1646" s="24" t="str">
        <f>IFERROR(__xludf.DUMMYFUNCTION("""COMPUTED_VALUE"""),"Produce")</f>
        <v>Produce</v>
      </c>
    </row>
    <row r="1647">
      <c r="A1647" s="23">
        <f>IFERROR(__xludf.DUMMYFUNCTION("""COMPUTED_VALUE"""),44822.658176875)</f>
        <v>44822.65818</v>
      </c>
      <c r="B1647" s="24" t="str">
        <f>IFERROR(__xludf.DUMMYFUNCTION("""COMPUTED_VALUE"""),"Opey")</f>
        <v>Opey</v>
      </c>
      <c r="C1647" s="24">
        <f>IFERROR(__xludf.DUMMYFUNCTION("""COMPUTED_VALUE"""),227.0)</f>
        <v>227</v>
      </c>
      <c r="D1647" s="24" t="str">
        <f>IFERROR(__xludf.DUMMYFUNCTION("""COMPUTED_VALUE"""),"Assorted Dry")</f>
        <v>Assorted Dry</v>
      </c>
      <c r="F1647" s="23">
        <f>IFERROR(__xludf.DUMMYFUNCTION("""COMPUTED_VALUE"""),44794.668569999994)</f>
        <v>44794.66857</v>
      </c>
      <c r="G1647" s="24" t="str">
        <f>IFERROR(__xludf.DUMMYFUNCTION("""COMPUTED_VALUE"""),"Zoe")</f>
        <v>Zoe</v>
      </c>
      <c r="H1647" s="24">
        <f>IFERROR(__xludf.DUMMYFUNCTION("""COMPUTED_VALUE"""),656.0)</f>
        <v>656</v>
      </c>
      <c r="I1647" s="24" t="str">
        <f>IFERROR(__xludf.DUMMYFUNCTION("""COMPUTED_VALUE"""),"Produce")</f>
        <v>Produce</v>
      </c>
    </row>
    <row r="1648">
      <c r="A1648" s="23">
        <f>IFERROR(__xludf.DUMMYFUNCTION("""COMPUTED_VALUE"""),44822.65858420139)</f>
        <v>44822.65858</v>
      </c>
      <c r="B1648" s="24" t="str">
        <f>IFERROR(__xludf.DUMMYFUNCTION("""COMPUTED_VALUE"""),"Opey")</f>
        <v>Opey</v>
      </c>
      <c r="C1648" s="24">
        <f>IFERROR(__xludf.DUMMYFUNCTION("""COMPUTED_VALUE"""),592.0)</f>
        <v>592</v>
      </c>
      <c r="D1648" s="24" t="str">
        <f>IFERROR(__xludf.DUMMYFUNCTION("""COMPUTED_VALUE"""),"Produce")</f>
        <v>Produce</v>
      </c>
      <c r="F1648" s="23">
        <f>IFERROR(__xludf.DUMMYFUNCTION("""COMPUTED_VALUE"""),44794.66884703704)</f>
        <v>44794.66885</v>
      </c>
      <c r="G1648" s="24" t="str">
        <f>IFERROR(__xludf.DUMMYFUNCTION("""COMPUTED_VALUE"""),"Zoe")</f>
        <v>Zoe</v>
      </c>
      <c r="H1648" s="24">
        <f>IFERROR(__xludf.DUMMYFUNCTION("""COMPUTED_VALUE"""),266.0)</f>
        <v>266</v>
      </c>
      <c r="I1648" s="24" t="str">
        <f>IFERROR(__xludf.DUMMYFUNCTION("""COMPUTED_VALUE"""),"Produce")</f>
        <v>Produce</v>
      </c>
    </row>
    <row r="1649">
      <c r="A1649" s="23">
        <f>IFERROR(__xludf.DUMMYFUNCTION("""COMPUTED_VALUE"""),44822.65960276621)</f>
        <v>44822.6596</v>
      </c>
      <c r="B1649" s="24" t="str">
        <f>IFERROR(__xludf.DUMMYFUNCTION("""COMPUTED_VALUE"""),"Opey")</f>
        <v>Opey</v>
      </c>
      <c r="C1649" s="24">
        <f>IFERROR(__xludf.DUMMYFUNCTION("""COMPUTED_VALUE"""),78.0)</f>
        <v>78</v>
      </c>
      <c r="D1649" s="24" t="str">
        <f>IFERROR(__xludf.DUMMYFUNCTION("""COMPUTED_VALUE"""),"Snacks")</f>
        <v>Snacks</v>
      </c>
      <c r="F1649" s="23">
        <f>IFERROR(__xludf.DUMMYFUNCTION("""COMPUTED_VALUE"""),44794.669471817135)</f>
        <v>44794.66947</v>
      </c>
      <c r="G1649" s="24" t="str">
        <f>IFERROR(__xludf.DUMMYFUNCTION("""COMPUTED_VALUE"""),"Zoe")</f>
        <v>Zoe</v>
      </c>
      <c r="H1649" s="24">
        <f>IFERROR(__xludf.DUMMYFUNCTION("""COMPUTED_VALUE"""),528.0)</f>
        <v>528</v>
      </c>
      <c r="I1649" s="24" t="str">
        <f>IFERROR(__xludf.DUMMYFUNCTION("""COMPUTED_VALUE"""),"Assorted option")</f>
        <v>Assorted option</v>
      </c>
    </row>
    <row r="1650">
      <c r="A1650" s="23">
        <f>IFERROR(__xludf.DUMMYFUNCTION("""COMPUTED_VALUE"""),44822.65997151621)</f>
        <v>44822.65997</v>
      </c>
      <c r="B1650" s="24" t="str">
        <f>IFERROR(__xludf.DUMMYFUNCTION("""COMPUTED_VALUE"""),"Opey ")</f>
        <v>Opey </v>
      </c>
      <c r="C1650" s="24">
        <f>IFERROR(__xludf.DUMMYFUNCTION("""COMPUTED_VALUE"""),276.0)</f>
        <v>276</v>
      </c>
      <c r="D1650" s="24" t="str">
        <f>IFERROR(__xludf.DUMMYFUNCTION("""COMPUTED_VALUE"""),"Produce")</f>
        <v>Produce</v>
      </c>
      <c r="F1650" s="23">
        <f>IFERROR(__xludf.DUMMYFUNCTION("""COMPUTED_VALUE"""),44794.66978633102)</f>
        <v>44794.66979</v>
      </c>
      <c r="G1650" s="24" t="str">
        <f>IFERROR(__xludf.DUMMYFUNCTION("""COMPUTED_VALUE"""),"Zoe")</f>
        <v>Zoe</v>
      </c>
      <c r="H1650" s="24">
        <f>IFERROR(__xludf.DUMMYFUNCTION("""COMPUTED_VALUE"""),518.0)</f>
        <v>518</v>
      </c>
      <c r="I1650" s="24" t="str">
        <f>IFERROR(__xludf.DUMMYFUNCTION("""COMPUTED_VALUE"""),"Assorted option")</f>
        <v>Assorted option</v>
      </c>
    </row>
    <row r="1651">
      <c r="A1651" s="23">
        <f>IFERROR(__xludf.DUMMYFUNCTION("""COMPUTED_VALUE"""),44822.66035695602)</f>
        <v>44822.66036</v>
      </c>
      <c r="B1651" s="24" t="str">
        <f>IFERROR(__xludf.DUMMYFUNCTION("""COMPUTED_VALUE"""),"Opey")</f>
        <v>Opey</v>
      </c>
      <c r="C1651" s="24">
        <f>IFERROR(__xludf.DUMMYFUNCTION("""COMPUTED_VALUE"""),162.0)</f>
        <v>162</v>
      </c>
      <c r="D1651" s="24" t="str">
        <f>IFERROR(__xludf.DUMMYFUNCTION("""COMPUTED_VALUE"""),"Snacks")</f>
        <v>Snacks</v>
      </c>
      <c r="F1651" s="23">
        <f>IFERROR(__xludf.DUMMYFUNCTION("""COMPUTED_VALUE"""),44794.6751228588)</f>
        <v>44794.67512</v>
      </c>
      <c r="G1651" s="24" t="str">
        <f>IFERROR(__xludf.DUMMYFUNCTION("""COMPUTED_VALUE"""),"Kaneesha ")</f>
        <v>Kaneesha </v>
      </c>
      <c r="H1651" s="24">
        <f>IFERROR(__xludf.DUMMYFUNCTION("""COMPUTED_VALUE"""),20.0)</f>
        <v>20</v>
      </c>
      <c r="I1651" s="24"/>
    </row>
    <row r="1652">
      <c r="A1652" s="23">
        <f>IFERROR(__xludf.DUMMYFUNCTION("""COMPUTED_VALUE"""),44822.662282731486)</f>
        <v>44822.66228</v>
      </c>
      <c r="B1652" s="24" t="str">
        <f>IFERROR(__xludf.DUMMYFUNCTION("""COMPUTED_VALUE"""),"Opey ")</f>
        <v>Opey </v>
      </c>
      <c r="C1652" s="24">
        <f>IFERROR(__xludf.DUMMYFUNCTION("""COMPUTED_VALUE"""),819.0)</f>
        <v>819</v>
      </c>
      <c r="D1652" s="24" t="str">
        <f>IFERROR(__xludf.DUMMYFUNCTION("""COMPUTED_VALUE"""),"Water")</f>
        <v>Water</v>
      </c>
      <c r="F1652" s="23">
        <f>IFERROR(__xludf.DUMMYFUNCTION("""COMPUTED_VALUE"""),44794.67560166667)</f>
        <v>44794.6756</v>
      </c>
      <c r="G1652" s="24" t="str">
        <f>IFERROR(__xludf.DUMMYFUNCTION("""COMPUTED_VALUE"""),"Adeola Sulaiman")</f>
        <v>Adeola Sulaiman</v>
      </c>
      <c r="H1652" s="24">
        <f>IFERROR(__xludf.DUMMYFUNCTION("""COMPUTED_VALUE"""),21.0)</f>
        <v>21</v>
      </c>
      <c r="I1652" s="24"/>
    </row>
    <row r="1653">
      <c r="A1653" s="23">
        <f>IFERROR(__xludf.DUMMYFUNCTION("""COMPUTED_VALUE"""),44822.662643923606)</f>
        <v>44822.66264</v>
      </c>
      <c r="B1653" s="24" t="str">
        <f>IFERROR(__xludf.DUMMYFUNCTION("""COMPUTED_VALUE"""),"Opey")</f>
        <v>Opey</v>
      </c>
      <c r="C1653" s="24">
        <f>IFERROR(__xludf.DUMMYFUNCTION("""COMPUTED_VALUE"""),72.0)</f>
        <v>72</v>
      </c>
      <c r="D1653" s="24" t="str">
        <f>IFERROR(__xludf.DUMMYFUNCTION("""COMPUTED_VALUE"""),"Personal Care")</f>
        <v>Personal Care</v>
      </c>
      <c r="F1653" s="23">
        <f>IFERROR(__xludf.DUMMYFUNCTION("""COMPUTED_VALUE"""),44794.676392685185)</f>
        <v>44794.67639</v>
      </c>
      <c r="G1653" s="24" t="str">
        <f>IFERROR(__xludf.DUMMYFUNCTION("""COMPUTED_VALUE"""),"Obi Nwokoro")</f>
        <v>Obi Nwokoro</v>
      </c>
      <c r="H1653" s="24">
        <f>IFERROR(__xludf.DUMMYFUNCTION("""COMPUTED_VALUE"""),19.0)</f>
        <v>19</v>
      </c>
      <c r="I1653" s="24"/>
    </row>
    <row r="1654">
      <c r="A1654" s="23">
        <f>IFERROR(__xludf.DUMMYFUNCTION("""COMPUTED_VALUE"""),44822.66305751158)</f>
        <v>44822.66306</v>
      </c>
      <c r="B1654" s="24" t="str">
        <f>IFERROR(__xludf.DUMMYFUNCTION("""COMPUTED_VALUE"""),"Opey ")</f>
        <v>Opey </v>
      </c>
      <c r="C1654" s="24">
        <f>IFERROR(__xludf.DUMMYFUNCTION("""COMPUTED_VALUE"""),6.0)</f>
        <v>6</v>
      </c>
      <c r="D1654" s="24" t="str">
        <f>IFERROR(__xludf.DUMMYFUNCTION("""COMPUTED_VALUE"""),"Personal Care")</f>
        <v>Personal Care</v>
      </c>
      <c r="F1654" s="23">
        <f>IFERROR(__xludf.DUMMYFUNCTION("""COMPUTED_VALUE"""),44794.67950920139)</f>
        <v>44794.67951</v>
      </c>
      <c r="G1654" s="24" t="str">
        <f>IFERROR(__xludf.DUMMYFUNCTION("""COMPUTED_VALUE"""),"James willians")</f>
        <v>James willians</v>
      </c>
      <c r="H1654" s="24">
        <f>IFERROR(__xludf.DUMMYFUNCTION("""COMPUTED_VALUE"""),16.0)</f>
        <v>16</v>
      </c>
      <c r="I1654" s="24"/>
    </row>
    <row r="1655">
      <c r="A1655" s="23">
        <f>IFERROR(__xludf.DUMMYFUNCTION("""COMPUTED_VALUE"""),44822.66351060185)</f>
        <v>44822.66351</v>
      </c>
      <c r="B1655" s="24" t="str">
        <f>IFERROR(__xludf.DUMMYFUNCTION("""COMPUTED_VALUE"""),"Opey ")</f>
        <v>Opey </v>
      </c>
      <c r="C1655" s="24">
        <f>IFERROR(__xludf.DUMMYFUNCTION("""COMPUTED_VALUE"""),135.0)</f>
        <v>135</v>
      </c>
      <c r="D1655" s="24" t="str">
        <f>IFERROR(__xludf.DUMMYFUNCTION("""COMPUTED_VALUE"""),"Assorted Dry")</f>
        <v>Assorted Dry</v>
      </c>
      <c r="F1655" s="23">
        <f>IFERROR(__xludf.DUMMYFUNCTION("""COMPUTED_VALUE"""),44794.69431892361)</f>
        <v>44794.69432</v>
      </c>
      <c r="G1655" s="24" t="str">
        <f>IFERROR(__xludf.DUMMYFUNCTION("""COMPUTED_VALUE"""),"Opey")</f>
        <v>Opey</v>
      </c>
      <c r="H1655" s="24">
        <f>IFERROR(__xludf.DUMMYFUNCTION("""COMPUTED_VALUE"""),8.0)</f>
        <v>8</v>
      </c>
      <c r="I1655" s="24"/>
    </row>
    <row r="1656">
      <c r="A1656" s="23">
        <f>IFERROR(__xludf.DUMMYFUNCTION("""COMPUTED_VALUE"""),44822.66438637731)</f>
        <v>44822.66439</v>
      </c>
      <c r="B1656" s="24" t="str">
        <f>IFERROR(__xludf.DUMMYFUNCTION("""COMPUTED_VALUE"""),"Opey")</f>
        <v>Opey</v>
      </c>
      <c r="C1656" s="24">
        <f>IFERROR(__xludf.DUMMYFUNCTION("""COMPUTED_VALUE"""),63.0)</f>
        <v>63</v>
      </c>
      <c r="D1656" s="24" t="str">
        <f>IFERROR(__xludf.DUMMYFUNCTION("""COMPUTED_VALUE"""),"Cleaning Supplies")</f>
        <v>Cleaning Supplies</v>
      </c>
      <c r="F1656" s="23">
        <f>IFERROR(__xludf.DUMMYFUNCTION("""COMPUTED_VALUE"""),44794.70225563657)</f>
        <v>44794.70226</v>
      </c>
      <c r="G1656" s="24" t="str">
        <f>IFERROR(__xludf.DUMMYFUNCTION("""COMPUTED_VALUE"""),"Zoe")</f>
        <v>Zoe</v>
      </c>
      <c r="H1656" s="24">
        <f>IFERROR(__xludf.DUMMYFUNCTION("""COMPUTED_VALUE"""),15.0)</f>
        <v>15</v>
      </c>
      <c r="I1656" s="24"/>
    </row>
    <row r="1657">
      <c r="A1657" s="23">
        <f>IFERROR(__xludf.DUMMYFUNCTION("""COMPUTED_VALUE"""),44822.66788549769)</f>
        <v>44822.66789</v>
      </c>
      <c r="B1657" s="24" t="str">
        <f>IFERROR(__xludf.DUMMYFUNCTION("""COMPUTED_VALUE"""),"Opey")</f>
        <v>Opey</v>
      </c>
      <c r="C1657" s="24">
        <f>IFERROR(__xludf.DUMMYFUNCTION("""COMPUTED_VALUE"""),823.0)</f>
        <v>823</v>
      </c>
      <c r="D1657" s="24" t="str">
        <f>IFERROR(__xludf.DUMMYFUNCTION("""COMPUTED_VALUE"""),"Assorted dry and fridge ")</f>
        <v>Assorted dry and fridge </v>
      </c>
      <c r="F1657" s="23">
        <f>IFERROR(__xludf.DUMMYFUNCTION("""COMPUTED_VALUE"""),44794.73654776621)</f>
        <v>44794.73655</v>
      </c>
      <c r="G1657" s="24" t="str">
        <f>IFERROR(__xludf.DUMMYFUNCTION("""COMPUTED_VALUE"""),"Zoe")</f>
        <v>Zoe</v>
      </c>
      <c r="H1657" s="24">
        <f>IFERROR(__xludf.DUMMYFUNCTION("""COMPUTED_VALUE"""),163.0)</f>
        <v>163</v>
      </c>
      <c r="I1657" s="24" t="str">
        <f>IFERROR(__xludf.DUMMYFUNCTION("""COMPUTED_VALUE"""),"Amazon")</f>
        <v>Amazon</v>
      </c>
    </row>
    <row r="1658">
      <c r="A1658" s="23">
        <f>IFERROR(__xludf.DUMMYFUNCTION("""COMPUTED_VALUE"""),44824.0)</f>
        <v>44824</v>
      </c>
      <c r="B1658" s="24" t="str">
        <f>IFERROR(__xludf.DUMMYFUNCTION("""COMPUTED_VALUE"""),"Beverly Pinn")</f>
        <v>Beverly Pinn</v>
      </c>
      <c r="C1658" s="24">
        <f>IFERROR(__xludf.DUMMYFUNCTION("""COMPUTED_VALUE"""),33.0)</f>
        <v>33</v>
      </c>
      <c r="D1658" s="24" t="str">
        <f>IFERROR(__xludf.DUMMYFUNCTION("""COMPUTED_VALUE"""),"STEAM toys")</f>
        <v>STEAM toys</v>
      </c>
      <c r="F1658" s="23">
        <f>IFERROR(__xludf.DUMMYFUNCTION("""COMPUTED_VALUE"""),44794.73690043981)</f>
        <v>44794.7369</v>
      </c>
      <c r="G1658" s="24" t="str">
        <f>IFERROR(__xludf.DUMMYFUNCTION("""COMPUTED_VALUE"""),"Zoe")</f>
        <v>Zoe</v>
      </c>
      <c r="H1658" s="24">
        <f>IFERROR(__xludf.DUMMYFUNCTION("""COMPUTED_VALUE"""),418.0)</f>
        <v>418</v>
      </c>
      <c r="I1658" s="24" t="str">
        <f>IFERROR(__xludf.DUMMYFUNCTION("""COMPUTED_VALUE"""),"Amazon")</f>
        <v>Amazon</v>
      </c>
    </row>
    <row r="1659">
      <c r="A1659" s="23">
        <f>IFERROR(__xludf.DUMMYFUNCTION("""COMPUTED_VALUE"""),44825.60087523148)</f>
        <v>44825.60088</v>
      </c>
      <c r="B1659" s="24" t="str">
        <f>IFERROR(__xludf.DUMMYFUNCTION("""COMPUTED_VALUE"""),"Jean")</f>
        <v>Jean</v>
      </c>
      <c r="C1659" s="24">
        <f>IFERROR(__xludf.DUMMYFUNCTION("""COMPUTED_VALUE"""),22.0)</f>
        <v>22</v>
      </c>
      <c r="D1659" s="24"/>
      <c r="F1659" s="23">
        <f>IFERROR(__xludf.DUMMYFUNCTION("""COMPUTED_VALUE"""),44794.7374796875)</f>
        <v>44794.73748</v>
      </c>
      <c r="G1659" s="24" t="str">
        <f>IFERROR(__xludf.DUMMYFUNCTION("""COMPUTED_VALUE"""),"Zoe")</f>
        <v>Zoe</v>
      </c>
      <c r="H1659" s="24">
        <f>IFERROR(__xludf.DUMMYFUNCTION("""COMPUTED_VALUE"""),302.0)</f>
        <v>302</v>
      </c>
      <c r="I1659" s="24" t="str">
        <f>IFERROR(__xludf.DUMMYFUNCTION("""COMPUTED_VALUE"""),"Amazon")</f>
        <v>Amazon</v>
      </c>
    </row>
    <row r="1660">
      <c r="A1660" s="23">
        <f>IFERROR(__xludf.DUMMYFUNCTION("""COMPUTED_VALUE"""),44825.695714479174)</f>
        <v>44825.69571</v>
      </c>
      <c r="B1660" s="24" t="str">
        <f>IFERROR(__xludf.DUMMYFUNCTION("""COMPUTED_VALUE"""),"Claire")</f>
        <v>Claire</v>
      </c>
      <c r="C1660" s="24">
        <f>IFERROR(__xludf.DUMMYFUNCTION("""COMPUTED_VALUE"""),193.0)</f>
        <v>193</v>
      </c>
      <c r="D1660" s="24" t="str">
        <f>IFERROR(__xludf.DUMMYFUNCTION("""COMPUTED_VALUE"""),"Snacks")</f>
        <v>Snacks</v>
      </c>
      <c r="F1660" s="23">
        <f>IFERROR(__xludf.DUMMYFUNCTION("""COMPUTED_VALUE"""),44794.739626481474)</f>
        <v>44794.73963</v>
      </c>
      <c r="G1660" s="24" t="str">
        <f>IFERROR(__xludf.DUMMYFUNCTION("""COMPUTED_VALUE"""),"Zoe")</f>
        <v>Zoe</v>
      </c>
      <c r="H1660" s="24">
        <f>IFERROR(__xludf.DUMMYFUNCTION("""COMPUTED_VALUE"""),1014.0)</f>
        <v>1014</v>
      </c>
      <c r="I1660" s="24" t="str">
        <f>IFERROR(__xludf.DUMMYFUNCTION("""COMPUTED_VALUE"""),"Amazon")</f>
        <v>Amazon</v>
      </c>
    </row>
    <row r="1661">
      <c r="A1661" s="23">
        <f>IFERROR(__xludf.DUMMYFUNCTION("""COMPUTED_VALUE"""),44825.69623209491)</f>
        <v>44825.69623</v>
      </c>
      <c r="B1661" s="24" t="str">
        <f>IFERROR(__xludf.DUMMYFUNCTION("""COMPUTED_VALUE"""),"Claire")</f>
        <v>Claire</v>
      </c>
      <c r="C1661" s="24">
        <f>IFERROR(__xludf.DUMMYFUNCTION("""COMPUTED_VALUE"""),161.0)</f>
        <v>161</v>
      </c>
      <c r="D1661" s="24" t="str">
        <f>IFERROR(__xludf.DUMMYFUNCTION("""COMPUTED_VALUE"""),"Snacks")</f>
        <v>Snacks</v>
      </c>
      <c r="F1661" s="23">
        <f>IFERROR(__xludf.DUMMYFUNCTION("""COMPUTED_VALUE"""),44794.74102555555)</f>
        <v>44794.74103</v>
      </c>
      <c r="G1661" s="24" t="str">
        <f>IFERROR(__xludf.DUMMYFUNCTION("""COMPUTED_VALUE"""),"Zoe")</f>
        <v>Zoe</v>
      </c>
      <c r="H1661" s="24">
        <f>IFERROR(__xludf.DUMMYFUNCTION("""COMPUTED_VALUE"""),492.0)</f>
        <v>492</v>
      </c>
      <c r="I1661" s="24" t="str">
        <f>IFERROR(__xludf.DUMMYFUNCTION("""COMPUTED_VALUE"""),"Amazon")</f>
        <v>Amazon</v>
      </c>
    </row>
    <row r="1662">
      <c r="A1662" s="23">
        <f>IFERROR(__xludf.DUMMYFUNCTION("""COMPUTED_VALUE"""),44825.69671104167)</f>
        <v>44825.69671</v>
      </c>
      <c r="B1662" s="24" t="str">
        <f>IFERROR(__xludf.DUMMYFUNCTION("""COMPUTED_VALUE"""),"Claire")</f>
        <v>Claire</v>
      </c>
      <c r="C1662" s="24">
        <f>IFERROR(__xludf.DUMMYFUNCTION("""COMPUTED_VALUE"""),357.0)</f>
        <v>357</v>
      </c>
      <c r="D1662" s="24" t="str">
        <f>IFERROR(__xludf.DUMMYFUNCTION("""COMPUTED_VALUE"""),"STEAM toys")</f>
        <v>STEAM toys</v>
      </c>
      <c r="F1662" s="23">
        <f>IFERROR(__xludf.DUMMYFUNCTION("""COMPUTED_VALUE"""),44794.743448622685)</f>
        <v>44794.74345</v>
      </c>
      <c r="G1662" s="24" t="str">
        <f>IFERROR(__xludf.DUMMYFUNCTION("""COMPUTED_VALUE"""),"Zoe")</f>
        <v>Zoe</v>
      </c>
      <c r="H1662" s="24">
        <f>IFERROR(__xludf.DUMMYFUNCTION("""COMPUTED_VALUE"""),839.0)</f>
        <v>839</v>
      </c>
      <c r="I1662" s="24" t="str">
        <f>IFERROR(__xludf.DUMMYFUNCTION("""COMPUTED_VALUE"""),"Amazon")</f>
        <v>Amazon</v>
      </c>
    </row>
    <row r="1663">
      <c r="A1663" s="23">
        <f>IFERROR(__xludf.DUMMYFUNCTION("""COMPUTED_VALUE"""),44825.69694465277)</f>
        <v>44825.69694</v>
      </c>
      <c r="B1663" s="24" t="str">
        <f>IFERROR(__xludf.DUMMYFUNCTION("""COMPUTED_VALUE"""),"Claire")</f>
        <v>Claire</v>
      </c>
      <c r="C1663" s="24">
        <f>IFERROR(__xludf.DUMMYFUNCTION("""COMPUTED_VALUE"""),499.0)</f>
        <v>499</v>
      </c>
      <c r="D1663" s="24" t="str">
        <f>IFERROR(__xludf.DUMMYFUNCTION("""COMPUTED_VALUE"""),"STEAM toys")</f>
        <v>STEAM toys</v>
      </c>
      <c r="F1663" s="23">
        <f>IFERROR(__xludf.DUMMYFUNCTION("""COMPUTED_VALUE"""),44794.7466871875)</f>
        <v>44794.74669</v>
      </c>
      <c r="G1663" s="24" t="str">
        <f>IFERROR(__xludf.DUMMYFUNCTION("""COMPUTED_VALUE"""),"Zoe")</f>
        <v>Zoe</v>
      </c>
      <c r="H1663" s="24">
        <f>IFERROR(__xludf.DUMMYFUNCTION("""COMPUTED_VALUE"""),1261.0)</f>
        <v>1261</v>
      </c>
      <c r="I1663" s="24" t="str">
        <f>IFERROR(__xludf.DUMMYFUNCTION("""COMPUTED_VALUE"""),"Amazon")</f>
        <v>Amazon</v>
      </c>
    </row>
    <row r="1664">
      <c r="A1664" s="23">
        <f>IFERROR(__xludf.DUMMYFUNCTION("""COMPUTED_VALUE"""),44825.69736872685)</f>
        <v>44825.69737</v>
      </c>
      <c r="B1664" s="24" t="str">
        <f>IFERROR(__xludf.DUMMYFUNCTION("""COMPUTED_VALUE"""),"Claire")</f>
        <v>Claire</v>
      </c>
      <c r="C1664" s="24">
        <f>IFERROR(__xludf.DUMMYFUNCTION("""COMPUTED_VALUE"""),505.0)</f>
        <v>505</v>
      </c>
      <c r="D1664" s="24" t="str">
        <f>IFERROR(__xludf.DUMMYFUNCTION("""COMPUTED_VALUE"""),"STEAM toys")</f>
        <v>STEAM toys</v>
      </c>
      <c r="F1664" s="23">
        <f>IFERROR(__xludf.DUMMYFUNCTION("""COMPUTED_VALUE"""),44794.74810070601)</f>
        <v>44794.7481</v>
      </c>
      <c r="G1664" s="24" t="str">
        <f>IFERROR(__xludf.DUMMYFUNCTION("""COMPUTED_VALUE"""),"Carla ")</f>
        <v>Carla </v>
      </c>
      <c r="H1664" s="24">
        <f>IFERROR(__xludf.DUMMYFUNCTION("""COMPUTED_VALUE"""),13.0)</f>
        <v>13</v>
      </c>
      <c r="I1664" s="24"/>
    </row>
    <row r="1665">
      <c r="A1665" s="23">
        <f>IFERROR(__xludf.DUMMYFUNCTION("""COMPUTED_VALUE"""),44825.69816581018)</f>
        <v>44825.69817</v>
      </c>
      <c r="B1665" s="24" t="str">
        <f>IFERROR(__xludf.DUMMYFUNCTION("""COMPUTED_VALUE"""),"Claire")</f>
        <v>Claire</v>
      </c>
      <c r="C1665" s="24">
        <f>IFERROR(__xludf.DUMMYFUNCTION("""COMPUTED_VALUE"""),112.0)</f>
        <v>112</v>
      </c>
      <c r="D1665" s="24" t="str">
        <f>IFERROR(__xludf.DUMMYFUNCTION("""COMPUTED_VALUE"""),"STEAM toys")</f>
        <v>STEAM toys</v>
      </c>
      <c r="F1665" s="23">
        <f>IFERROR(__xludf.DUMMYFUNCTION("""COMPUTED_VALUE"""),44794.75007991898)</f>
        <v>44794.75008</v>
      </c>
      <c r="G1665" s="24" t="str">
        <f>IFERROR(__xludf.DUMMYFUNCTION("""COMPUTED_VALUE"""),"Zoe")</f>
        <v>Zoe</v>
      </c>
      <c r="H1665" s="24">
        <f>IFERROR(__xludf.DUMMYFUNCTION("""COMPUTED_VALUE"""),736.0)</f>
        <v>736</v>
      </c>
      <c r="I1665" s="24" t="str">
        <f>IFERROR(__xludf.DUMMYFUNCTION("""COMPUTED_VALUE"""),"Amazon")</f>
        <v>Amazon</v>
      </c>
    </row>
    <row r="1666">
      <c r="A1666" s="23">
        <f>IFERROR(__xludf.DUMMYFUNCTION("""COMPUTED_VALUE"""),44825.69872833334)</f>
        <v>44825.69873</v>
      </c>
      <c r="B1666" s="24" t="str">
        <f>IFERROR(__xludf.DUMMYFUNCTION("""COMPUTED_VALUE"""),"Claire")</f>
        <v>Claire</v>
      </c>
      <c r="C1666" s="24">
        <f>IFERROR(__xludf.DUMMYFUNCTION("""COMPUTED_VALUE"""),22.0)</f>
        <v>22</v>
      </c>
      <c r="D1666" s="24" t="str">
        <f>IFERROR(__xludf.DUMMYFUNCTION("""COMPUTED_VALUE"""),"STEAM toys")</f>
        <v>STEAM toys</v>
      </c>
      <c r="F1666" s="23">
        <f>IFERROR(__xludf.DUMMYFUNCTION("""COMPUTED_VALUE"""),44796.0)</f>
        <v>44796</v>
      </c>
      <c r="G1666" s="24" t="str">
        <f>IFERROR(__xludf.DUMMYFUNCTION("""COMPUTED_VALUE"""),"Denise Wilkins")</f>
        <v>Denise Wilkins</v>
      </c>
      <c r="H1666" s="24">
        <f>IFERROR(__xludf.DUMMYFUNCTION("""COMPUTED_VALUE"""),36.0)</f>
        <v>36</v>
      </c>
      <c r="I1666" s="24"/>
    </row>
    <row r="1667">
      <c r="A1667" s="23">
        <f>IFERROR(__xludf.DUMMYFUNCTION("""COMPUTED_VALUE"""),44825.70138380787)</f>
        <v>44825.70138</v>
      </c>
      <c r="B1667" s="24" t="str">
        <f>IFERROR(__xludf.DUMMYFUNCTION("""COMPUTED_VALUE"""),"Claire")</f>
        <v>Claire</v>
      </c>
      <c r="C1667" s="24">
        <f>IFERROR(__xludf.DUMMYFUNCTION("""COMPUTED_VALUE"""),116.0)</f>
        <v>116</v>
      </c>
      <c r="D1667" s="24" t="str">
        <f>IFERROR(__xludf.DUMMYFUNCTION("""COMPUTED_VALUE"""),"Snacks")</f>
        <v>Snacks</v>
      </c>
      <c r="F1667" s="23">
        <f>IFERROR(__xludf.DUMMYFUNCTION("""COMPUTED_VALUE"""),44796.0)</f>
        <v>44796</v>
      </c>
      <c r="G1667" s="24" t="str">
        <f>IFERROR(__xludf.DUMMYFUNCTION("""COMPUTED_VALUE"""),"Barbara Jordan")</f>
        <v>Barbara Jordan</v>
      </c>
      <c r="H1667" s="24">
        <f>IFERROR(__xludf.DUMMYFUNCTION("""COMPUTED_VALUE"""),18.0)</f>
        <v>18</v>
      </c>
      <c r="I1667" s="24"/>
    </row>
    <row r="1668">
      <c r="A1668" s="23">
        <f>IFERROR(__xludf.DUMMYFUNCTION("""COMPUTED_VALUE"""),44825.70183959491)</f>
        <v>44825.70184</v>
      </c>
      <c r="B1668" s="24" t="str">
        <f>IFERROR(__xludf.DUMMYFUNCTION("""COMPUTED_VALUE"""),"Claire")</f>
        <v>Claire</v>
      </c>
      <c r="C1668" s="24">
        <f>IFERROR(__xludf.DUMMYFUNCTION("""COMPUTED_VALUE"""),567.0)</f>
        <v>567</v>
      </c>
      <c r="D1668" s="24" t="str">
        <f>IFERROR(__xludf.DUMMYFUNCTION("""COMPUTED_VALUE"""),"Dairy")</f>
        <v>Dairy</v>
      </c>
      <c r="F1668" s="23">
        <f>IFERROR(__xludf.DUMMYFUNCTION("""COMPUTED_VALUE"""),44796.0)</f>
        <v>44796</v>
      </c>
      <c r="G1668" s="24" t="str">
        <f>IFERROR(__xludf.DUMMYFUNCTION("""COMPUTED_VALUE"""),"Barbara Jordan")</f>
        <v>Barbara Jordan</v>
      </c>
      <c r="H1668" s="24">
        <f>IFERROR(__xludf.DUMMYFUNCTION("""COMPUTED_VALUE"""),15.0)</f>
        <v>15</v>
      </c>
      <c r="I1668" s="24"/>
    </row>
    <row r="1669">
      <c r="A1669" s="23">
        <f>IFERROR(__xludf.DUMMYFUNCTION("""COMPUTED_VALUE"""),44825.70215128472)</f>
        <v>44825.70215</v>
      </c>
      <c r="B1669" s="24" t="str">
        <f>IFERROR(__xludf.DUMMYFUNCTION("""COMPUTED_VALUE"""),"Claire")</f>
        <v>Claire</v>
      </c>
      <c r="C1669" s="24">
        <f>IFERROR(__xludf.DUMMYFUNCTION("""COMPUTED_VALUE"""),298.0)</f>
        <v>298</v>
      </c>
      <c r="D1669" s="24" t="str">
        <f>IFERROR(__xludf.DUMMYFUNCTION("""COMPUTED_VALUE"""),"STEAM toys")</f>
        <v>STEAM toys</v>
      </c>
      <c r="F1669" s="23">
        <f>IFERROR(__xludf.DUMMYFUNCTION("""COMPUTED_VALUE"""),44796.71116910879)</f>
        <v>44796.71117</v>
      </c>
      <c r="G1669" s="24" t="str">
        <f>IFERROR(__xludf.DUMMYFUNCTION("""COMPUTED_VALUE"""),"Kaneesha ")</f>
        <v>Kaneesha </v>
      </c>
      <c r="H1669" s="24">
        <f>IFERROR(__xludf.DUMMYFUNCTION("""COMPUTED_VALUE"""),20.0)</f>
        <v>20</v>
      </c>
      <c r="I1669" s="24"/>
    </row>
    <row r="1670">
      <c r="A1670" s="23">
        <f>IFERROR(__xludf.DUMMYFUNCTION("""COMPUTED_VALUE"""),44825.7383748611)</f>
        <v>44825.73837</v>
      </c>
      <c r="B1670" s="24" t="str">
        <f>IFERROR(__xludf.DUMMYFUNCTION("""COMPUTED_VALUE"""),"Sheneil Black")</f>
        <v>Sheneil Black</v>
      </c>
      <c r="C1670" s="24">
        <f>IFERROR(__xludf.DUMMYFUNCTION("""COMPUTED_VALUE"""),113.0)</f>
        <v>113</v>
      </c>
      <c r="D1670" s="24" t="str">
        <f>IFERROR(__xludf.DUMMYFUNCTION("""COMPUTED_VALUE"""),"Drinks and snacks")</f>
        <v>Drinks and snacks</v>
      </c>
      <c r="F1670" s="23">
        <f>IFERROR(__xludf.DUMMYFUNCTION("""COMPUTED_VALUE"""),44796.71145461806)</f>
        <v>44796.71145</v>
      </c>
      <c r="G1670" s="24" t="str">
        <f>IFERROR(__xludf.DUMMYFUNCTION("""COMPUTED_VALUE"""),"Kaneesha (expired) ")</f>
        <v>Kaneesha (expired) </v>
      </c>
      <c r="H1670" s="24">
        <f>IFERROR(__xludf.DUMMYFUNCTION("""COMPUTED_VALUE"""),34.0)</f>
        <v>34</v>
      </c>
      <c r="I1670" s="24"/>
    </row>
    <row r="1671">
      <c r="A1671" s="23">
        <f>IFERROR(__xludf.DUMMYFUNCTION("""COMPUTED_VALUE"""),44826.71709157408)</f>
        <v>44826.71709</v>
      </c>
      <c r="B1671" s="24" t="str">
        <f>IFERROR(__xludf.DUMMYFUNCTION("""COMPUTED_VALUE"""),"Jean")</f>
        <v>Jean</v>
      </c>
      <c r="C1671" s="24">
        <f>IFERROR(__xludf.DUMMYFUNCTION("""COMPUTED_VALUE"""),164.0)</f>
        <v>164</v>
      </c>
      <c r="D1671" s="24" t="str">
        <f>IFERROR(__xludf.DUMMYFUNCTION("""COMPUTED_VALUE"""),"Snacks and  toys")</f>
        <v>Snacks and  toys</v>
      </c>
      <c r="F1671" s="23">
        <f>IFERROR(__xludf.DUMMYFUNCTION("""COMPUTED_VALUE"""),44796.74811241898)</f>
        <v>44796.74811</v>
      </c>
      <c r="G1671" s="24" t="str">
        <f>IFERROR(__xludf.DUMMYFUNCTION("""COMPUTED_VALUE"""),"Jean.    Extra")</f>
        <v>Jean.    Extra</v>
      </c>
      <c r="H1671" s="24">
        <f>IFERROR(__xludf.DUMMYFUNCTION("""COMPUTED_VALUE"""),75.0)</f>
        <v>75</v>
      </c>
      <c r="I1671" s="24"/>
    </row>
    <row r="1672">
      <c r="A1672" s="23">
        <f>IFERROR(__xludf.DUMMYFUNCTION("""COMPUTED_VALUE"""),44826.71858148148)</f>
        <v>44826.71858</v>
      </c>
      <c r="B1672" s="24" t="str">
        <f>IFERROR(__xludf.DUMMYFUNCTION("""COMPUTED_VALUE"""),"Jean")</f>
        <v>Jean</v>
      </c>
      <c r="C1672" s="24">
        <f>IFERROR(__xludf.DUMMYFUNCTION("""COMPUTED_VALUE"""),169.0)</f>
        <v>169</v>
      </c>
      <c r="D1672" s="24" t="str">
        <f>IFERROR(__xludf.DUMMYFUNCTION("""COMPUTED_VALUE"""),"Produce")</f>
        <v>Produce</v>
      </c>
      <c r="F1672" s="23">
        <f>IFERROR(__xludf.DUMMYFUNCTION("""COMPUTED_VALUE"""),44796.7483096412)</f>
        <v>44796.74831</v>
      </c>
      <c r="G1672" s="24" t="str">
        <f>IFERROR(__xludf.DUMMYFUNCTION("""COMPUTED_VALUE"""),"Jean")</f>
        <v>Jean</v>
      </c>
      <c r="H1672" s="24">
        <f>IFERROR(__xludf.DUMMYFUNCTION("""COMPUTED_VALUE"""),51.0)</f>
        <v>51</v>
      </c>
      <c r="I1672" s="24"/>
    </row>
    <row r="1673">
      <c r="A1673" s="23">
        <f>IFERROR(__xludf.DUMMYFUNCTION("""COMPUTED_VALUE"""),44826.71988917825)</f>
        <v>44826.71989</v>
      </c>
      <c r="B1673" s="24" t="str">
        <f>IFERROR(__xludf.DUMMYFUNCTION("""COMPUTED_VALUE"""),"Jean")</f>
        <v>Jean</v>
      </c>
      <c r="C1673" s="24">
        <f>IFERROR(__xludf.DUMMYFUNCTION("""COMPUTED_VALUE"""),100.0)</f>
        <v>100</v>
      </c>
      <c r="D1673" s="24" t="str">
        <f>IFERROR(__xludf.DUMMYFUNCTION("""COMPUTED_VALUE"""),"Meat")</f>
        <v>Meat</v>
      </c>
      <c r="F1673" s="23">
        <f>IFERROR(__xludf.DUMMYFUNCTION("""COMPUTED_VALUE"""),44797.0)</f>
        <v>44797</v>
      </c>
      <c r="G1673" s="24" t="str">
        <f>IFERROR(__xludf.DUMMYFUNCTION("""COMPUTED_VALUE"""),"Claire")</f>
        <v>Claire</v>
      </c>
      <c r="H1673" s="24">
        <f>IFERROR(__xludf.DUMMYFUNCTION("""COMPUTED_VALUE"""),639.0)</f>
        <v>639</v>
      </c>
      <c r="I1673" s="24" t="str">
        <f>IFERROR(__xludf.DUMMYFUNCTION("""COMPUTED_VALUE"""),"First fruits farm")</f>
        <v>First fruits farm</v>
      </c>
    </row>
    <row r="1674">
      <c r="A1674" s="23">
        <f>IFERROR(__xludf.DUMMYFUNCTION("""COMPUTED_VALUE"""),44826.72086353009)</f>
        <v>44826.72086</v>
      </c>
      <c r="B1674" s="24" t="str">
        <f>IFERROR(__xludf.DUMMYFUNCTION("""COMPUTED_VALUE"""),"Jean")</f>
        <v>Jean</v>
      </c>
      <c r="C1674" s="24">
        <f>IFERROR(__xludf.DUMMYFUNCTION("""COMPUTED_VALUE"""),112.0)</f>
        <v>112</v>
      </c>
      <c r="D1674" s="24" t="str">
        <f>IFERROR(__xludf.DUMMYFUNCTION("""COMPUTED_VALUE"""),"Assorted Fridge")</f>
        <v>Assorted Fridge</v>
      </c>
      <c r="F1674" s="23">
        <f>IFERROR(__xludf.DUMMYFUNCTION("""COMPUTED_VALUE"""),44797.0)</f>
        <v>44797</v>
      </c>
      <c r="G1674" s="24" t="str">
        <f>IFERROR(__xludf.DUMMYFUNCTION("""COMPUTED_VALUE"""),"Denise Wilkins")</f>
        <v>Denise Wilkins</v>
      </c>
      <c r="H1674" s="24">
        <f>IFERROR(__xludf.DUMMYFUNCTION("""COMPUTED_VALUE"""),40.0)</f>
        <v>40</v>
      </c>
      <c r="I1674" s="24"/>
    </row>
    <row r="1675">
      <c r="A1675" s="23">
        <f>IFERROR(__xludf.DUMMYFUNCTION("""COMPUTED_VALUE"""),44826.721857164346)</f>
        <v>44826.72186</v>
      </c>
      <c r="B1675" s="24" t="str">
        <f>IFERROR(__xludf.DUMMYFUNCTION("""COMPUTED_VALUE"""),"Jean")</f>
        <v>Jean</v>
      </c>
      <c r="C1675" s="24">
        <f>IFERROR(__xludf.DUMMYFUNCTION("""COMPUTED_VALUE"""),41.0)</f>
        <v>41</v>
      </c>
      <c r="D1675" s="24" t="str">
        <f>IFERROR(__xludf.DUMMYFUNCTION("""COMPUTED_VALUE"""),"Bread")</f>
        <v>Bread</v>
      </c>
      <c r="F1675" s="23">
        <f>IFERROR(__xludf.DUMMYFUNCTION("""COMPUTED_VALUE"""),44797.0)</f>
        <v>44797</v>
      </c>
      <c r="G1675" s="24" t="str">
        <f>IFERROR(__xludf.DUMMYFUNCTION("""COMPUTED_VALUE"""),"Dorja Marshall")</f>
        <v>Dorja Marshall</v>
      </c>
      <c r="H1675" s="24">
        <f>IFERROR(__xludf.DUMMYFUNCTION("""COMPUTED_VALUE"""),20.0)</f>
        <v>20</v>
      </c>
      <c r="I1675" s="24"/>
    </row>
    <row r="1676">
      <c r="A1676" s="23">
        <f>IFERROR(__xludf.DUMMYFUNCTION("""COMPUTED_VALUE"""),44826.72334797454)</f>
        <v>44826.72335</v>
      </c>
      <c r="B1676" s="24" t="str">
        <f>IFERROR(__xludf.DUMMYFUNCTION("""COMPUTED_VALUE"""),"Jean")</f>
        <v>Jean</v>
      </c>
      <c r="C1676" s="24">
        <f>IFERROR(__xludf.DUMMYFUNCTION("""COMPUTED_VALUE"""),45.0)</f>
        <v>45</v>
      </c>
      <c r="D1676" s="24" t="str">
        <f>IFERROR(__xludf.DUMMYFUNCTION("""COMPUTED_VALUE"""),"Toys")</f>
        <v>Toys</v>
      </c>
      <c r="F1676" s="23">
        <f>IFERROR(__xludf.DUMMYFUNCTION("""COMPUTED_VALUE"""),44797.0)</f>
        <v>44797</v>
      </c>
      <c r="G1676" s="24" t="str">
        <f>IFERROR(__xludf.DUMMYFUNCTION("""COMPUTED_VALUE"""),"Dee Satterfield")</f>
        <v>Dee Satterfield</v>
      </c>
      <c r="H1676" s="24">
        <f>IFERROR(__xludf.DUMMYFUNCTION("""COMPUTED_VALUE"""),20.0)</f>
        <v>20</v>
      </c>
      <c r="I1676" s="24"/>
    </row>
    <row r="1677">
      <c r="A1677" s="23">
        <f>IFERROR(__xludf.DUMMYFUNCTION("""COMPUTED_VALUE"""),44826.72408506944)</f>
        <v>44826.72409</v>
      </c>
      <c r="B1677" s="24" t="str">
        <f>IFERROR(__xludf.DUMMYFUNCTION("""COMPUTED_VALUE"""),"Jean")</f>
        <v>Jean</v>
      </c>
      <c r="C1677" s="24">
        <f>IFERROR(__xludf.DUMMYFUNCTION("""COMPUTED_VALUE"""),237.0)</f>
        <v>237</v>
      </c>
      <c r="D1677" s="24" t="str">
        <f>IFERROR(__xludf.DUMMYFUNCTION("""COMPUTED_VALUE"""),"Drinks [Fridge]")</f>
        <v>Drinks [Fridge]</v>
      </c>
      <c r="F1677" s="23">
        <f>IFERROR(__xludf.DUMMYFUNCTION("""COMPUTED_VALUE"""),44797.0)</f>
        <v>44797</v>
      </c>
      <c r="G1677" s="24" t="str">
        <f>IFERROR(__xludf.DUMMYFUNCTION("""COMPUTED_VALUE"""),"Maddie Pardes")</f>
        <v>Maddie Pardes</v>
      </c>
      <c r="H1677" s="24">
        <f>IFERROR(__xludf.DUMMYFUNCTION("""COMPUTED_VALUE"""),20.0)</f>
        <v>20</v>
      </c>
      <c r="I1677" s="24"/>
    </row>
    <row r="1678">
      <c r="A1678" s="23">
        <f>IFERROR(__xludf.DUMMYFUNCTION("""COMPUTED_VALUE"""),44826.724656921295)</f>
        <v>44826.72466</v>
      </c>
      <c r="B1678" s="24" t="str">
        <f>IFERROR(__xludf.DUMMYFUNCTION("""COMPUTED_VALUE"""),"Jean")</f>
        <v>Jean</v>
      </c>
      <c r="C1678" s="24">
        <f>IFERROR(__xludf.DUMMYFUNCTION("""COMPUTED_VALUE"""),73.0)</f>
        <v>73</v>
      </c>
      <c r="D1678" s="24" t="str">
        <f>IFERROR(__xludf.DUMMYFUNCTION("""COMPUTED_VALUE"""),"Toys")</f>
        <v>Toys</v>
      </c>
      <c r="F1678" s="23">
        <f>IFERROR(__xludf.DUMMYFUNCTION("""COMPUTED_VALUE"""),44797.0)</f>
        <v>44797</v>
      </c>
      <c r="G1678" s="24" t="str">
        <f>IFERROR(__xludf.DUMMYFUNCTION("""COMPUTED_VALUE"""),"Tyrese Springer")</f>
        <v>Tyrese Springer</v>
      </c>
      <c r="H1678" s="24">
        <f>IFERROR(__xludf.DUMMYFUNCTION("""COMPUTED_VALUE"""),20.0)</f>
        <v>20</v>
      </c>
      <c r="I1678" s="24"/>
    </row>
    <row r="1679">
      <c r="A1679" s="23">
        <f>IFERROR(__xludf.DUMMYFUNCTION("""COMPUTED_VALUE"""),44826.0)</f>
        <v>44826</v>
      </c>
      <c r="B1679" s="24" t="str">
        <f>IFERROR(__xludf.DUMMYFUNCTION("""COMPUTED_VALUE"""),"Claire")</f>
        <v>Claire</v>
      </c>
      <c r="C1679" s="24">
        <f>IFERROR(__xludf.DUMMYFUNCTION("""COMPUTED_VALUE"""),61.0)</f>
        <v>61</v>
      </c>
      <c r="D1679" s="24" t="str">
        <f>IFERROR(__xludf.DUMMYFUNCTION("""COMPUTED_VALUE"""),"Toys &amp; Snacks")</f>
        <v>Toys &amp; Snacks</v>
      </c>
      <c r="F1679" s="23">
        <f>IFERROR(__xludf.DUMMYFUNCTION("""COMPUTED_VALUE"""),44797.0)</f>
        <v>44797</v>
      </c>
      <c r="G1679" s="24" t="str">
        <f>IFERROR(__xludf.DUMMYFUNCTION("""COMPUTED_VALUE"""),"Melissa Thomas")</f>
        <v>Melissa Thomas</v>
      </c>
      <c r="H1679" s="24">
        <f>IFERROR(__xludf.DUMMYFUNCTION("""COMPUTED_VALUE"""),20.0)</f>
        <v>20</v>
      </c>
      <c r="I1679" s="24"/>
    </row>
    <row r="1680">
      <c r="A1680" s="23">
        <f>IFERROR(__xludf.DUMMYFUNCTION("""COMPUTED_VALUE"""),44826.0)</f>
        <v>44826</v>
      </c>
      <c r="B1680" s="24" t="str">
        <f>IFERROR(__xludf.DUMMYFUNCTION("""COMPUTED_VALUE"""),"Claire")</f>
        <v>Claire</v>
      </c>
      <c r="C1680" s="24">
        <f>IFERROR(__xludf.DUMMYFUNCTION("""COMPUTED_VALUE"""),60.0)</f>
        <v>60</v>
      </c>
      <c r="D1680" s="24" t="str">
        <f>IFERROR(__xludf.DUMMYFUNCTION("""COMPUTED_VALUE"""),"Toys &amp; Snacks")</f>
        <v>Toys &amp; Snacks</v>
      </c>
      <c r="F1680" s="23">
        <f>IFERROR(__xludf.DUMMYFUNCTION("""COMPUTED_VALUE"""),44797.0)</f>
        <v>44797</v>
      </c>
      <c r="G1680" s="24" t="str">
        <f>IFERROR(__xludf.DUMMYFUNCTION("""COMPUTED_VALUE"""),"Raquel Bailey")</f>
        <v>Raquel Bailey</v>
      </c>
      <c r="H1680" s="24">
        <f>IFERROR(__xludf.DUMMYFUNCTION("""COMPUTED_VALUE"""),20.0)</f>
        <v>20</v>
      </c>
      <c r="I1680" s="24"/>
    </row>
    <row r="1681">
      <c r="A1681" s="23">
        <f>IFERROR(__xludf.DUMMYFUNCTION("""COMPUTED_VALUE"""),44826.0)</f>
        <v>44826</v>
      </c>
      <c r="B1681" s="24" t="str">
        <f>IFERROR(__xludf.DUMMYFUNCTION("""COMPUTED_VALUE"""),"Claire")</f>
        <v>Claire</v>
      </c>
      <c r="C1681" s="24">
        <f>IFERROR(__xludf.DUMMYFUNCTION("""COMPUTED_VALUE"""),70.0)</f>
        <v>70</v>
      </c>
      <c r="D1681" s="24" t="str">
        <f>IFERROR(__xludf.DUMMYFUNCTION("""COMPUTED_VALUE"""),"Toys &amp; Snacks")</f>
        <v>Toys &amp; Snacks</v>
      </c>
      <c r="F1681" s="23">
        <f>IFERROR(__xludf.DUMMYFUNCTION("""COMPUTED_VALUE"""),44797.57641971065)</f>
        <v>44797.57642</v>
      </c>
      <c r="G1681" s="24" t="str">
        <f>IFERROR(__xludf.DUMMYFUNCTION("""COMPUTED_VALUE"""),"Bud- sisson st dpw waters")</f>
        <v>Bud- sisson st dpw waters</v>
      </c>
      <c r="H1681" s="24">
        <f>IFERROR(__xludf.DUMMYFUNCTION("""COMPUTED_VALUE"""),12.0)</f>
        <v>12</v>
      </c>
      <c r="I1681" s="24"/>
    </row>
    <row r="1682">
      <c r="A1682" s="23">
        <f>IFERROR(__xludf.DUMMYFUNCTION("""COMPUTED_VALUE"""),44827.0)</f>
        <v>44827</v>
      </c>
      <c r="B1682" s="24" t="str">
        <f>IFERROR(__xludf.DUMMYFUNCTION("""COMPUTED_VALUE"""),"Claire")</f>
        <v>Claire</v>
      </c>
      <c r="C1682" s="24">
        <f>IFERROR(__xludf.DUMMYFUNCTION("""COMPUTED_VALUE"""),379.0)</f>
        <v>379</v>
      </c>
      <c r="D1682" s="24" t="str">
        <f>IFERROR(__xludf.DUMMYFUNCTION("""COMPUTED_VALUE"""),"STEAM toys")</f>
        <v>STEAM toys</v>
      </c>
      <c r="F1682" s="23">
        <f>IFERROR(__xludf.DUMMYFUNCTION("""COMPUTED_VALUE"""),44797.57678943287)</f>
        <v>44797.57679</v>
      </c>
      <c r="G1682" s="24" t="str">
        <f>IFERROR(__xludf.DUMMYFUNCTION("""COMPUTED_VALUE"""),"Bud Stracker- personal")</f>
        <v>Bud Stracker- personal</v>
      </c>
      <c r="H1682" s="24">
        <f>IFERROR(__xludf.DUMMYFUNCTION("""COMPUTED_VALUE"""),5.0)</f>
        <v>5</v>
      </c>
      <c r="I1682" s="24"/>
    </row>
    <row r="1683">
      <c r="A1683" s="23">
        <f>IFERROR(__xludf.DUMMYFUNCTION("""COMPUTED_VALUE"""),44827.5668082176)</f>
        <v>44827.56681</v>
      </c>
      <c r="B1683" s="24" t="str">
        <f>IFERROR(__xludf.DUMMYFUNCTION("""COMPUTED_VALUE"""),"Jean Yahudah")</f>
        <v>Jean Yahudah</v>
      </c>
      <c r="C1683" s="24">
        <f>IFERROR(__xludf.DUMMYFUNCTION("""COMPUTED_VALUE"""),154.0)</f>
        <v>154</v>
      </c>
      <c r="D1683" s="24" t="str">
        <f>IFERROR(__xludf.DUMMYFUNCTION("""COMPUTED_VALUE"""),"STEAM Toys")</f>
        <v>STEAM Toys</v>
      </c>
      <c r="F1683" s="23">
        <f>IFERROR(__xludf.DUMMYFUNCTION("""COMPUTED_VALUE"""),44797.68516077546)</f>
        <v>44797.68516</v>
      </c>
      <c r="G1683" s="24" t="str">
        <f>IFERROR(__xludf.DUMMYFUNCTION("""COMPUTED_VALUE"""),"Claire")</f>
        <v>Claire</v>
      </c>
      <c r="H1683" s="24">
        <f>IFERROR(__xludf.DUMMYFUNCTION("""COMPUTED_VALUE"""),384.0)</f>
        <v>384</v>
      </c>
      <c r="I1683" s="24" t="str">
        <f>IFERROR(__xludf.DUMMYFUNCTION("""COMPUTED_VALUE"""),"Produce")</f>
        <v>Produce</v>
      </c>
    </row>
    <row r="1684">
      <c r="A1684" s="23">
        <f>IFERROR(__xludf.DUMMYFUNCTION("""COMPUTED_VALUE"""),44828.68487387732)</f>
        <v>44828.68487</v>
      </c>
      <c r="B1684" s="24" t="str">
        <f>IFERROR(__xludf.DUMMYFUNCTION("""COMPUTED_VALUE"""),"Claire")</f>
        <v>Claire</v>
      </c>
      <c r="C1684" s="24">
        <f>IFERROR(__xludf.DUMMYFUNCTION("""COMPUTED_VALUE"""),177.0)</f>
        <v>177</v>
      </c>
      <c r="D1684" s="24" t="str">
        <f>IFERROR(__xludf.DUMMYFUNCTION("""COMPUTED_VALUE"""),"Meat [Raw]")</f>
        <v>Meat [Raw]</v>
      </c>
      <c r="F1684" s="23">
        <f>IFERROR(__xludf.DUMMYFUNCTION("""COMPUTED_VALUE"""),44797.685428564815)</f>
        <v>44797.68543</v>
      </c>
      <c r="G1684" s="24" t="str">
        <f>IFERROR(__xludf.DUMMYFUNCTION("""COMPUTED_VALUE"""),"Claire")</f>
        <v>Claire</v>
      </c>
      <c r="H1684" s="24">
        <f>IFERROR(__xludf.DUMMYFUNCTION("""COMPUTED_VALUE"""),481.0)</f>
        <v>481</v>
      </c>
      <c r="I1684" s="24" t="str">
        <f>IFERROR(__xludf.DUMMYFUNCTION("""COMPUTED_VALUE"""),"Produce")</f>
        <v>Produce</v>
      </c>
    </row>
    <row r="1685">
      <c r="A1685" s="23">
        <f>IFERROR(__xludf.DUMMYFUNCTION("""COMPUTED_VALUE"""),44828.68518172454)</f>
        <v>44828.68518</v>
      </c>
      <c r="B1685" s="24" t="str">
        <f>IFERROR(__xludf.DUMMYFUNCTION("""COMPUTED_VALUE"""),"Claire")</f>
        <v>Claire</v>
      </c>
      <c r="C1685" s="24">
        <f>IFERROR(__xludf.DUMMYFUNCTION("""COMPUTED_VALUE"""),267.0)</f>
        <v>267</v>
      </c>
      <c r="D1685" s="24" t="str">
        <f>IFERROR(__xludf.DUMMYFUNCTION("""COMPUTED_VALUE"""),"Frozen [Not Meat]")</f>
        <v>Frozen [Not Meat]</v>
      </c>
      <c r="F1685" s="23">
        <f>IFERROR(__xludf.DUMMYFUNCTION("""COMPUTED_VALUE"""),44797.68574292824)</f>
        <v>44797.68574</v>
      </c>
      <c r="G1685" s="24" t="str">
        <f>IFERROR(__xludf.DUMMYFUNCTION("""COMPUTED_VALUE"""),"Claire")</f>
        <v>Claire</v>
      </c>
      <c r="H1685" s="24">
        <f>IFERROR(__xludf.DUMMYFUNCTION("""COMPUTED_VALUE"""),391.0)</f>
        <v>391</v>
      </c>
      <c r="I1685" s="24" t="str">
        <f>IFERROR(__xludf.DUMMYFUNCTION("""COMPUTED_VALUE"""),"Snacks")</f>
        <v>Snacks</v>
      </c>
    </row>
    <row r="1686">
      <c r="A1686" s="23">
        <f>IFERROR(__xludf.DUMMYFUNCTION("""COMPUTED_VALUE"""),44828.685391921295)</f>
        <v>44828.68539</v>
      </c>
      <c r="B1686" s="24" t="str">
        <f>IFERROR(__xludf.DUMMYFUNCTION("""COMPUTED_VALUE"""),"Claire")</f>
        <v>Claire</v>
      </c>
      <c r="C1686" s="24">
        <f>IFERROR(__xludf.DUMMYFUNCTION("""COMPUTED_VALUE"""),1348.0)</f>
        <v>1348</v>
      </c>
      <c r="D1686" s="24" t="str">
        <f>IFERROR(__xludf.DUMMYFUNCTION("""COMPUTED_VALUE"""),"Drinks [Dry]")</f>
        <v>Drinks [Dry]</v>
      </c>
      <c r="F1686" s="23">
        <f>IFERROR(__xludf.DUMMYFUNCTION("""COMPUTED_VALUE"""),44797.686061203705)</f>
        <v>44797.68606</v>
      </c>
      <c r="G1686" s="24" t="str">
        <f>IFERROR(__xludf.DUMMYFUNCTION("""COMPUTED_VALUE"""),"Claire")</f>
        <v>Claire</v>
      </c>
      <c r="H1686" s="24">
        <f>IFERROR(__xludf.DUMMYFUNCTION("""COMPUTED_VALUE"""),167.0)</f>
        <v>167</v>
      </c>
      <c r="I1686" s="24" t="str">
        <f>IFERROR(__xludf.DUMMYFUNCTION("""COMPUTED_VALUE"""),"Underwear ")</f>
        <v>Underwear </v>
      </c>
    </row>
    <row r="1687">
      <c r="A1687" s="23">
        <f>IFERROR(__xludf.DUMMYFUNCTION("""COMPUTED_VALUE"""),44828.685847581015)</f>
        <v>44828.68585</v>
      </c>
      <c r="B1687" s="24" t="str">
        <f>IFERROR(__xludf.DUMMYFUNCTION("""COMPUTED_VALUE"""),"Claire")</f>
        <v>Claire</v>
      </c>
      <c r="C1687" s="24">
        <f>IFERROR(__xludf.DUMMYFUNCTION("""COMPUTED_VALUE"""),907.0)</f>
        <v>907</v>
      </c>
      <c r="D1687" s="24" t="str">
        <f>IFERROR(__xludf.DUMMYFUNCTION("""COMPUTED_VALUE"""),"Drinks [Dry]")</f>
        <v>Drinks [Dry]</v>
      </c>
      <c r="F1687" s="23">
        <f>IFERROR(__xludf.DUMMYFUNCTION("""COMPUTED_VALUE"""),44797.68659407407)</f>
        <v>44797.68659</v>
      </c>
      <c r="G1687" s="24" t="str">
        <f>IFERROR(__xludf.DUMMYFUNCTION("""COMPUTED_VALUE"""),"Claire")</f>
        <v>Claire</v>
      </c>
      <c r="H1687" s="24">
        <f>IFERROR(__xludf.DUMMYFUNCTION("""COMPUTED_VALUE"""),814.0)</f>
        <v>814</v>
      </c>
      <c r="I1687" s="24" t="str">
        <f>IFERROR(__xludf.DUMMYFUNCTION("""COMPUTED_VALUE"""),"First fruits farm ")</f>
        <v>First fruits farm </v>
      </c>
    </row>
    <row r="1688">
      <c r="A1688" s="23">
        <f>IFERROR(__xludf.DUMMYFUNCTION("""COMPUTED_VALUE"""),44828.68637005787)</f>
        <v>44828.68637</v>
      </c>
      <c r="B1688" s="24" t="str">
        <f>IFERROR(__xludf.DUMMYFUNCTION("""COMPUTED_VALUE"""),"Claire")</f>
        <v>Claire</v>
      </c>
      <c r="C1688" s="24">
        <f>IFERROR(__xludf.DUMMYFUNCTION("""COMPUTED_VALUE"""),177.0)</f>
        <v>177</v>
      </c>
      <c r="D1688" s="24" t="str">
        <f>IFERROR(__xludf.DUMMYFUNCTION("""COMPUTED_VALUE"""),"Snacks")</f>
        <v>Snacks</v>
      </c>
      <c r="F1688" s="23">
        <f>IFERROR(__xludf.DUMMYFUNCTION("""COMPUTED_VALUE"""),44797.68718616898)</f>
        <v>44797.68719</v>
      </c>
      <c r="G1688" s="24" t="str">
        <f>IFERROR(__xludf.DUMMYFUNCTION("""COMPUTED_VALUE"""),"Claire")</f>
        <v>Claire</v>
      </c>
      <c r="H1688" s="24">
        <f>IFERROR(__xludf.DUMMYFUNCTION("""COMPUTED_VALUE"""),686.0)</f>
        <v>686</v>
      </c>
      <c r="I1688" s="24" t="str">
        <f>IFERROR(__xludf.DUMMYFUNCTION("""COMPUTED_VALUE"""),"First fruits farm")</f>
        <v>First fruits farm</v>
      </c>
    </row>
    <row r="1689">
      <c r="A1689" s="23">
        <f>IFERROR(__xludf.DUMMYFUNCTION("""COMPUTED_VALUE"""),44828.686598506945)</f>
        <v>44828.6866</v>
      </c>
      <c r="B1689" s="24" t="str">
        <f>IFERROR(__xludf.DUMMYFUNCTION("""COMPUTED_VALUE"""),"Claire")</f>
        <v>Claire</v>
      </c>
      <c r="C1689" s="24">
        <f>IFERROR(__xludf.DUMMYFUNCTION("""COMPUTED_VALUE"""),854.0)</f>
        <v>854</v>
      </c>
      <c r="D1689" s="24" t="str">
        <f>IFERROR(__xludf.DUMMYFUNCTION("""COMPUTED_VALUE"""),"Produce")</f>
        <v>Produce</v>
      </c>
      <c r="F1689" s="23">
        <f>IFERROR(__xludf.DUMMYFUNCTION("""COMPUTED_VALUE"""),44797.68744778935)</f>
        <v>44797.68745</v>
      </c>
      <c r="G1689" s="24" t="str">
        <f>IFERROR(__xludf.DUMMYFUNCTION("""COMPUTED_VALUE"""),"Claire")</f>
        <v>Claire</v>
      </c>
      <c r="H1689" s="24">
        <f>IFERROR(__xludf.DUMMYFUNCTION("""COMPUTED_VALUE"""),598.0)</f>
        <v>598</v>
      </c>
      <c r="I1689" s="24" t="str">
        <f>IFERROR(__xludf.DUMMYFUNCTION("""COMPUTED_VALUE"""),"First fruits farm")</f>
        <v>First fruits farm</v>
      </c>
    </row>
    <row r="1690">
      <c r="A1690" s="23">
        <f>IFERROR(__xludf.DUMMYFUNCTION("""COMPUTED_VALUE"""),44828.686973854165)</f>
        <v>44828.68697</v>
      </c>
      <c r="B1690" s="24" t="str">
        <f>IFERROR(__xludf.DUMMYFUNCTION("""COMPUTED_VALUE"""),"Claire")</f>
        <v>Claire</v>
      </c>
      <c r="C1690" s="24">
        <f>IFERROR(__xludf.DUMMYFUNCTION("""COMPUTED_VALUE"""),2197.0)</f>
        <v>2197</v>
      </c>
      <c r="D1690" s="24" t="str">
        <f>IFERROR(__xludf.DUMMYFUNCTION("""COMPUTED_VALUE"""),"Produce")</f>
        <v>Produce</v>
      </c>
      <c r="F1690" s="23">
        <f>IFERROR(__xludf.DUMMYFUNCTION("""COMPUTED_VALUE"""),44797.68769481481)</f>
        <v>44797.68769</v>
      </c>
      <c r="G1690" s="24" t="str">
        <f>IFERROR(__xludf.DUMMYFUNCTION("""COMPUTED_VALUE"""),"Claire")</f>
        <v>Claire</v>
      </c>
      <c r="H1690" s="24">
        <f>IFERROR(__xludf.DUMMYFUNCTION("""COMPUTED_VALUE"""),906.0)</f>
        <v>906</v>
      </c>
      <c r="I1690" s="24" t="str">
        <f>IFERROR(__xludf.DUMMYFUNCTION("""COMPUTED_VALUE"""),"First fruits farm")</f>
        <v>First fruits farm</v>
      </c>
    </row>
    <row r="1691">
      <c r="A1691" s="23">
        <f>IFERROR(__xludf.DUMMYFUNCTION("""COMPUTED_VALUE"""),44828.68721408564)</f>
        <v>44828.68721</v>
      </c>
      <c r="B1691" s="24" t="str">
        <f>IFERROR(__xludf.DUMMYFUNCTION("""COMPUTED_VALUE"""),"Claire")</f>
        <v>Claire</v>
      </c>
      <c r="C1691" s="24">
        <f>IFERROR(__xludf.DUMMYFUNCTION("""COMPUTED_VALUE"""),201.0)</f>
        <v>201</v>
      </c>
      <c r="D1691" s="24" t="str">
        <f>IFERROR(__xludf.DUMMYFUNCTION("""COMPUTED_VALUE"""),"Produce")</f>
        <v>Produce</v>
      </c>
      <c r="F1691" s="23">
        <f>IFERROR(__xludf.DUMMYFUNCTION("""COMPUTED_VALUE"""),44797.68793296296)</f>
        <v>44797.68793</v>
      </c>
      <c r="G1691" s="24" t="str">
        <f>IFERROR(__xludf.DUMMYFUNCTION("""COMPUTED_VALUE"""),"Claire")</f>
        <v>Claire</v>
      </c>
      <c r="H1691" s="24">
        <f>IFERROR(__xludf.DUMMYFUNCTION("""COMPUTED_VALUE"""),891.0)</f>
        <v>891</v>
      </c>
      <c r="I1691" s="24" t="str">
        <f>IFERROR(__xludf.DUMMYFUNCTION("""COMPUTED_VALUE"""),"First fruits farm")</f>
        <v>First fruits farm</v>
      </c>
    </row>
    <row r="1692">
      <c r="A1692" s="23">
        <f>IFERROR(__xludf.DUMMYFUNCTION("""COMPUTED_VALUE"""),44828.68744365741)</f>
        <v>44828.68744</v>
      </c>
      <c r="B1692" s="24" t="str">
        <f>IFERROR(__xludf.DUMMYFUNCTION("""COMPUTED_VALUE"""),"Claire")</f>
        <v>Claire</v>
      </c>
      <c r="C1692" s="24">
        <f>IFERROR(__xludf.DUMMYFUNCTION("""COMPUTED_VALUE"""),187.0)</f>
        <v>187</v>
      </c>
      <c r="D1692" s="24" t="str">
        <f>IFERROR(__xludf.DUMMYFUNCTION("""COMPUTED_VALUE"""),"Snacks")</f>
        <v>Snacks</v>
      </c>
      <c r="F1692" s="23">
        <f>IFERROR(__xludf.DUMMYFUNCTION("""COMPUTED_VALUE"""),44797.83648583334)</f>
        <v>44797.83649</v>
      </c>
      <c r="G1692" s="24" t="str">
        <f>IFERROR(__xludf.DUMMYFUNCTION("""COMPUTED_VALUE"""),"Connor Gephart")</f>
        <v>Connor Gephart</v>
      </c>
      <c r="H1692" s="24">
        <f>IFERROR(__xludf.DUMMYFUNCTION("""COMPUTED_VALUE"""),18.0)</f>
        <v>18</v>
      </c>
      <c r="I1692" s="24"/>
    </row>
    <row r="1693">
      <c r="A1693" s="23">
        <f>IFERROR(__xludf.DUMMYFUNCTION("""COMPUTED_VALUE"""),44828.688372523146)</f>
        <v>44828.68837</v>
      </c>
      <c r="B1693" s="24" t="str">
        <f>IFERROR(__xludf.DUMMYFUNCTION("""COMPUTED_VALUE"""),"Claire")</f>
        <v>Claire</v>
      </c>
      <c r="C1693" s="24">
        <f>IFERROR(__xludf.DUMMYFUNCTION("""COMPUTED_VALUE"""),199.0)</f>
        <v>199</v>
      </c>
      <c r="D1693" s="24" t="str">
        <f>IFERROR(__xludf.DUMMYFUNCTION("""COMPUTED_VALUE"""),"Snacks")</f>
        <v>Snacks</v>
      </c>
      <c r="F1693" s="23">
        <f>IFERROR(__xludf.DUMMYFUNCTION("""COMPUTED_VALUE"""),44797.840357754634)</f>
        <v>44797.84036</v>
      </c>
      <c r="G1693" s="24" t="str">
        <f>IFERROR(__xludf.DUMMYFUNCTION("""COMPUTED_VALUE"""),"Jonathan Ibironke")</f>
        <v>Jonathan Ibironke</v>
      </c>
      <c r="H1693" s="24">
        <f>IFERROR(__xludf.DUMMYFUNCTION("""COMPUTED_VALUE"""),18.0)</f>
        <v>18</v>
      </c>
      <c r="I1693" s="24"/>
    </row>
    <row r="1694">
      <c r="A1694" s="23">
        <f>IFERROR(__xludf.DUMMYFUNCTION("""COMPUTED_VALUE"""),44828.68870484954)</f>
        <v>44828.6887</v>
      </c>
      <c r="B1694" s="24" t="str">
        <f>IFERROR(__xludf.DUMMYFUNCTION("""COMPUTED_VALUE"""),"Claire")</f>
        <v>Claire</v>
      </c>
      <c r="C1694" s="24">
        <f>IFERROR(__xludf.DUMMYFUNCTION("""COMPUTED_VALUE"""),83.0)</f>
        <v>83</v>
      </c>
      <c r="D1694" s="24" t="str">
        <f>IFERROR(__xludf.DUMMYFUNCTION("""COMPUTED_VALUE"""),"Assorted Dry")</f>
        <v>Assorted Dry</v>
      </c>
      <c r="F1694" s="23">
        <f>IFERROR(__xludf.DUMMYFUNCTION("""COMPUTED_VALUE"""),44797.840883206016)</f>
        <v>44797.84088</v>
      </c>
      <c r="G1694" s="24" t="str">
        <f>IFERROR(__xludf.DUMMYFUNCTION("""COMPUTED_VALUE"""),"Rilynn")</f>
        <v>Rilynn</v>
      </c>
      <c r="H1694" s="24">
        <f>IFERROR(__xludf.DUMMYFUNCTION("""COMPUTED_VALUE"""),20.0)</f>
        <v>20</v>
      </c>
      <c r="I1694" s="24"/>
    </row>
    <row r="1695">
      <c r="A1695" s="23">
        <f>IFERROR(__xludf.DUMMYFUNCTION("""COMPUTED_VALUE"""),44828.6895424537)</f>
        <v>44828.68954</v>
      </c>
      <c r="B1695" s="24" t="str">
        <f>IFERROR(__xludf.DUMMYFUNCTION("""COMPUTED_VALUE"""),"Claire")</f>
        <v>Claire</v>
      </c>
      <c r="C1695" s="24">
        <f>IFERROR(__xludf.DUMMYFUNCTION("""COMPUTED_VALUE"""),75.0)</f>
        <v>75</v>
      </c>
      <c r="D1695" s="24" t="str">
        <f>IFERROR(__xludf.DUMMYFUNCTION("""COMPUTED_VALUE"""),"STEAM toys")</f>
        <v>STEAM toys</v>
      </c>
      <c r="F1695" s="23">
        <f>IFERROR(__xludf.DUMMYFUNCTION("""COMPUTED_VALUE"""),44797.84173483796)</f>
        <v>44797.84173</v>
      </c>
      <c r="G1695" s="24" t="str">
        <f>IFERROR(__xludf.DUMMYFUNCTION("""COMPUTED_VALUE"""),"Rilynn")</f>
        <v>Rilynn</v>
      </c>
      <c r="H1695" s="24">
        <f>IFERROR(__xludf.DUMMYFUNCTION("""COMPUTED_VALUE"""),1.0)</f>
        <v>1</v>
      </c>
      <c r="I1695" s="24"/>
    </row>
    <row r="1696">
      <c r="A1696" s="23">
        <f>IFERROR(__xludf.DUMMYFUNCTION("""COMPUTED_VALUE"""),44828.68992737269)</f>
        <v>44828.68993</v>
      </c>
      <c r="B1696" s="24" t="str">
        <f>IFERROR(__xludf.DUMMYFUNCTION("""COMPUTED_VALUE"""),"Claire")</f>
        <v>Claire</v>
      </c>
      <c r="C1696" s="24">
        <f>IFERROR(__xludf.DUMMYFUNCTION("""COMPUTED_VALUE"""),538.0)</f>
        <v>538</v>
      </c>
      <c r="D1696" s="24" t="str">
        <f>IFERROR(__xludf.DUMMYFUNCTION("""COMPUTED_VALUE"""),"Produce")</f>
        <v>Produce</v>
      </c>
      <c r="F1696" s="23">
        <f>IFERROR(__xludf.DUMMYFUNCTION("""COMPUTED_VALUE"""),44797.842079594906)</f>
        <v>44797.84208</v>
      </c>
      <c r="G1696" s="24" t="str">
        <f>IFERROR(__xludf.DUMMYFUNCTION("""COMPUTED_VALUE"""),"Shinaya Todd")</f>
        <v>Shinaya Todd</v>
      </c>
      <c r="H1696" s="24">
        <f>IFERROR(__xludf.DUMMYFUNCTION("""COMPUTED_VALUE"""),18.0)</f>
        <v>18</v>
      </c>
      <c r="I1696" s="24"/>
    </row>
    <row r="1697">
      <c r="A1697" s="23">
        <f>IFERROR(__xludf.DUMMYFUNCTION("""COMPUTED_VALUE"""),44828.69032480325)</f>
        <v>44828.69032</v>
      </c>
      <c r="B1697" s="24" t="str">
        <f>IFERROR(__xludf.DUMMYFUNCTION("""COMPUTED_VALUE"""),"Claire")</f>
        <v>Claire</v>
      </c>
      <c r="C1697" s="24">
        <f>IFERROR(__xludf.DUMMYFUNCTION("""COMPUTED_VALUE"""),480.0)</f>
        <v>480</v>
      </c>
      <c r="D1697" s="24" t="str">
        <f>IFERROR(__xludf.DUMMYFUNCTION("""COMPUTED_VALUE"""),"Produce")</f>
        <v>Produce</v>
      </c>
      <c r="F1697" s="23">
        <f>IFERROR(__xludf.DUMMYFUNCTION("""COMPUTED_VALUE"""),44797.84307311343)</f>
        <v>44797.84307</v>
      </c>
      <c r="G1697" s="24" t="str">
        <f>IFERROR(__xludf.DUMMYFUNCTION("""COMPUTED_VALUE"""),"Camille")</f>
        <v>Camille</v>
      </c>
      <c r="H1697" s="24">
        <f>IFERROR(__xludf.DUMMYFUNCTION("""COMPUTED_VALUE"""),20.0)</f>
        <v>20</v>
      </c>
      <c r="I1697" s="24"/>
    </row>
    <row r="1698">
      <c r="A1698" s="23">
        <f>IFERROR(__xludf.DUMMYFUNCTION("""COMPUTED_VALUE"""),44828.690644282404)</f>
        <v>44828.69064</v>
      </c>
      <c r="B1698" s="24" t="str">
        <f>IFERROR(__xludf.DUMMYFUNCTION("""COMPUTED_VALUE"""),"Claire")</f>
        <v>Claire</v>
      </c>
      <c r="C1698" s="24">
        <f>IFERROR(__xludf.DUMMYFUNCTION("""COMPUTED_VALUE"""),158.0)</f>
        <v>158</v>
      </c>
      <c r="D1698" s="24" t="str">
        <f>IFERROR(__xludf.DUMMYFUNCTION("""COMPUTED_VALUE"""),"Frozen [Not Meat]")</f>
        <v>Frozen [Not Meat]</v>
      </c>
      <c r="F1698" s="23">
        <f>IFERROR(__xludf.DUMMYFUNCTION("""COMPUTED_VALUE"""),44798.0)</f>
        <v>44798</v>
      </c>
      <c r="G1698" s="24" t="str">
        <f>IFERROR(__xludf.DUMMYFUNCTION("""COMPUTED_VALUE"""),"Hong Xue")</f>
        <v>Hong Xue</v>
      </c>
      <c r="H1698" s="24">
        <f>IFERROR(__xludf.DUMMYFUNCTION("""COMPUTED_VALUE"""),20.0)</f>
        <v>20</v>
      </c>
      <c r="I1698" s="24"/>
    </row>
    <row r="1699">
      <c r="A1699" s="23">
        <f>IFERROR(__xludf.DUMMYFUNCTION("""COMPUTED_VALUE"""),44828.69278094907)</f>
        <v>44828.69278</v>
      </c>
      <c r="B1699" s="24" t="str">
        <f>IFERROR(__xludf.DUMMYFUNCTION("""COMPUTED_VALUE"""),"Claire")</f>
        <v>Claire</v>
      </c>
      <c r="C1699" s="24">
        <f>IFERROR(__xludf.DUMMYFUNCTION("""COMPUTED_VALUE"""),-480.0)</f>
        <v>-480</v>
      </c>
      <c r="D1699" s="24" t="str">
        <f>IFERROR(__xludf.DUMMYFUNCTION("""COMPUTED_VALUE"""),"Drinks [Dry]")</f>
        <v>Drinks [Dry]</v>
      </c>
      <c r="F1699" s="23">
        <f>IFERROR(__xludf.DUMMYFUNCTION("""COMPUTED_VALUE"""),44798.0)</f>
        <v>44798</v>
      </c>
      <c r="G1699" s="24" t="str">
        <f>IFERROR(__xludf.DUMMYFUNCTION("""COMPUTED_VALUE"""),"Hong Xue")</f>
        <v>Hong Xue</v>
      </c>
      <c r="H1699" s="24">
        <f>IFERROR(__xludf.DUMMYFUNCTION("""COMPUTED_VALUE"""),38.0)</f>
        <v>38</v>
      </c>
      <c r="I1699" s="24"/>
    </row>
    <row r="1700">
      <c r="A1700" s="23">
        <f>IFERROR(__xludf.DUMMYFUNCTION("""COMPUTED_VALUE"""),44828.69329581018)</f>
        <v>44828.6933</v>
      </c>
      <c r="B1700" s="24" t="str">
        <f>IFERROR(__xludf.DUMMYFUNCTION("""COMPUTED_VALUE"""),"Claire")</f>
        <v>Claire</v>
      </c>
      <c r="C1700" s="24">
        <f>IFERROR(__xludf.DUMMYFUNCTION("""COMPUTED_VALUE"""),-852.0)</f>
        <v>-852</v>
      </c>
      <c r="D1700" s="24" t="str">
        <f>IFERROR(__xludf.DUMMYFUNCTION("""COMPUTED_VALUE"""),"Produce")</f>
        <v>Produce</v>
      </c>
      <c r="F1700" s="23">
        <f>IFERROR(__xludf.DUMMYFUNCTION("""COMPUTED_VALUE"""),44798.0)</f>
        <v>44798</v>
      </c>
      <c r="G1700" s="24" t="str">
        <f>IFERROR(__xludf.DUMMYFUNCTION("""COMPUTED_VALUE"""),"Denise Brown")</f>
        <v>Denise Brown</v>
      </c>
      <c r="H1700" s="24">
        <f>IFERROR(__xludf.DUMMYFUNCTION("""COMPUTED_VALUE"""),12.0)</f>
        <v>12</v>
      </c>
      <c r="I1700" s="24"/>
    </row>
    <row r="1701">
      <c r="A1701" s="23">
        <f>IFERROR(__xludf.DUMMYFUNCTION("""COMPUTED_VALUE"""),44828.69354756945)</f>
        <v>44828.69355</v>
      </c>
      <c r="B1701" s="24" t="str">
        <f>IFERROR(__xludf.DUMMYFUNCTION("""COMPUTED_VALUE"""),"Claire")</f>
        <v>Claire</v>
      </c>
      <c r="C1701" s="24">
        <f>IFERROR(__xludf.DUMMYFUNCTION("""COMPUTED_VALUE"""),-170.0)</f>
        <v>-170</v>
      </c>
      <c r="D1701" s="24" t="str">
        <f>IFERROR(__xludf.DUMMYFUNCTION("""COMPUTED_VALUE"""),"Snacks")</f>
        <v>Snacks</v>
      </c>
      <c r="F1701" s="23">
        <f>IFERROR(__xludf.DUMMYFUNCTION("""COMPUTED_VALUE"""),44798.0)</f>
        <v>44798</v>
      </c>
      <c r="G1701" s="24" t="str">
        <f>IFERROR(__xludf.DUMMYFUNCTION("""COMPUTED_VALUE"""),"Denise Brown")</f>
        <v>Denise Brown</v>
      </c>
      <c r="H1701" s="24">
        <f>IFERROR(__xludf.DUMMYFUNCTION("""COMPUTED_VALUE"""),7.0)</f>
        <v>7</v>
      </c>
      <c r="I1701" s="24"/>
    </row>
    <row r="1702">
      <c r="A1702" s="23">
        <f>IFERROR(__xludf.DUMMYFUNCTION("""COMPUTED_VALUE"""),44828.69552709491)</f>
        <v>44828.69553</v>
      </c>
      <c r="B1702" s="24" t="str">
        <f>IFERROR(__xludf.DUMMYFUNCTION("""COMPUTED_VALUE"""),"Claire")</f>
        <v>Claire</v>
      </c>
      <c r="C1702" s="24">
        <f>IFERROR(__xludf.DUMMYFUNCTION("""COMPUTED_VALUE"""),250.0)</f>
        <v>250</v>
      </c>
      <c r="D1702" s="24" t="str">
        <f>IFERROR(__xludf.DUMMYFUNCTION("""COMPUTED_VALUE"""),"Meat [Raw]")</f>
        <v>Meat [Raw]</v>
      </c>
      <c r="F1702" s="23">
        <f>IFERROR(__xludf.DUMMYFUNCTION("""COMPUTED_VALUE"""),44798.0)</f>
        <v>44798</v>
      </c>
      <c r="G1702" s="24" t="str">
        <f>IFERROR(__xludf.DUMMYFUNCTION("""COMPUTED_VALUE"""),"Raquel Bailey")</f>
        <v>Raquel Bailey</v>
      </c>
      <c r="H1702" s="24">
        <f>IFERROR(__xludf.DUMMYFUNCTION("""COMPUTED_VALUE"""),22.0)</f>
        <v>22</v>
      </c>
      <c r="I1702" s="24"/>
    </row>
    <row r="1703">
      <c r="A1703" s="23">
        <f>IFERROR(__xludf.DUMMYFUNCTION("""COMPUTED_VALUE"""),44829.0)</f>
        <v>44829</v>
      </c>
      <c r="B1703" s="24" t="str">
        <f>IFERROR(__xludf.DUMMYFUNCTION("""COMPUTED_VALUE"""),"Claire")</f>
        <v>Claire</v>
      </c>
      <c r="C1703" s="24">
        <f>IFERROR(__xludf.DUMMYFUNCTION("""COMPUTED_VALUE"""),522.0)</f>
        <v>522</v>
      </c>
      <c r="D1703" s="24" t="str">
        <f>IFERROR(__xludf.DUMMYFUNCTION("""COMPUTED_VALUE"""),"Assorted Dry")</f>
        <v>Assorted Dry</v>
      </c>
      <c r="F1703" s="23">
        <f>IFERROR(__xludf.DUMMYFUNCTION("""COMPUTED_VALUE"""),44798.0)</f>
        <v>44798</v>
      </c>
      <c r="G1703" s="24" t="str">
        <f>IFERROR(__xludf.DUMMYFUNCTION("""COMPUTED_VALUE"""),"Adriana Hill")</f>
        <v>Adriana Hill</v>
      </c>
      <c r="H1703" s="24">
        <f>IFERROR(__xludf.DUMMYFUNCTION("""COMPUTED_VALUE"""),20.0)</f>
        <v>20</v>
      </c>
      <c r="I1703" s="24"/>
    </row>
    <row r="1704">
      <c r="A1704" s="23">
        <f>IFERROR(__xludf.DUMMYFUNCTION("""COMPUTED_VALUE"""),44829.0)</f>
        <v>44829</v>
      </c>
      <c r="B1704" s="24" t="str">
        <f>IFERROR(__xludf.DUMMYFUNCTION("""COMPUTED_VALUE"""),"Claire")</f>
        <v>Claire</v>
      </c>
      <c r="C1704" s="24">
        <f>IFERROR(__xludf.DUMMYFUNCTION("""COMPUTED_VALUE"""),664.0)</f>
        <v>664</v>
      </c>
      <c r="D1704" s="24" t="str">
        <f>IFERROR(__xludf.DUMMYFUNCTION("""COMPUTED_VALUE"""),"Assorted Dry")</f>
        <v>Assorted Dry</v>
      </c>
      <c r="F1704" s="23">
        <f>IFERROR(__xludf.DUMMYFUNCTION("""COMPUTED_VALUE"""),44798.0)</f>
        <v>44798</v>
      </c>
      <c r="G1704" s="24" t="str">
        <f>IFERROR(__xludf.DUMMYFUNCTION("""COMPUTED_VALUE"""),"Adriana Hill")</f>
        <v>Adriana Hill</v>
      </c>
      <c r="H1704" s="24">
        <f>IFERROR(__xludf.DUMMYFUNCTION("""COMPUTED_VALUE"""),5.0)</f>
        <v>5</v>
      </c>
      <c r="I1704" s="24"/>
    </row>
    <row r="1705">
      <c r="A1705" s="23">
        <f>IFERROR(__xludf.DUMMYFUNCTION("""COMPUTED_VALUE"""),44829.51604643518)</f>
        <v>44829.51605</v>
      </c>
      <c r="B1705" s="24" t="str">
        <f>IFERROR(__xludf.DUMMYFUNCTION("""COMPUTED_VALUE"""),"Dorja ")</f>
        <v>Dorja </v>
      </c>
      <c r="C1705" s="24">
        <f>IFERROR(__xludf.DUMMYFUNCTION("""COMPUTED_VALUE"""),499.0)</f>
        <v>499</v>
      </c>
      <c r="D1705" s="24" t="str">
        <f>IFERROR(__xludf.DUMMYFUNCTION("""COMPUTED_VALUE"""),"Mixed")</f>
        <v>Mixed</v>
      </c>
      <c r="F1705" s="23">
        <f>IFERROR(__xludf.DUMMYFUNCTION("""COMPUTED_VALUE"""),44798.0)</f>
        <v>44798</v>
      </c>
      <c r="G1705" s="24" t="str">
        <f>IFERROR(__xludf.DUMMYFUNCTION("""COMPUTED_VALUE"""),"Sheneil Black")</f>
        <v>Sheneil Black</v>
      </c>
      <c r="H1705" s="24">
        <f>IFERROR(__xludf.DUMMYFUNCTION("""COMPUTED_VALUE"""),20.0)</f>
        <v>20</v>
      </c>
      <c r="I1705" s="24"/>
    </row>
    <row r="1706">
      <c r="A1706" s="23">
        <f>IFERROR(__xludf.DUMMYFUNCTION("""COMPUTED_VALUE"""),44829.51651971065)</f>
        <v>44829.51652</v>
      </c>
      <c r="B1706" s="24" t="str">
        <f>IFERROR(__xludf.DUMMYFUNCTION("""COMPUTED_VALUE"""),"Dorja")</f>
        <v>Dorja</v>
      </c>
      <c r="C1706" s="24">
        <f>IFERROR(__xludf.DUMMYFUNCTION("""COMPUTED_VALUE"""),828.0)</f>
        <v>828</v>
      </c>
      <c r="D1706" s="24" t="str">
        <f>IFERROR(__xludf.DUMMYFUNCTION("""COMPUTED_VALUE"""),"Produce")</f>
        <v>Produce</v>
      </c>
      <c r="F1706" s="23">
        <f>IFERROR(__xludf.DUMMYFUNCTION("""COMPUTED_VALUE"""),44798.0)</f>
        <v>44798</v>
      </c>
      <c r="G1706" s="24" t="str">
        <f>IFERROR(__xludf.DUMMYFUNCTION("""COMPUTED_VALUE"""),"Sheneil Black")</f>
        <v>Sheneil Black</v>
      </c>
      <c r="H1706" s="24">
        <f>IFERROR(__xludf.DUMMYFUNCTION("""COMPUTED_VALUE"""),16.0)</f>
        <v>16</v>
      </c>
      <c r="I1706" s="24"/>
    </row>
    <row r="1707">
      <c r="A1707" s="23">
        <f>IFERROR(__xludf.DUMMYFUNCTION("""COMPUTED_VALUE"""),44829.51717944445)</f>
        <v>44829.51718</v>
      </c>
      <c r="B1707" s="24" t="str">
        <f>IFERROR(__xludf.DUMMYFUNCTION("""COMPUTED_VALUE"""),"Dorja")</f>
        <v>Dorja</v>
      </c>
      <c r="C1707" s="24">
        <f>IFERROR(__xludf.DUMMYFUNCTION("""COMPUTED_VALUE"""),147.0)</f>
        <v>147</v>
      </c>
      <c r="D1707" s="24" t="str">
        <f>IFERROR(__xludf.DUMMYFUNCTION("""COMPUTED_VALUE"""),"Toys")</f>
        <v>Toys</v>
      </c>
      <c r="F1707" s="23">
        <f>IFERROR(__xludf.DUMMYFUNCTION("""COMPUTED_VALUE"""),44798.67891520834)</f>
        <v>44798.67892</v>
      </c>
      <c r="G1707" s="24" t="str">
        <f>IFERROR(__xludf.DUMMYFUNCTION("""COMPUTED_VALUE"""),"Claire")</f>
        <v>Claire</v>
      </c>
      <c r="H1707" s="24">
        <f>IFERROR(__xludf.DUMMYFUNCTION("""COMPUTED_VALUE"""),237.0)</f>
        <v>237</v>
      </c>
      <c r="I1707" s="24" t="str">
        <f>IFERROR(__xludf.DUMMYFUNCTION("""COMPUTED_VALUE"""),"Assorted option")</f>
        <v>Assorted option</v>
      </c>
    </row>
    <row r="1708">
      <c r="A1708" s="23">
        <f>IFERROR(__xludf.DUMMYFUNCTION("""COMPUTED_VALUE"""),44829.51769143518)</f>
        <v>44829.51769</v>
      </c>
      <c r="B1708" s="24" t="str">
        <f>IFERROR(__xludf.DUMMYFUNCTION("""COMPUTED_VALUE"""),"Dorja")</f>
        <v>Dorja</v>
      </c>
      <c r="C1708" s="24">
        <f>IFERROR(__xludf.DUMMYFUNCTION("""COMPUTED_VALUE"""),358.0)</f>
        <v>358</v>
      </c>
      <c r="D1708" s="24" t="str">
        <f>IFERROR(__xludf.DUMMYFUNCTION("""COMPUTED_VALUE"""),"Produce")</f>
        <v>Produce</v>
      </c>
      <c r="F1708" s="23">
        <f>IFERROR(__xludf.DUMMYFUNCTION("""COMPUTED_VALUE"""),44798.68037516204)</f>
        <v>44798.68038</v>
      </c>
      <c r="G1708" s="24" t="str">
        <f>IFERROR(__xludf.DUMMYFUNCTION("""COMPUTED_VALUE"""),"Claire")</f>
        <v>Claire</v>
      </c>
      <c r="H1708" s="24">
        <f>IFERROR(__xludf.DUMMYFUNCTION("""COMPUTED_VALUE"""),109.0)</f>
        <v>109</v>
      </c>
      <c r="I1708" s="24" t="str">
        <f>IFERROR(__xludf.DUMMYFUNCTION("""COMPUTED_VALUE"""),"Dry goods")</f>
        <v>Dry goods</v>
      </c>
    </row>
    <row r="1709">
      <c r="A1709" s="23">
        <f>IFERROR(__xludf.DUMMYFUNCTION("""COMPUTED_VALUE"""),44829.53212177083)</f>
        <v>44829.53212</v>
      </c>
      <c r="B1709" s="24" t="str">
        <f>IFERROR(__xludf.DUMMYFUNCTION("""COMPUTED_VALUE"""),"Dorja ")</f>
        <v>Dorja </v>
      </c>
      <c r="C1709" s="24">
        <f>IFERROR(__xludf.DUMMYFUNCTION("""COMPUTED_VALUE"""),68.0)</f>
        <v>68</v>
      </c>
      <c r="D1709" s="24" t="str">
        <f>IFERROR(__xludf.DUMMYFUNCTION("""COMPUTED_VALUE"""),"Snacks")</f>
        <v>Snacks</v>
      </c>
      <c r="F1709" s="23">
        <f>IFERROR(__xludf.DUMMYFUNCTION("""COMPUTED_VALUE"""),44798.69159712963)</f>
        <v>44798.6916</v>
      </c>
      <c r="G1709" s="24" t="str">
        <f>IFERROR(__xludf.DUMMYFUNCTION("""COMPUTED_VALUE"""),"Claire")</f>
        <v>Claire</v>
      </c>
      <c r="H1709" s="24">
        <f>IFERROR(__xludf.DUMMYFUNCTION("""COMPUTED_VALUE"""),173.0)</f>
        <v>173</v>
      </c>
      <c r="I1709" s="24" t="str">
        <f>IFERROR(__xludf.DUMMYFUNCTION("""COMPUTED_VALUE"""),"Assorted option")</f>
        <v>Assorted option</v>
      </c>
    </row>
    <row r="1710">
      <c r="A1710" s="23">
        <f>IFERROR(__xludf.DUMMYFUNCTION("""COMPUTED_VALUE"""),44829.54023373843)</f>
        <v>44829.54023</v>
      </c>
      <c r="B1710" s="24" t="str">
        <f>IFERROR(__xludf.DUMMYFUNCTION("""COMPUTED_VALUE"""),"Dorja ")</f>
        <v>Dorja </v>
      </c>
      <c r="C1710" s="24">
        <f>IFERROR(__xludf.DUMMYFUNCTION("""COMPUTED_VALUE"""),260.0)</f>
        <v>260</v>
      </c>
      <c r="D1710" s="24" t="str">
        <f>IFERROR(__xludf.DUMMYFUNCTION("""COMPUTED_VALUE"""),"Assorted Fridge")</f>
        <v>Assorted Fridge</v>
      </c>
      <c r="F1710" s="23">
        <f>IFERROR(__xludf.DUMMYFUNCTION("""COMPUTED_VALUE"""),44798.70601369213)</f>
        <v>44798.70601</v>
      </c>
      <c r="G1710" s="24" t="str">
        <f>IFERROR(__xludf.DUMMYFUNCTION("""COMPUTED_VALUE"""),"Jean")</f>
        <v>Jean</v>
      </c>
      <c r="H1710" s="24">
        <f>IFERROR(__xludf.DUMMYFUNCTION("""COMPUTED_VALUE"""),30.0)</f>
        <v>30</v>
      </c>
      <c r="I1710" s="24"/>
    </row>
    <row r="1711">
      <c r="A1711" s="23">
        <f>IFERROR(__xludf.DUMMYFUNCTION("""COMPUTED_VALUE"""),44829.56873259259)</f>
        <v>44829.56873</v>
      </c>
      <c r="B1711" s="24" t="str">
        <f>IFERROR(__xludf.DUMMYFUNCTION("""COMPUTED_VALUE"""),"Dorja ")</f>
        <v>Dorja </v>
      </c>
      <c r="C1711" s="24">
        <f>IFERROR(__xludf.DUMMYFUNCTION("""COMPUTED_VALUE"""),137.0)</f>
        <v>137</v>
      </c>
      <c r="D1711" s="24" t="str">
        <f>IFERROR(__xludf.DUMMYFUNCTION("""COMPUTED_VALUE"""),"Household")</f>
        <v>Household</v>
      </c>
      <c r="F1711" s="23">
        <f>IFERROR(__xludf.DUMMYFUNCTION("""COMPUTED_VALUE"""),44798.706526458336)</f>
        <v>44798.70653</v>
      </c>
      <c r="G1711" s="24" t="str">
        <f>IFERROR(__xludf.DUMMYFUNCTION("""COMPUTED_VALUE"""),"Jean. Extra")</f>
        <v>Jean. Extra</v>
      </c>
      <c r="H1711" s="24">
        <f>IFERROR(__xludf.DUMMYFUNCTION("""COMPUTED_VALUE"""),6.0)</f>
        <v>6</v>
      </c>
      <c r="I1711" s="24"/>
    </row>
    <row r="1712">
      <c r="A1712" s="23">
        <f>IFERROR(__xludf.DUMMYFUNCTION("""COMPUTED_VALUE"""),44829.0)</f>
        <v>44829</v>
      </c>
      <c r="B1712" s="24" t="str">
        <f>IFERROR(__xludf.DUMMYFUNCTION("""COMPUTED_VALUE"""),"Claire")</f>
        <v>Claire</v>
      </c>
      <c r="C1712" s="24">
        <f>IFERROR(__xludf.DUMMYFUNCTION("""COMPUTED_VALUE"""),65.0)</f>
        <v>65</v>
      </c>
      <c r="D1712" s="24" t="str">
        <f>IFERROR(__xludf.DUMMYFUNCTION("""COMPUTED_VALUE"""),"STEAM toys")</f>
        <v>STEAM toys</v>
      </c>
      <c r="F1712" s="23">
        <f>IFERROR(__xludf.DUMMYFUNCTION("""COMPUTED_VALUE"""),44799.0)</f>
        <v>44799</v>
      </c>
      <c r="G1712" s="24" t="str">
        <f>IFERROR(__xludf.DUMMYFUNCTION("""COMPUTED_VALUE"""),"Juanita Chandler ")</f>
        <v>Juanita Chandler </v>
      </c>
      <c r="H1712" s="24">
        <f>IFERROR(__xludf.DUMMYFUNCTION("""COMPUTED_VALUE"""),6.0)</f>
        <v>6</v>
      </c>
      <c r="I1712" s="24"/>
    </row>
    <row r="1713">
      <c r="A1713" s="23">
        <f>IFERROR(__xludf.DUMMYFUNCTION("""COMPUTED_VALUE"""),44829.0)</f>
        <v>44829</v>
      </c>
      <c r="B1713" s="24" t="str">
        <f>IFERROR(__xludf.DUMMYFUNCTION("""COMPUTED_VALUE"""),"Claire")</f>
        <v>Claire</v>
      </c>
      <c r="C1713" s="24">
        <f>IFERROR(__xludf.DUMMYFUNCTION("""COMPUTED_VALUE"""),63.0)</f>
        <v>63</v>
      </c>
      <c r="D1713" s="24" t="str">
        <f>IFERROR(__xludf.DUMMYFUNCTION("""COMPUTED_VALUE"""),"Assorted Dry")</f>
        <v>Assorted Dry</v>
      </c>
      <c r="F1713" s="23">
        <f>IFERROR(__xludf.DUMMYFUNCTION("""COMPUTED_VALUE"""),44799.0)</f>
        <v>44799</v>
      </c>
      <c r="G1713" s="24" t="str">
        <f>IFERROR(__xludf.DUMMYFUNCTION("""COMPUTED_VALUE"""),"Juanita Chandler ")</f>
        <v>Juanita Chandler </v>
      </c>
      <c r="H1713" s="24">
        <f>IFERROR(__xludf.DUMMYFUNCTION("""COMPUTED_VALUE"""),7.0)</f>
        <v>7</v>
      </c>
      <c r="I1713" s="24"/>
    </row>
    <row r="1714">
      <c r="A1714" s="23">
        <f>IFERROR(__xludf.DUMMYFUNCTION("""COMPUTED_VALUE"""),44829.0)</f>
        <v>44829</v>
      </c>
      <c r="B1714" s="24" t="str">
        <f>IFERROR(__xludf.DUMMYFUNCTION("""COMPUTED_VALUE"""),"Claire")</f>
        <v>Claire</v>
      </c>
      <c r="C1714" s="24">
        <f>IFERROR(__xludf.DUMMYFUNCTION("""COMPUTED_VALUE"""),168.0)</f>
        <v>168</v>
      </c>
      <c r="D1714" s="24" t="str">
        <f>IFERROR(__xludf.DUMMYFUNCTION("""COMPUTED_VALUE"""),"Assorted Fridge")</f>
        <v>Assorted Fridge</v>
      </c>
      <c r="F1714" s="23">
        <f>IFERROR(__xludf.DUMMYFUNCTION("""COMPUTED_VALUE"""),44799.0)</f>
        <v>44799</v>
      </c>
      <c r="G1714" s="24" t="str">
        <f>IFERROR(__xludf.DUMMYFUNCTION("""COMPUTED_VALUE"""),"Lynette c")</f>
        <v>Lynette c</v>
      </c>
      <c r="H1714" s="24">
        <f>IFERROR(__xludf.DUMMYFUNCTION("""COMPUTED_VALUE"""),15.0)</f>
        <v>15</v>
      </c>
      <c r="I1714" s="24"/>
    </row>
    <row r="1715">
      <c r="A1715" s="23">
        <f>IFERROR(__xludf.DUMMYFUNCTION("""COMPUTED_VALUE"""),44829.58320706019)</f>
        <v>44829.58321</v>
      </c>
      <c r="B1715" s="24" t="str">
        <f>IFERROR(__xludf.DUMMYFUNCTION("""COMPUTED_VALUE"""),"Ladaisha Thompson")</f>
        <v>Ladaisha Thompson</v>
      </c>
      <c r="C1715" s="24">
        <f>IFERROR(__xludf.DUMMYFUNCTION("""COMPUTED_VALUE"""),14.0)</f>
        <v>14</v>
      </c>
      <c r="D1715" s="24" t="str">
        <f>IFERROR(__xludf.DUMMYFUNCTION("""COMPUTED_VALUE"""),"Medicine")</f>
        <v>Medicine</v>
      </c>
      <c r="F1715" s="23">
        <f>IFERROR(__xludf.DUMMYFUNCTION("""COMPUTED_VALUE"""),44799.66432984953)</f>
        <v>44799.66433</v>
      </c>
      <c r="G1715" s="24" t="str">
        <f>IFERROR(__xludf.DUMMYFUNCTION("""COMPUTED_VALUE"""),"Spencer Ellsworth ")</f>
        <v>Spencer Ellsworth </v>
      </c>
      <c r="H1715" s="24">
        <f>IFERROR(__xludf.DUMMYFUNCTION("""COMPUTED_VALUE"""),143.0)</f>
        <v>143</v>
      </c>
      <c r="I1715" s="24" t="str">
        <f>IFERROR(__xludf.DUMMYFUNCTION("""COMPUTED_VALUE"""),"Alto Dale Farm")</f>
        <v>Alto Dale Farm</v>
      </c>
    </row>
    <row r="1716">
      <c r="A1716" s="23">
        <f>IFERROR(__xludf.DUMMYFUNCTION("""COMPUTED_VALUE"""),44831.0)</f>
        <v>44831</v>
      </c>
      <c r="B1716" s="24" t="str">
        <f>IFERROR(__xludf.DUMMYFUNCTION("""COMPUTED_VALUE"""),"Claire")</f>
        <v>Claire</v>
      </c>
      <c r="C1716" s="24">
        <f>IFERROR(__xludf.DUMMYFUNCTION("""COMPUTED_VALUE"""),112.0)</f>
        <v>112</v>
      </c>
      <c r="D1716" s="24" t="str">
        <f>IFERROR(__xludf.DUMMYFUNCTION("""COMPUTED_VALUE"""),"Assorted Dry")</f>
        <v>Assorted Dry</v>
      </c>
      <c r="F1716" s="23">
        <f>IFERROR(__xludf.DUMMYFUNCTION("""COMPUTED_VALUE"""),44800.0)</f>
        <v>44800</v>
      </c>
      <c r="G1716" s="24" t="str">
        <f>IFERROR(__xludf.DUMMYFUNCTION("""COMPUTED_VALUE"""),"Ryan Murphy")</f>
        <v>Ryan Murphy</v>
      </c>
      <c r="H1716" s="24">
        <f>IFERROR(__xludf.DUMMYFUNCTION("""COMPUTED_VALUE"""),15.0)</f>
        <v>15</v>
      </c>
      <c r="I1716" s="24"/>
    </row>
    <row r="1717">
      <c r="A1717" s="23">
        <f>IFERROR(__xludf.DUMMYFUNCTION("""COMPUTED_VALUE"""),44831.708755914355)</f>
        <v>44831.70876</v>
      </c>
      <c r="B1717" s="24" t="str">
        <f>IFERROR(__xludf.DUMMYFUNCTION("""COMPUTED_VALUE"""),"Jean")</f>
        <v>Jean</v>
      </c>
      <c r="C1717" s="24">
        <f>IFERROR(__xludf.DUMMYFUNCTION("""COMPUTED_VALUE"""),3.0)</f>
        <v>3</v>
      </c>
      <c r="D1717" s="24" t="str">
        <f>IFERROR(__xludf.DUMMYFUNCTION("""COMPUTED_VALUE"""),"Toys")</f>
        <v>Toys</v>
      </c>
      <c r="F1717" s="23">
        <f>IFERROR(__xludf.DUMMYFUNCTION("""COMPUTED_VALUE"""),44800.0)</f>
        <v>44800</v>
      </c>
      <c r="G1717" s="24" t="str">
        <f>IFERROR(__xludf.DUMMYFUNCTION("""COMPUTED_VALUE"""),"Lee Little")</f>
        <v>Lee Little</v>
      </c>
      <c r="H1717" s="24">
        <f>IFERROR(__xludf.DUMMYFUNCTION("""COMPUTED_VALUE"""),13.0)</f>
        <v>13</v>
      </c>
      <c r="I1717" s="24"/>
    </row>
    <row r="1718">
      <c r="A1718" s="23">
        <f>IFERROR(__xludf.DUMMYFUNCTION("""COMPUTED_VALUE"""),44833.0)</f>
        <v>44833</v>
      </c>
      <c r="B1718" s="24" t="str">
        <f>IFERROR(__xludf.DUMMYFUNCTION("""COMPUTED_VALUE"""),"Claire")</f>
        <v>Claire</v>
      </c>
      <c r="C1718" s="24">
        <f>IFERROR(__xludf.DUMMYFUNCTION("""COMPUTED_VALUE"""),139.0)</f>
        <v>139</v>
      </c>
      <c r="D1718" s="24" t="str">
        <f>IFERROR(__xludf.DUMMYFUNCTION("""COMPUTED_VALUE"""),"Snacks")</f>
        <v>Snacks</v>
      </c>
      <c r="F1718" s="23">
        <f>IFERROR(__xludf.DUMMYFUNCTION("""COMPUTED_VALUE"""),44800.0)</f>
        <v>44800</v>
      </c>
      <c r="G1718" s="24" t="str">
        <f>IFERROR(__xludf.DUMMYFUNCTION("""COMPUTED_VALUE"""),"Denise Brown")</f>
        <v>Denise Brown</v>
      </c>
      <c r="H1718" s="24">
        <f>IFERROR(__xludf.DUMMYFUNCTION("""COMPUTED_VALUE"""),14.0)</f>
        <v>14</v>
      </c>
      <c r="I1718" s="24"/>
    </row>
    <row r="1719">
      <c r="A1719" s="23">
        <f>IFERROR(__xludf.DUMMYFUNCTION("""COMPUTED_VALUE"""),44833.571370868056)</f>
        <v>44833.57137</v>
      </c>
      <c r="B1719" s="24" t="str">
        <f>IFERROR(__xludf.DUMMYFUNCTION("""COMPUTED_VALUE"""),"Jean")</f>
        <v>Jean</v>
      </c>
      <c r="C1719" s="24">
        <f>IFERROR(__xludf.DUMMYFUNCTION("""COMPUTED_VALUE"""),254.0)</f>
        <v>254</v>
      </c>
      <c r="D1719" s="24" t="str">
        <f>IFERROR(__xludf.DUMMYFUNCTION("""COMPUTED_VALUE"""),"Snacks")</f>
        <v>Snacks</v>
      </c>
      <c r="F1719" s="23">
        <f>IFERROR(__xludf.DUMMYFUNCTION("""COMPUTED_VALUE"""),44800.0)</f>
        <v>44800</v>
      </c>
      <c r="G1719" s="24" t="str">
        <f>IFERROR(__xludf.DUMMYFUNCTION("""COMPUTED_VALUE"""),"Clarice")</f>
        <v>Clarice</v>
      </c>
      <c r="H1719" s="24">
        <f>IFERROR(__xludf.DUMMYFUNCTION("""COMPUTED_VALUE"""),36.0)</f>
        <v>36</v>
      </c>
      <c r="I1719" s="24"/>
    </row>
    <row r="1720">
      <c r="A1720" s="23">
        <f>IFERROR(__xludf.DUMMYFUNCTION("""COMPUTED_VALUE"""),44833.57246994213)</f>
        <v>44833.57247</v>
      </c>
      <c r="B1720" s="24" t="str">
        <f>IFERROR(__xludf.DUMMYFUNCTION("""COMPUTED_VALUE"""),"Jean")</f>
        <v>Jean</v>
      </c>
      <c r="C1720" s="24">
        <f>IFERROR(__xludf.DUMMYFUNCTION("""COMPUTED_VALUE"""),208.0)</f>
        <v>208</v>
      </c>
      <c r="D1720" s="24" t="str">
        <f>IFERROR(__xludf.DUMMYFUNCTION("""COMPUTED_VALUE"""),"Snacks")</f>
        <v>Snacks</v>
      </c>
      <c r="F1720" s="23">
        <f>IFERROR(__xludf.DUMMYFUNCTION("""COMPUTED_VALUE"""),44800.0)</f>
        <v>44800</v>
      </c>
      <c r="G1720" s="24" t="str">
        <f>IFERROR(__xludf.DUMMYFUNCTION("""COMPUTED_VALUE"""),"Adriana Hill")</f>
        <v>Adriana Hill</v>
      </c>
      <c r="H1720" s="24">
        <f>IFERROR(__xludf.DUMMYFUNCTION("""COMPUTED_VALUE"""),17.0)</f>
        <v>17</v>
      </c>
      <c r="I1720" s="24"/>
    </row>
    <row r="1721">
      <c r="A1721" s="23">
        <f>IFERROR(__xludf.DUMMYFUNCTION("""COMPUTED_VALUE"""),44833.57332913195)</f>
        <v>44833.57333</v>
      </c>
      <c r="B1721" s="24" t="str">
        <f>IFERROR(__xludf.DUMMYFUNCTION("""COMPUTED_VALUE"""),"Jean")</f>
        <v>Jean</v>
      </c>
      <c r="C1721" s="24">
        <f>IFERROR(__xludf.DUMMYFUNCTION("""COMPUTED_VALUE"""),198.0)</f>
        <v>198</v>
      </c>
      <c r="D1721" s="24" t="str">
        <f>IFERROR(__xludf.DUMMYFUNCTION("""COMPUTED_VALUE"""),"Snacks")</f>
        <v>Snacks</v>
      </c>
      <c r="F1721" s="23">
        <f>IFERROR(__xludf.DUMMYFUNCTION("""COMPUTED_VALUE"""),44800.0)</f>
        <v>44800</v>
      </c>
      <c r="G1721" s="24" t="str">
        <f>IFERROR(__xludf.DUMMYFUNCTION("""COMPUTED_VALUE"""),"Adriana Hill")</f>
        <v>Adriana Hill</v>
      </c>
      <c r="H1721" s="24">
        <f>IFERROR(__xludf.DUMMYFUNCTION("""COMPUTED_VALUE"""),3.0)</f>
        <v>3</v>
      </c>
      <c r="I1721" s="24"/>
    </row>
    <row r="1722">
      <c r="A1722" s="23">
        <f>IFERROR(__xludf.DUMMYFUNCTION("""COMPUTED_VALUE"""),44833.57419789352)</f>
        <v>44833.5742</v>
      </c>
      <c r="B1722" s="24" t="str">
        <f>IFERROR(__xludf.DUMMYFUNCTION("""COMPUTED_VALUE"""),"Jean")</f>
        <v>Jean</v>
      </c>
      <c r="C1722" s="24">
        <f>IFERROR(__xludf.DUMMYFUNCTION("""COMPUTED_VALUE"""),201.0)</f>
        <v>201</v>
      </c>
      <c r="D1722" s="24" t="str">
        <f>IFERROR(__xludf.DUMMYFUNCTION("""COMPUTED_VALUE"""),"Snacks")</f>
        <v>Snacks</v>
      </c>
      <c r="F1722" s="23">
        <f>IFERROR(__xludf.DUMMYFUNCTION("""COMPUTED_VALUE"""),44800.0)</f>
        <v>44800</v>
      </c>
      <c r="G1722" s="24" t="str">
        <f>IFERROR(__xludf.DUMMYFUNCTION("""COMPUTED_VALUE"""),"Dean Chien")</f>
        <v>Dean Chien</v>
      </c>
      <c r="H1722" s="24">
        <f>IFERROR(__xludf.DUMMYFUNCTION("""COMPUTED_VALUE"""),4.0)</f>
        <v>4</v>
      </c>
      <c r="I1722" s="24"/>
    </row>
    <row r="1723">
      <c r="A1723" s="23">
        <f>IFERROR(__xludf.DUMMYFUNCTION("""COMPUTED_VALUE"""),44833.57497829861)</f>
        <v>44833.57498</v>
      </c>
      <c r="B1723" s="24" t="str">
        <f>IFERROR(__xludf.DUMMYFUNCTION("""COMPUTED_VALUE"""),"Jean")</f>
        <v>Jean</v>
      </c>
      <c r="C1723" s="24">
        <f>IFERROR(__xludf.DUMMYFUNCTION("""COMPUTED_VALUE"""),182.0)</f>
        <v>182</v>
      </c>
      <c r="D1723" s="24" t="str">
        <f>IFERROR(__xludf.DUMMYFUNCTION("""COMPUTED_VALUE"""),"Snacks")</f>
        <v>Snacks</v>
      </c>
      <c r="F1723" s="23">
        <f>IFERROR(__xludf.DUMMYFUNCTION("""COMPUTED_VALUE"""),44800.493970914344)</f>
        <v>44800.49397</v>
      </c>
      <c r="G1723" s="24" t="str">
        <f>IFERROR(__xludf.DUMMYFUNCTION("""COMPUTED_VALUE"""),"Claire")</f>
        <v>Claire</v>
      </c>
      <c r="H1723" s="24">
        <f>IFERROR(__xludf.DUMMYFUNCTION("""COMPUTED_VALUE"""),606.0)</f>
        <v>606</v>
      </c>
      <c r="I1723" s="24" t="str">
        <f>IFERROR(__xludf.DUMMYFUNCTION("""COMPUTED_VALUE"""),"Produce")</f>
        <v>Produce</v>
      </c>
    </row>
    <row r="1724">
      <c r="A1724" s="23">
        <f>IFERROR(__xludf.DUMMYFUNCTION("""COMPUTED_VALUE"""),44833.57542972222)</f>
        <v>44833.57543</v>
      </c>
      <c r="B1724" s="24" t="str">
        <f>IFERROR(__xludf.DUMMYFUNCTION("""COMPUTED_VALUE"""),"Jean")</f>
        <v>Jean</v>
      </c>
      <c r="C1724" s="24">
        <f>IFERROR(__xludf.DUMMYFUNCTION("""COMPUTED_VALUE"""),181.0)</f>
        <v>181</v>
      </c>
      <c r="D1724" s="24" t="str">
        <f>IFERROR(__xludf.DUMMYFUNCTION("""COMPUTED_VALUE"""),"Snacks")</f>
        <v>Snacks</v>
      </c>
      <c r="F1724" s="23">
        <f>IFERROR(__xludf.DUMMYFUNCTION("""COMPUTED_VALUE"""),44800.494438877315)</f>
        <v>44800.49444</v>
      </c>
      <c r="G1724" s="24" t="str">
        <f>IFERROR(__xludf.DUMMYFUNCTION("""COMPUTED_VALUE"""),"Claire ")</f>
        <v>Claire </v>
      </c>
      <c r="H1724" s="24">
        <f>IFERROR(__xludf.DUMMYFUNCTION("""COMPUTED_VALUE"""),402.0)</f>
        <v>402</v>
      </c>
      <c r="I1724" s="24" t="str">
        <f>IFERROR(__xludf.DUMMYFUNCTION("""COMPUTED_VALUE"""),"Assorted dry")</f>
        <v>Assorted dry</v>
      </c>
    </row>
    <row r="1725">
      <c r="A1725" s="23">
        <f>IFERROR(__xludf.DUMMYFUNCTION("""COMPUTED_VALUE"""),44833.576134085655)</f>
        <v>44833.57613</v>
      </c>
      <c r="B1725" s="24" t="str">
        <f>IFERROR(__xludf.DUMMYFUNCTION("""COMPUTED_VALUE"""),"Jean")</f>
        <v>Jean</v>
      </c>
      <c r="C1725" s="24">
        <f>IFERROR(__xludf.DUMMYFUNCTION("""COMPUTED_VALUE"""),210.0)</f>
        <v>210</v>
      </c>
      <c r="D1725" s="24" t="str">
        <f>IFERROR(__xludf.DUMMYFUNCTION("""COMPUTED_VALUE"""),"Snacks")</f>
        <v>Snacks</v>
      </c>
      <c r="F1725" s="23">
        <f>IFERROR(__xludf.DUMMYFUNCTION("""COMPUTED_VALUE"""),44800.49521119213)</f>
        <v>44800.49521</v>
      </c>
      <c r="G1725" s="24" t="str">
        <f>IFERROR(__xludf.DUMMYFUNCTION("""COMPUTED_VALUE"""),"Claire")</f>
        <v>Claire</v>
      </c>
      <c r="H1725" s="24">
        <f>IFERROR(__xludf.DUMMYFUNCTION("""COMPUTED_VALUE"""),161.0)</f>
        <v>161</v>
      </c>
      <c r="I1725" s="24" t="str">
        <f>IFERROR(__xludf.DUMMYFUNCTION("""COMPUTED_VALUE"""),"Drinks [dry]")</f>
        <v>Drinks [dry]</v>
      </c>
    </row>
    <row r="1726">
      <c r="A1726" s="23">
        <f>IFERROR(__xludf.DUMMYFUNCTION("""COMPUTED_VALUE"""),44833.57671952547)</f>
        <v>44833.57672</v>
      </c>
      <c r="B1726" s="24" t="str">
        <f>IFERROR(__xludf.DUMMYFUNCTION("""COMPUTED_VALUE"""),"Jean")</f>
        <v>Jean</v>
      </c>
      <c r="C1726" s="24">
        <f>IFERROR(__xludf.DUMMYFUNCTION("""COMPUTED_VALUE"""),803.0)</f>
        <v>803</v>
      </c>
      <c r="D1726" s="24" t="str">
        <f>IFERROR(__xludf.DUMMYFUNCTION("""COMPUTED_VALUE"""),"Produce")</f>
        <v>Produce</v>
      </c>
      <c r="F1726" s="23">
        <f>IFERROR(__xludf.DUMMYFUNCTION("""COMPUTED_VALUE"""),44800.49554289352)</f>
        <v>44800.49554</v>
      </c>
      <c r="G1726" s="24" t="str">
        <f>IFERROR(__xludf.DUMMYFUNCTION("""COMPUTED_VALUE"""),"Claire")</f>
        <v>Claire</v>
      </c>
      <c r="H1726" s="24">
        <f>IFERROR(__xludf.DUMMYFUNCTION("""COMPUTED_VALUE"""),249.0)</f>
        <v>249</v>
      </c>
      <c r="I1726" s="24" t="str">
        <f>IFERROR(__xludf.DUMMYFUNCTION("""COMPUTED_VALUE"""),"Produce")</f>
        <v>Produce</v>
      </c>
    </row>
    <row r="1727">
      <c r="A1727" s="23">
        <f>IFERROR(__xludf.DUMMYFUNCTION("""COMPUTED_VALUE"""),44833.57746135417)</f>
        <v>44833.57746</v>
      </c>
      <c r="B1727" s="24" t="str">
        <f>IFERROR(__xludf.DUMMYFUNCTION("""COMPUTED_VALUE"""),"Jean")</f>
        <v>Jean</v>
      </c>
      <c r="C1727" s="24">
        <f>IFERROR(__xludf.DUMMYFUNCTION("""COMPUTED_VALUE"""),89.0)</f>
        <v>89</v>
      </c>
      <c r="D1727" s="24" t="str">
        <f>IFERROR(__xludf.DUMMYFUNCTION("""COMPUTED_VALUE"""),"Cleaning Supplies")</f>
        <v>Cleaning Supplies</v>
      </c>
      <c r="F1727" s="23">
        <f>IFERROR(__xludf.DUMMYFUNCTION("""COMPUTED_VALUE"""),44800.66745092593)</f>
        <v>44800.66745</v>
      </c>
      <c r="G1727" s="24" t="str">
        <f>IFERROR(__xludf.DUMMYFUNCTION("""COMPUTED_VALUE"""),"Claire")</f>
        <v>Claire</v>
      </c>
      <c r="H1727" s="24">
        <f>IFERROR(__xludf.DUMMYFUNCTION("""COMPUTED_VALUE"""),1474.0)</f>
        <v>1474</v>
      </c>
      <c r="I1727" s="24" t="str">
        <f>IFERROR(__xludf.DUMMYFUNCTION("""COMPUTED_VALUE"""),"Drinks [dry]")</f>
        <v>Drinks [dry]</v>
      </c>
    </row>
    <row r="1728">
      <c r="A1728" s="23">
        <f>IFERROR(__xludf.DUMMYFUNCTION("""COMPUTED_VALUE"""),44834.640207743054)</f>
        <v>44834.64021</v>
      </c>
      <c r="B1728" s="24" t="str">
        <f>IFERROR(__xludf.DUMMYFUNCTION("""COMPUTED_VALUE"""),"Claire")</f>
        <v>Claire</v>
      </c>
      <c r="C1728" s="24">
        <f>IFERROR(__xludf.DUMMYFUNCTION("""COMPUTED_VALUE"""),675.0)</f>
        <v>675</v>
      </c>
      <c r="D1728" s="24" t="str">
        <f>IFERROR(__xludf.DUMMYFUNCTION("""COMPUTED_VALUE"""),"Produce")</f>
        <v>Produce</v>
      </c>
      <c r="F1728" s="23">
        <f>IFERROR(__xludf.DUMMYFUNCTION("""COMPUTED_VALUE"""),44800.66771365741)</f>
        <v>44800.66771</v>
      </c>
      <c r="G1728" s="24" t="str">
        <f>IFERROR(__xludf.DUMMYFUNCTION("""COMPUTED_VALUE"""),"Claire")</f>
        <v>Claire</v>
      </c>
      <c r="H1728" s="24">
        <f>IFERROR(__xludf.DUMMYFUNCTION("""COMPUTED_VALUE"""),201.0)</f>
        <v>201</v>
      </c>
      <c r="I1728" s="24" t="str">
        <f>IFERROR(__xludf.DUMMYFUNCTION("""COMPUTED_VALUE"""),"Snacks")</f>
        <v>Snacks</v>
      </c>
    </row>
    <row r="1729">
      <c r="A1729" s="23">
        <f>IFERROR(__xludf.DUMMYFUNCTION("""COMPUTED_VALUE"""),44834.64055835648)</f>
        <v>44834.64056</v>
      </c>
      <c r="B1729" s="24" t="str">
        <f>IFERROR(__xludf.DUMMYFUNCTION("""COMPUTED_VALUE"""),"Claire")</f>
        <v>Claire</v>
      </c>
      <c r="C1729" s="24">
        <f>IFERROR(__xludf.DUMMYFUNCTION("""COMPUTED_VALUE"""),58.0)</f>
        <v>58</v>
      </c>
      <c r="D1729" s="24" t="str">
        <f>IFERROR(__xludf.DUMMYFUNCTION("""COMPUTED_VALUE"""),"Snacks")</f>
        <v>Snacks</v>
      </c>
      <c r="F1729" s="23">
        <f>IFERROR(__xludf.DUMMYFUNCTION("""COMPUTED_VALUE"""),44800.667887719916)</f>
        <v>44800.66789</v>
      </c>
      <c r="G1729" s="24" t="str">
        <f>IFERROR(__xludf.DUMMYFUNCTION("""COMPUTED_VALUE"""),"Claire")</f>
        <v>Claire</v>
      </c>
      <c r="H1729" s="24">
        <f>IFERROR(__xludf.DUMMYFUNCTION("""COMPUTED_VALUE"""),339.0)</f>
        <v>339</v>
      </c>
      <c r="I1729" s="24" t="str">
        <f>IFERROR(__xludf.DUMMYFUNCTION("""COMPUTED_VALUE"""),"Snacks")</f>
        <v>Snacks</v>
      </c>
    </row>
    <row r="1730">
      <c r="A1730" s="23">
        <f>IFERROR(__xludf.DUMMYFUNCTION("""COMPUTED_VALUE"""),44834.64089026621)</f>
        <v>44834.64089</v>
      </c>
      <c r="B1730" s="24" t="str">
        <f>IFERROR(__xludf.DUMMYFUNCTION("""COMPUTED_VALUE"""),"Claire")</f>
        <v>Claire</v>
      </c>
      <c r="C1730" s="24">
        <f>IFERROR(__xludf.DUMMYFUNCTION("""COMPUTED_VALUE"""),502.0)</f>
        <v>502</v>
      </c>
      <c r="D1730" s="24" t="str">
        <f>IFERROR(__xludf.DUMMYFUNCTION("""COMPUTED_VALUE"""),"Assorted Dry")</f>
        <v>Assorted Dry</v>
      </c>
      <c r="F1730" s="23">
        <f>IFERROR(__xludf.DUMMYFUNCTION("""COMPUTED_VALUE"""),44800.66812800925)</f>
        <v>44800.66813</v>
      </c>
      <c r="G1730" s="24" t="str">
        <f>IFERROR(__xludf.DUMMYFUNCTION("""COMPUTED_VALUE"""),"Claire")</f>
        <v>Claire</v>
      </c>
      <c r="H1730" s="24">
        <f>IFERROR(__xludf.DUMMYFUNCTION("""COMPUTED_VALUE"""),1206.0)</f>
        <v>1206</v>
      </c>
      <c r="I1730" s="24" t="str">
        <f>IFERROR(__xludf.DUMMYFUNCTION("""COMPUTED_VALUE"""),"Produce")</f>
        <v>Produce</v>
      </c>
    </row>
    <row r="1731">
      <c r="A1731" s="23">
        <f>IFERROR(__xludf.DUMMYFUNCTION("""COMPUTED_VALUE"""),44834.64111284722)</f>
        <v>44834.64111</v>
      </c>
      <c r="B1731" s="24" t="str">
        <f>IFERROR(__xludf.DUMMYFUNCTION("""COMPUTED_VALUE"""),"Claire")</f>
        <v>Claire</v>
      </c>
      <c r="C1731" s="24">
        <f>IFERROR(__xludf.DUMMYFUNCTION("""COMPUTED_VALUE"""),653.0)</f>
        <v>653</v>
      </c>
      <c r="D1731" s="24" t="str">
        <f>IFERROR(__xludf.DUMMYFUNCTION("""COMPUTED_VALUE"""),"Produce")</f>
        <v>Produce</v>
      </c>
      <c r="F1731" s="23">
        <f>IFERROR(__xludf.DUMMYFUNCTION("""COMPUTED_VALUE"""),44800.66833508102)</f>
        <v>44800.66834</v>
      </c>
      <c r="G1731" s="24" t="str">
        <f>IFERROR(__xludf.DUMMYFUNCTION("""COMPUTED_VALUE"""),"Claire")</f>
        <v>Claire</v>
      </c>
      <c r="H1731" s="24">
        <f>IFERROR(__xludf.DUMMYFUNCTION("""COMPUTED_VALUE"""),1164.0)</f>
        <v>1164</v>
      </c>
      <c r="I1731" s="24" t="str">
        <f>IFERROR(__xludf.DUMMYFUNCTION("""COMPUTED_VALUE"""),"Dairy")</f>
        <v>Dairy</v>
      </c>
    </row>
    <row r="1732">
      <c r="A1732" s="23">
        <f>IFERROR(__xludf.DUMMYFUNCTION("""COMPUTED_VALUE"""),44834.64139166667)</f>
        <v>44834.64139</v>
      </c>
      <c r="B1732" s="24" t="str">
        <f>IFERROR(__xludf.DUMMYFUNCTION("""COMPUTED_VALUE"""),"Claire")</f>
        <v>Claire</v>
      </c>
      <c r="C1732" s="24">
        <f>IFERROR(__xludf.DUMMYFUNCTION("""COMPUTED_VALUE"""),512.0)</f>
        <v>512</v>
      </c>
      <c r="D1732" s="24" t="str">
        <f>IFERROR(__xludf.DUMMYFUNCTION("""COMPUTED_VALUE"""),"Assorted Dry")</f>
        <v>Assorted Dry</v>
      </c>
      <c r="F1732" s="23">
        <f>IFERROR(__xludf.DUMMYFUNCTION("""COMPUTED_VALUE"""),44800.66877328704)</f>
        <v>44800.66877</v>
      </c>
      <c r="G1732" s="24" t="str">
        <f>IFERROR(__xludf.DUMMYFUNCTION("""COMPUTED_VALUE"""),"Claire")</f>
        <v>Claire</v>
      </c>
      <c r="H1732" s="24">
        <f>IFERROR(__xludf.DUMMYFUNCTION("""COMPUTED_VALUE"""),596.0)</f>
        <v>596</v>
      </c>
      <c r="I1732" s="24" t="str">
        <f>IFERROR(__xludf.DUMMYFUNCTION("""COMPUTED_VALUE"""),"Dairy")</f>
        <v>Dairy</v>
      </c>
    </row>
    <row r="1733">
      <c r="A1733" s="23">
        <f>IFERROR(__xludf.DUMMYFUNCTION("""COMPUTED_VALUE"""),44834.641566481485)</f>
        <v>44834.64157</v>
      </c>
      <c r="B1733" s="24" t="str">
        <f>IFERROR(__xludf.DUMMYFUNCTION("""COMPUTED_VALUE"""),"Claire")</f>
        <v>Claire</v>
      </c>
      <c r="C1733" s="24">
        <f>IFERROR(__xludf.DUMMYFUNCTION("""COMPUTED_VALUE"""),50.0)</f>
        <v>50</v>
      </c>
      <c r="D1733" s="24" t="str">
        <f>IFERROR(__xludf.DUMMYFUNCTION("""COMPUTED_VALUE"""),"Snacks")</f>
        <v>Snacks</v>
      </c>
      <c r="F1733" s="23">
        <f>IFERROR(__xludf.DUMMYFUNCTION("""COMPUTED_VALUE"""),44800.66971662037)</f>
        <v>44800.66972</v>
      </c>
      <c r="G1733" s="24" t="str">
        <f>IFERROR(__xludf.DUMMYFUNCTION("""COMPUTED_VALUE"""),"Claire")</f>
        <v>Claire</v>
      </c>
      <c r="H1733" s="24">
        <f>IFERROR(__xludf.DUMMYFUNCTION("""COMPUTED_VALUE"""),239.0)</f>
        <v>239</v>
      </c>
      <c r="I1733" s="24" t="str">
        <f>IFERROR(__xludf.DUMMYFUNCTION("""COMPUTED_VALUE"""),"Dairy/eggs")</f>
        <v>Dairy/eggs</v>
      </c>
    </row>
    <row r="1734">
      <c r="A1734" s="23">
        <f>IFERROR(__xludf.DUMMYFUNCTION("""COMPUTED_VALUE"""),44834.0)</f>
        <v>44834</v>
      </c>
      <c r="B1734" s="24" t="str">
        <f>IFERROR(__xludf.DUMMYFUNCTION("""COMPUTED_VALUE"""),"Claire")</f>
        <v>Claire</v>
      </c>
      <c r="C1734" s="24">
        <f>IFERROR(__xludf.DUMMYFUNCTION("""COMPUTED_VALUE"""),46.0)</f>
        <v>46</v>
      </c>
      <c r="D1734" s="24" t="str">
        <f>IFERROR(__xludf.DUMMYFUNCTION("""COMPUTED_VALUE"""),"Hand sanitizer")</f>
        <v>Hand sanitizer</v>
      </c>
      <c r="F1734" s="23">
        <f>IFERROR(__xludf.DUMMYFUNCTION("""COMPUTED_VALUE"""),44800.66996494213)</f>
        <v>44800.66996</v>
      </c>
      <c r="G1734" s="24" t="str">
        <f>IFERROR(__xludf.DUMMYFUNCTION("""COMPUTED_VALUE"""),"Claire")</f>
        <v>Claire</v>
      </c>
      <c r="H1734" s="24">
        <f>IFERROR(__xludf.DUMMYFUNCTION("""COMPUTED_VALUE"""),1670.0)</f>
        <v>1670</v>
      </c>
      <c r="I1734" s="24" t="str">
        <f>IFERROR(__xludf.DUMMYFUNCTION("""COMPUTED_VALUE"""),"Produce")</f>
        <v>Produce</v>
      </c>
    </row>
    <row r="1735">
      <c r="A1735" s="23">
        <f>IFERROR(__xludf.DUMMYFUNCTION("""COMPUTED_VALUE"""),44834.64769706019)</f>
        <v>44834.6477</v>
      </c>
      <c r="B1735" s="24" t="str">
        <f>IFERROR(__xludf.DUMMYFUNCTION("""COMPUTED_VALUE"""),"Sunita pathik")</f>
        <v>Sunita pathik</v>
      </c>
      <c r="C1735" s="24">
        <f>IFERROR(__xludf.DUMMYFUNCTION("""COMPUTED_VALUE"""),100.0)</f>
        <v>100</v>
      </c>
      <c r="D1735" s="24" t="str">
        <f>IFERROR(__xludf.DUMMYFUNCTION("""COMPUTED_VALUE"""),"Assorted Fridge")</f>
        <v>Assorted Fridge</v>
      </c>
      <c r="F1735" s="23">
        <f>IFERROR(__xludf.DUMMYFUNCTION("""COMPUTED_VALUE"""),44800.67186483797)</f>
        <v>44800.67186</v>
      </c>
      <c r="G1735" s="24" t="str">
        <f>IFERROR(__xludf.DUMMYFUNCTION("""COMPUTED_VALUE"""),"Claire")</f>
        <v>Claire</v>
      </c>
      <c r="H1735" s="24">
        <f>IFERROR(__xludf.DUMMYFUNCTION("""COMPUTED_VALUE"""),537.0)</f>
        <v>537</v>
      </c>
      <c r="I1735" s="24" t="str">
        <f>IFERROR(__xludf.DUMMYFUNCTION("""COMPUTED_VALUE"""),"Meat")</f>
        <v>Meat</v>
      </c>
    </row>
    <row r="1736">
      <c r="A1736" s="23">
        <f>IFERROR(__xludf.DUMMYFUNCTION("""COMPUTED_VALUE"""),44835.69011732639)</f>
        <v>44835.69012</v>
      </c>
      <c r="B1736" s="24" t="str">
        <f>IFERROR(__xludf.DUMMYFUNCTION("""COMPUTED_VALUE"""),"Claire")</f>
        <v>Claire</v>
      </c>
      <c r="C1736" s="24">
        <f>IFERROR(__xludf.DUMMYFUNCTION("""COMPUTED_VALUE"""),48.0)</f>
        <v>48</v>
      </c>
      <c r="D1736" s="24" t="str">
        <f>IFERROR(__xludf.DUMMYFUNCTION("""COMPUTED_VALUE"""),"Cleaning Supplies")</f>
        <v>Cleaning Supplies</v>
      </c>
      <c r="F1736" s="23">
        <f>IFERROR(__xludf.DUMMYFUNCTION("""COMPUTED_VALUE"""),44800.6731020949)</f>
        <v>44800.6731</v>
      </c>
      <c r="G1736" s="24" t="str">
        <f>IFERROR(__xludf.DUMMYFUNCTION("""COMPUTED_VALUE"""),"Claire")</f>
        <v>Claire</v>
      </c>
      <c r="H1736" s="24">
        <f>IFERROR(__xludf.DUMMYFUNCTION("""COMPUTED_VALUE"""),1338.0)</f>
        <v>1338</v>
      </c>
      <c r="I1736" s="24" t="str">
        <f>IFERROR(__xludf.DUMMYFUNCTION("""COMPUTED_VALUE"""),"Drinks [fridge]")</f>
        <v>Drinks [fridge]</v>
      </c>
    </row>
    <row r="1737">
      <c r="A1737" s="23">
        <f>IFERROR(__xludf.DUMMYFUNCTION("""COMPUTED_VALUE"""),44835.690400706015)</f>
        <v>44835.6904</v>
      </c>
      <c r="B1737" s="24" t="str">
        <f>IFERROR(__xludf.DUMMYFUNCTION("""COMPUTED_VALUE"""),"Claire")</f>
        <v>Claire</v>
      </c>
      <c r="C1737" s="24">
        <f>IFERROR(__xludf.DUMMYFUNCTION("""COMPUTED_VALUE"""),71.0)</f>
        <v>71</v>
      </c>
      <c r="D1737" s="24" t="str">
        <f>IFERROR(__xludf.DUMMYFUNCTION("""COMPUTED_VALUE"""),"Hum Toothbrush")</f>
        <v>Hum Toothbrush</v>
      </c>
      <c r="F1737" s="23">
        <f>IFERROR(__xludf.DUMMYFUNCTION("""COMPUTED_VALUE"""),44800.67338368056)</f>
        <v>44800.67338</v>
      </c>
      <c r="G1737" s="24" t="str">
        <f>IFERROR(__xludf.DUMMYFUNCTION("""COMPUTED_VALUE"""),"Claire")</f>
        <v>Claire</v>
      </c>
      <c r="H1737" s="24">
        <f>IFERROR(__xludf.DUMMYFUNCTION("""COMPUTED_VALUE"""),894.0)</f>
        <v>894</v>
      </c>
      <c r="I1737" s="24" t="str">
        <f>IFERROR(__xludf.DUMMYFUNCTION("""COMPUTED_VALUE"""),"Produce")</f>
        <v>Produce</v>
      </c>
    </row>
    <row r="1738">
      <c r="A1738" s="23">
        <f>IFERROR(__xludf.DUMMYFUNCTION("""COMPUTED_VALUE"""),44835.69120850694)</f>
        <v>44835.69121</v>
      </c>
      <c r="B1738" s="24" t="str">
        <f>IFERROR(__xludf.DUMMYFUNCTION("""COMPUTED_VALUE"""),"Claire")</f>
        <v>Claire</v>
      </c>
      <c r="C1738" s="24">
        <f>IFERROR(__xludf.DUMMYFUNCTION("""COMPUTED_VALUE"""),187.0)</f>
        <v>187</v>
      </c>
      <c r="D1738" s="24" t="str">
        <f>IFERROR(__xludf.DUMMYFUNCTION("""COMPUTED_VALUE"""),"Produce")</f>
        <v>Produce</v>
      </c>
      <c r="F1738" s="23">
        <f>IFERROR(__xludf.DUMMYFUNCTION("""COMPUTED_VALUE"""),44800.6735541088)</f>
        <v>44800.67355</v>
      </c>
      <c r="G1738" s="24" t="str">
        <f>IFERROR(__xludf.DUMMYFUNCTION("""COMPUTED_VALUE"""),"Claire")</f>
        <v>Claire</v>
      </c>
      <c r="H1738" s="24">
        <f>IFERROR(__xludf.DUMMYFUNCTION("""COMPUTED_VALUE"""),701.0)</f>
        <v>701</v>
      </c>
      <c r="I1738" s="24" t="str">
        <f>IFERROR(__xludf.DUMMYFUNCTION("""COMPUTED_VALUE"""),"Produce")</f>
        <v>Produce</v>
      </c>
    </row>
    <row r="1739">
      <c r="A1739" s="23">
        <f>IFERROR(__xludf.DUMMYFUNCTION("""COMPUTED_VALUE"""),44835.69151412037)</f>
        <v>44835.69151</v>
      </c>
      <c r="B1739" s="24" t="str">
        <f>IFERROR(__xludf.DUMMYFUNCTION("""COMPUTED_VALUE"""),"Claire")</f>
        <v>Claire</v>
      </c>
      <c r="C1739" s="24">
        <f>IFERROR(__xludf.DUMMYFUNCTION("""COMPUTED_VALUE"""),358.0)</f>
        <v>358</v>
      </c>
      <c r="D1739" s="24" t="str">
        <f>IFERROR(__xludf.DUMMYFUNCTION("""COMPUTED_VALUE"""),"Produce")</f>
        <v>Produce</v>
      </c>
      <c r="F1739" s="23">
        <f>IFERROR(__xludf.DUMMYFUNCTION("""COMPUTED_VALUE"""),44800.68835290509)</f>
        <v>44800.68835</v>
      </c>
      <c r="G1739" s="24" t="str">
        <f>IFERROR(__xludf.DUMMYFUNCTION("""COMPUTED_VALUE"""),"Claire")</f>
        <v>Claire</v>
      </c>
      <c r="H1739" s="24">
        <f>IFERROR(__xludf.DUMMYFUNCTION("""COMPUTED_VALUE"""),-202.0)</f>
        <v>-202</v>
      </c>
      <c r="I1739" s="24" t="str">
        <f>IFERROR(__xludf.DUMMYFUNCTION("""COMPUTED_VALUE"""),"Meat")</f>
        <v>Meat</v>
      </c>
    </row>
    <row r="1740">
      <c r="A1740" s="23">
        <f>IFERROR(__xludf.DUMMYFUNCTION("""COMPUTED_VALUE"""),44835.69178728009)</f>
        <v>44835.69179</v>
      </c>
      <c r="B1740" s="24" t="str">
        <f>IFERROR(__xludf.DUMMYFUNCTION("""COMPUTED_VALUE"""),"Claire")</f>
        <v>Claire</v>
      </c>
      <c r="C1740" s="24">
        <f>IFERROR(__xludf.DUMMYFUNCTION("""COMPUTED_VALUE"""),785.0)</f>
        <v>785</v>
      </c>
      <c r="D1740" s="24" t="str">
        <f>IFERROR(__xludf.DUMMYFUNCTION("""COMPUTED_VALUE"""),"Produce")</f>
        <v>Produce</v>
      </c>
      <c r="F1740" s="23">
        <f>IFERROR(__xludf.DUMMYFUNCTION("""COMPUTED_VALUE"""),44800.688587418976)</f>
        <v>44800.68859</v>
      </c>
      <c r="G1740" s="24" t="str">
        <f>IFERROR(__xludf.DUMMYFUNCTION("""COMPUTED_VALUE"""),"Claire")</f>
        <v>Claire</v>
      </c>
      <c r="H1740" s="24">
        <f>IFERROR(__xludf.DUMMYFUNCTION("""COMPUTED_VALUE"""),-302.0)</f>
        <v>-302</v>
      </c>
      <c r="I1740" s="24" t="str">
        <f>IFERROR(__xludf.DUMMYFUNCTION("""COMPUTED_VALUE"""),"Produce")</f>
        <v>Produce</v>
      </c>
    </row>
    <row r="1741">
      <c r="A1741" s="23">
        <f>IFERROR(__xludf.DUMMYFUNCTION("""COMPUTED_VALUE"""),44835.69204512731)</f>
        <v>44835.69205</v>
      </c>
      <c r="B1741" s="24" t="str">
        <f>IFERROR(__xludf.DUMMYFUNCTION("""COMPUTED_VALUE"""),"Claire")</f>
        <v>Claire</v>
      </c>
      <c r="C1741" s="24">
        <f>IFERROR(__xludf.DUMMYFUNCTION("""COMPUTED_VALUE"""),536.0)</f>
        <v>536</v>
      </c>
      <c r="D1741" s="24" t="str">
        <f>IFERROR(__xludf.DUMMYFUNCTION("""COMPUTED_VALUE"""),"Cleaning Supplies")</f>
        <v>Cleaning Supplies</v>
      </c>
      <c r="F1741" s="23">
        <f>IFERROR(__xludf.DUMMYFUNCTION("""COMPUTED_VALUE"""),44800.68879396991)</f>
        <v>44800.68879</v>
      </c>
      <c r="G1741" s="24" t="str">
        <f>IFERROR(__xludf.DUMMYFUNCTION("""COMPUTED_VALUE"""),"Claire")</f>
        <v>Claire</v>
      </c>
      <c r="H1741" s="24">
        <f>IFERROR(__xludf.DUMMYFUNCTION("""COMPUTED_VALUE"""),-640.0)</f>
        <v>-640</v>
      </c>
      <c r="I1741" s="24" t="str">
        <f>IFERROR(__xludf.DUMMYFUNCTION("""COMPUTED_VALUE"""),"Dairy")</f>
        <v>Dairy</v>
      </c>
    </row>
    <row r="1742">
      <c r="A1742" s="23">
        <f>IFERROR(__xludf.DUMMYFUNCTION("""COMPUTED_VALUE"""),44835.69230718749)</f>
        <v>44835.69231</v>
      </c>
      <c r="B1742" s="24" t="str">
        <f>IFERROR(__xludf.DUMMYFUNCTION("""COMPUTED_VALUE"""),"Claire")</f>
        <v>Claire</v>
      </c>
      <c r="C1742" s="24">
        <f>IFERROR(__xludf.DUMMYFUNCTION("""COMPUTED_VALUE"""),80.0)</f>
        <v>80</v>
      </c>
      <c r="D1742" s="24" t="str">
        <f>IFERROR(__xludf.DUMMYFUNCTION("""COMPUTED_VALUE"""),"Snacks")</f>
        <v>Snacks</v>
      </c>
      <c r="F1742" s="23">
        <f>IFERROR(__xludf.DUMMYFUNCTION("""COMPUTED_VALUE"""),44800.689175381944)</f>
        <v>44800.68918</v>
      </c>
      <c r="G1742" s="24" t="str">
        <f>IFERROR(__xludf.DUMMYFUNCTION("""COMPUTED_VALUE"""),"Claire")</f>
        <v>Claire</v>
      </c>
      <c r="H1742" s="24">
        <f>IFERROR(__xludf.DUMMYFUNCTION("""COMPUTED_VALUE"""),-414.0)</f>
        <v>-414</v>
      </c>
      <c r="I1742" s="24" t="str">
        <f>IFERROR(__xludf.DUMMYFUNCTION("""COMPUTED_VALUE"""),"Drinks [fridge]")</f>
        <v>Drinks [fridge]</v>
      </c>
    </row>
    <row r="1743">
      <c r="A1743" s="23">
        <f>IFERROR(__xludf.DUMMYFUNCTION("""COMPUTED_VALUE"""),44835.69251217593)</f>
        <v>44835.69251</v>
      </c>
      <c r="B1743" s="24" t="str">
        <f>IFERROR(__xludf.DUMMYFUNCTION("""COMPUTED_VALUE"""),"Claire")</f>
        <v>Claire</v>
      </c>
      <c r="C1743" s="24">
        <f>IFERROR(__xludf.DUMMYFUNCTION("""COMPUTED_VALUE"""),115.0)</f>
        <v>115</v>
      </c>
      <c r="D1743" s="24" t="str">
        <f>IFERROR(__xludf.DUMMYFUNCTION("""COMPUTED_VALUE"""),"Snacks")</f>
        <v>Snacks</v>
      </c>
      <c r="F1743" s="23">
        <f>IFERROR(__xludf.DUMMYFUNCTION("""COMPUTED_VALUE"""),44800.68948644676)</f>
        <v>44800.68949</v>
      </c>
      <c r="G1743" s="24" t="str">
        <f>IFERROR(__xludf.DUMMYFUNCTION("""COMPUTED_VALUE"""),"Claire")</f>
        <v>Claire</v>
      </c>
      <c r="H1743" s="24">
        <f>IFERROR(__xludf.DUMMYFUNCTION("""COMPUTED_VALUE"""),-996.0)</f>
        <v>-996</v>
      </c>
      <c r="I1743" s="24" t="str">
        <f>IFERROR(__xludf.DUMMYFUNCTION("""COMPUTED_VALUE"""),"Drinks [dry]")</f>
        <v>Drinks [dry]</v>
      </c>
    </row>
    <row r="1744">
      <c r="A1744" s="23">
        <f>IFERROR(__xludf.DUMMYFUNCTION("""COMPUTED_VALUE"""),44835.69274086806)</f>
        <v>44835.69274</v>
      </c>
      <c r="B1744" s="24" t="str">
        <f>IFERROR(__xludf.DUMMYFUNCTION("""COMPUTED_VALUE"""),"Claire")</f>
        <v>Claire</v>
      </c>
      <c r="C1744" s="24">
        <f>IFERROR(__xludf.DUMMYFUNCTION("""COMPUTED_VALUE"""),856.0)</f>
        <v>856</v>
      </c>
      <c r="D1744" s="24" t="str">
        <f>IFERROR(__xludf.DUMMYFUNCTION("""COMPUTED_VALUE"""),"Personal Care")</f>
        <v>Personal Care</v>
      </c>
      <c r="F1744" s="23">
        <f>IFERROR(__xludf.DUMMYFUNCTION("""COMPUTED_VALUE"""),44800.68973741898)</f>
        <v>44800.68974</v>
      </c>
      <c r="G1744" s="24" t="str">
        <f>IFERROR(__xludf.DUMMYFUNCTION("""COMPUTED_VALUE"""),"Claire")</f>
        <v>Claire</v>
      </c>
      <c r="H1744" s="24">
        <f>IFERROR(__xludf.DUMMYFUNCTION("""COMPUTED_VALUE"""),-217.0)</f>
        <v>-217</v>
      </c>
      <c r="I1744" s="24" t="str">
        <f>IFERROR(__xludf.DUMMYFUNCTION("""COMPUTED_VALUE"""),"Snacks")</f>
        <v>Snacks</v>
      </c>
    </row>
    <row r="1745">
      <c r="A1745" s="23">
        <f>IFERROR(__xludf.DUMMYFUNCTION("""COMPUTED_VALUE"""),44835.69293405092)</f>
        <v>44835.69293</v>
      </c>
      <c r="B1745" s="24" t="str">
        <f>IFERROR(__xludf.DUMMYFUNCTION("""COMPUTED_VALUE"""),"Claire")</f>
        <v>Claire</v>
      </c>
      <c r="C1745" s="24">
        <f>IFERROR(__xludf.DUMMYFUNCTION("""COMPUTED_VALUE"""),115.0)</f>
        <v>115</v>
      </c>
      <c r="D1745" s="24" t="str">
        <f>IFERROR(__xludf.DUMMYFUNCTION("""COMPUTED_VALUE"""),"Snacks")</f>
        <v>Snacks</v>
      </c>
      <c r="F1745" s="23">
        <f>IFERROR(__xludf.DUMMYFUNCTION("""COMPUTED_VALUE"""),44800.69144310185)</f>
        <v>44800.69144</v>
      </c>
      <c r="G1745" s="24" t="str">
        <f>IFERROR(__xludf.DUMMYFUNCTION("""COMPUTED_VALUE"""),"Claire")</f>
        <v>Claire</v>
      </c>
      <c r="H1745" s="24">
        <f>IFERROR(__xludf.DUMMYFUNCTION("""COMPUTED_VALUE"""),700.0)</f>
        <v>700</v>
      </c>
      <c r="I1745" s="24" t="str">
        <f>IFERROR(__xludf.DUMMYFUNCTION("""COMPUTED_VALUE"""),"Produce")</f>
        <v>Produce</v>
      </c>
    </row>
    <row r="1746">
      <c r="A1746" s="23">
        <f>IFERROR(__xludf.DUMMYFUNCTION("""COMPUTED_VALUE"""),44835.693334467585)</f>
        <v>44835.69333</v>
      </c>
      <c r="B1746" s="24" t="str">
        <f>IFERROR(__xludf.DUMMYFUNCTION("""COMPUTED_VALUE"""),"Claire")</f>
        <v>Claire</v>
      </c>
      <c r="C1746" s="24">
        <f>IFERROR(__xludf.DUMMYFUNCTION("""COMPUTED_VALUE"""),264.0)</f>
        <v>264</v>
      </c>
      <c r="D1746" s="24" t="str">
        <f>IFERROR(__xludf.DUMMYFUNCTION("""COMPUTED_VALUE"""),"Household")</f>
        <v>Household</v>
      </c>
      <c r="F1746" s="23">
        <f>IFERROR(__xludf.DUMMYFUNCTION("""COMPUTED_VALUE"""),44800.69222291667)</f>
        <v>44800.69222</v>
      </c>
      <c r="G1746" s="24" t="str">
        <f>IFERROR(__xludf.DUMMYFUNCTION("""COMPUTED_VALUE"""),"Claire")</f>
        <v>Claire</v>
      </c>
      <c r="H1746" s="24">
        <f>IFERROR(__xludf.DUMMYFUNCTION("""COMPUTED_VALUE"""),-160.0)</f>
        <v>-160</v>
      </c>
      <c r="I1746" s="24" t="str">
        <f>IFERROR(__xludf.DUMMYFUNCTION("""COMPUTED_VALUE"""),"Produce")</f>
        <v>Produce</v>
      </c>
    </row>
    <row r="1747">
      <c r="A1747" s="23">
        <f>IFERROR(__xludf.DUMMYFUNCTION("""COMPUTED_VALUE"""),44835.69397125)</f>
        <v>44835.69397</v>
      </c>
      <c r="B1747" s="24" t="str">
        <f>IFERROR(__xludf.DUMMYFUNCTION("""COMPUTED_VALUE"""),"Claire")</f>
        <v>Claire</v>
      </c>
      <c r="C1747" s="24">
        <f>IFERROR(__xludf.DUMMYFUNCTION("""COMPUTED_VALUE"""),73.0)</f>
        <v>73</v>
      </c>
      <c r="D1747" s="24" t="str">
        <f>IFERROR(__xludf.DUMMYFUNCTION("""COMPUTED_VALUE"""),"Oxo")</f>
        <v>Oxo</v>
      </c>
      <c r="F1747" s="23">
        <f>IFERROR(__xludf.DUMMYFUNCTION("""COMPUTED_VALUE"""),44800.69824596065)</f>
        <v>44800.69825</v>
      </c>
      <c r="G1747" s="24" t="str">
        <f>IFERROR(__xludf.DUMMYFUNCTION("""COMPUTED_VALUE"""),"Angeles Cortes")</f>
        <v>Angeles Cortes</v>
      </c>
      <c r="H1747" s="24">
        <f>IFERROR(__xludf.DUMMYFUNCTION("""COMPUTED_VALUE"""),19.0)</f>
        <v>19</v>
      </c>
      <c r="I1747" s="24"/>
    </row>
    <row r="1748">
      <c r="A1748" s="23">
        <f>IFERROR(__xludf.DUMMYFUNCTION("""COMPUTED_VALUE"""),44835.69465469907)</f>
        <v>44835.69465</v>
      </c>
      <c r="B1748" s="24" t="str">
        <f>IFERROR(__xludf.DUMMYFUNCTION("""COMPUTED_VALUE"""),"Claire")</f>
        <v>Claire</v>
      </c>
      <c r="C1748" s="24">
        <f>IFERROR(__xludf.DUMMYFUNCTION("""COMPUTED_VALUE"""),836.0)</f>
        <v>836</v>
      </c>
      <c r="D1748" s="24" t="str">
        <f>IFERROR(__xludf.DUMMYFUNCTION("""COMPUTED_VALUE"""),"Canned Goods")</f>
        <v>Canned Goods</v>
      </c>
      <c r="F1748" s="23">
        <f>IFERROR(__xludf.DUMMYFUNCTION("""COMPUTED_VALUE"""),44800.698570312496)</f>
        <v>44800.69857</v>
      </c>
      <c r="G1748" s="24" t="str">
        <f>IFERROR(__xludf.DUMMYFUNCTION("""COMPUTED_VALUE"""),"Emily Stucke")</f>
        <v>Emily Stucke</v>
      </c>
      <c r="H1748" s="24">
        <f>IFERROR(__xludf.DUMMYFUNCTION("""COMPUTED_VALUE"""),13.0)</f>
        <v>13</v>
      </c>
      <c r="I1748" s="24"/>
    </row>
    <row r="1749">
      <c r="A1749" s="23">
        <f>IFERROR(__xludf.DUMMYFUNCTION("""COMPUTED_VALUE"""),44835.69510077546)</f>
        <v>44835.6951</v>
      </c>
      <c r="B1749" s="24" t="str">
        <f>IFERROR(__xludf.DUMMYFUNCTION("""COMPUTED_VALUE"""),"Claire")</f>
        <v>Claire</v>
      </c>
      <c r="C1749" s="24">
        <f>IFERROR(__xludf.DUMMYFUNCTION("""COMPUTED_VALUE"""),392.0)</f>
        <v>392</v>
      </c>
      <c r="D1749" s="24" t="str">
        <f>IFERROR(__xludf.DUMMYFUNCTION("""COMPUTED_VALUE"""),"Meat [Raw]")</f>
        <v>Meat [Raw]</v>
      </c>
      <c r="F1749" s="23">
        <f>IFERROR(__xludf.DUMMYFUNCTION("""COMPUTED_VALUE"""),44800.69897795138)</f>
        <v>44800.69898</v>
      </c>
      <c r="G1749" s="24" t="str">
        <f>IFERROR(__xludf.DUMMYFUNCTION("""COMPUTED_VALUE"""),"Gildacastillo ")</f>
        <v>Gildacastillo </v>
      </c>
      <c r="H1749" s="24">
        <f>IFERROR(__xludf.DUMMYFUNCTION("""COMPUTED_VALUE"""),17.0)</f>
        <v>17</v>
      </c>
      <c r="I1749" s="24"/>
    </row>
    <row r="1750">
      <c r="A1750" s="23">
        <f>IFERROR(__xludf.DUMMYFUNCTION("""COMPUTED_VALUE"""),44835.69543159722)</f>
        <v>44835.69543</v>
      </c>
      <c r="B1750" s="24" t="str">
        <f>IFERROR(__xludf.DUMMYFUNCTION("""COMPUTED_VALUE"""),"Claire")</f>
        <v>Claire</v>
      </c>
      <c r="C1750" s="24">
        <f>IFERROR(__xludf.DUMMYFUNCTION("""COMPUTED_VALUE"""),239.0)</f>
        <v>239</v>
      </c>
      <c r="D1750" s="24" t="str">
        <f>IFERROR(__xludf.DUMMYFUNCTION("""COMPUTED_VALUE"""),"Canned Goods")</f>
        <v>Canned Goods</v>
      </c>
      <c r="F1750" s="23">
        <f>IFERROR(__xludf.DUMMYFUNCTION("""COMPUTED_VALUE"""),44800.699784675926)</f>
        <v>44800.69978</v>
      </c>
      <c r="G1750" s="24" t="str">
        <f>IFERROR(__xludf.DUMMYFUNCTION("""COMPUTED_VALUE"""),"nathan ")</f>
        <v>nathan </v>
      </c>
      <c r="H1750" s="24">
        <f>IFERROR(__xludf.DUMMYFUNCTION("""COMPUTED_VALUE"""),19.0)</f>
        <v>19</v>
      </c>
      <c r="I1750" s="24"/>
    </row>
    <row r="1751">
      <c r="A1751" s="23">
        <f>IFERROR(__xludf.DUMMYFUNCTION("""COMPUTED_VALUE"""),44835.69571903935)</f>
        <v>44835.69572</v>
      </c>
      <c r="B1751" s="24" t="str">
        <f>IFERROR(__xludf.DUMMYFUNCTION("""COMPUTED_VALUE"""),"Claire")</f>
        <v>Claire</v>
      </c>
      <c r="C1751" s="24">
        <f>IFERROR(__xludf.DUMMYFUNCTION("""COMPUTED_VALUE"""),505.0)</f>
        <v>505</v>
      </c>
      <c r="D1751" s="24" t="str">
        <f>IFERROR(__xludf.DUMMYFUNCTION("""COMPUTED_VALUE"""),"Pet Supplies")</f>
        <v>Pet Supplies</v>
      </c>
      <c r="F1751" s="23">
        <f>IFERROR(__xludf.DUMMYFUNCTION("""COMPUTED_VALUE"""),44800.699904814806)</f>
        <v>44800.6999</v>
      </c>
      <c r="G1751" s="24" t="str">
        <f>IFERROR(__xludf.DUMMYFUNCTION("""COMPUTED_VALUE"""),"Evelyn jiang")</f>
        <v>Evelyn jiang</v>
      </c>
      <c r="H1751" s="24">
        <f>IFERROR(__xludf.DUMMYFUNCTION("""COMPUTED_VALUE"""),20.0)</f>
        <v>20</v>
      </c>
      <c r="I1751" s="24"/>
    </row>
    <row r="1752">
      <c r="A1752" s="23">
        <f>IFERROR(__xludf.DUMMYFUNCTION("""COMPUTED_VALUE"""),44835.6959883449)</f>
        <v>44835.69599</v>
      </c>
      <c r="B1752" s="24" t="str">
        <f>IFERROR(__xludf.DUMMYFUNCTION("""COMPUTED_VALUE"""),"Claire")</f>
        <v>Claire</v>
      </c>
      <c r="C1752" s="24">
        <f>IFERROR(__xludf.DUMMYFUNCTION("""COMPUTED_VALUE"""),95.0)</f>
        <v>95</v>
      </c>
      <c r="D1752" s="24" t="str">
        <f>IFERROR(__xludf.DUMMYFUNCTION("""COMPUTED_VALUE"""),"Produce")</f>
        <v>Produce</v>
      </c>
      <c r="F1752" s="23">
        <f>IFERROR(__xludf.DUMMYFUNCTION("""COMPUTED_VALUE"""),44800.70970365741)</f>
        <v>44800.7097</v>
      </c>
      <c r="G1752" s="24" t="str">
        <f>IFERROR(__xludf.DUMMYFUNCTION("""COMPUTED_VALUE"""),"Dean Chien")</f>
        <v>Dean Chien</v>
      </c>
      <c r="H1752" s="24">
        <f>IFERROR(__xludf.DUMMYFUNCTION("""COMPUTED_VALUE"""),20.0)</f>
        <v>20</v>
      </c>
      <c r="I1752" s="24"/>
    </row>
    <row r="1753">
      <c r="A1753" s="23">
        <f>IFERROR(__xludf.DUMMYFUNCTION("""COMPUTED_VALUE"""),44835.69639358796)</f>
        <v>44835.69639</v>
      </c>
      <c r="B1753" s="24" t="str">
        <f>IFERROR(__xludf.DUMMYFUNCTION("""COMPUTED_VALUE"""),"Claire")</f>
        <v>Claire</v>
      </c>
      <c r="C1753" s="24">
        <f>IFERROR(__xludf.DUMMYFUNCTION("""COMPUTED_VALUE"""),-158.0)</f>
        <v>-158</v>
      </c>
      <c r="D1753" s="24" t="str">
        <f>IFERROR(__xludf.DUMMYFUNCTION("""COMPUTED_VALUE"""),"Household")</f>
        <v>Household</v>
      </c>
      <c r="F1753" s="23">
        <f>IFERROR(__xludf.DUMMYFUNCTION("""COMPUTED_VALUE"""),44800.71558072917)</f>
        <v>44800.71558</v>
      </c>
      <c r="G1753" s="24" t="str">
        <f>IFERROR(__xludf.DUMMYFUNCTION("""COMPUTED_VALUE"""),"Lynnette c")</f>
        <v>Lynnette c</v>
      </c>
      <c r="H1753" s="24">
        <f>IFERROR(__xludf.DUMMYFUNCTION("""COMPUTED_VALUE"""),21.0)</f>
        <v>21</v>
      </c>
      <c r="I1753" s="24"/>
    </row>
    <row r="1754">
      <c r="A1754" s="23">
        <f>IFERROR(__xludf.DUMMYFUNCTION("""COMPUTED_VALUE"""),44835.69662616898)</f>
        <v>44835.69663</v>
      </c>
      <c r="B1754" s="24" t="str">
        <f>IFERROR(__xludf.DUMMYFUNCTION("""COMPUTED_VALUE"""),"Claire")</f>
        <v>Claire</v>
      </c>
      <c r="C1754" s="24">
        <f>IFERROR(__xludf.DUMMYFUNCTION("""COMPUTED_VALUE"""),-415.0)</f>
        <v>-415</v>
      </c>
      <c r="D1754" s="24" t="str">
        <f>IFERROR(__xludf.DUMMYFUNCTION("""COMPUTED_VALUE"""),"Canned Goods")</f>
        <v>Canned Goods</v>
      </c>
      <c r="F1754" s="23">
        <f>IFERROR(__xludf.DUMMYFUNCTION("""COMPUTED_VALUE"""),44800.71577563657)</f>
        <v>44800.71578</v>
      </c>
      <c r="G1754" s="24" t="str">
        <f>IFERROR(__xludf.DUMMYFUNCTION("""COMPUTED_VALUE"""),"Lynnette c damage")</f>
        <v>Lynnette c damage</v>
      </c>
      <c r="H1754" s="24">
        <f>IFERROR(__xludf.DUMMYFUNCTION("""COMPUTED_VALUE"""),6.0)</f>
        <v>6</v>
      </c>
      <c r="I1754" s="24"/>
    </row>
    <row r="1755">
      <c r="A1755" s="23">
        <f>IFERROR(__xludf.DUMMYFUNCTION("""COMPUTED_VALUE"""),44835.69692652778)</f>
        <v>44835.69693</v>
      </c>
      <c r="B1755" s="24" t="str">
        <f>IFERROR(__xludf.DUMMYFUNCTION("""COMPUTED_VALUE"""),"Claire")</f>
        <v>Claire</v>
      </c>
      <c r="C1755" s="24">
        <f>IFERROR(__xludf.DUMMYFUNCTION("""COMPUTED_VALUE"""),-484.0)</f>
        <v>-484</v>
      </c>
      <c r="D1755" s="24" t="str">
        <f>IFERROR(__xludf.DUMMYFUNCTION("""COMPUTED_VALUE"""),"Cleaning Supplies")</f>
        <v>Cleaning Supplies</v>
      </c>
      <c r="F1755" s="23">
        <f>IFERROR(__xludf.DUMMYFUNCTION("""COMPUTED_VALUE"""),44800.72217248843)</f>
        <v>44800.72217</v>
      </c>
      <c r="G1755" s="24" t="str">
        <f>IFERROR(__xludf.DUMMYFUNCTION("""COMPUTED_VALUE"""),"Lynnette")</f>
        <v>Lynnette</v>
      </c>
      <c r="H1755" s="24">
        <f>IFERROR(__xludf.DUMMYFUNCTION("""COMPUTED_VALUE"""),3.0)</f>
        <v>3</v>
      </c>
      <c r="I1755" s="24"/>
    </row>
    <row r="1756">
      <c r="A1756" s="23">
        <f>IFERROR(__xludf.DUMMYFUNCTION("""COMPUTED_VALUE"""),44835.69717126157)</f>
        <v>44835.69717</v>
      </c>
      <c r="B1756" s="24" t="str">
        <f>IFERROR(__xludf.DUMMYFUNCTION("""COMPUTED_VALUE"""),"Claire")</f>
        <v>Claire</v>
      </c>
      <c r="C1756" s="24">
        <f>IFERROR(__xludf.DUMMYFUNCTION("""COMPUTED_VALUE"""),-300.0)</f>
        <v>-300</v>
      </c>
      <c r="D1756" s="24" t="str">
        <f>IFERROR(__xludf.DUMMYFUNCTION("""COMPUTED_VALUE"""),"Produce")</f>
        <v>Produce</v>
      </c>
      <c r="F1756" s="23">
        <f>IFERROR(__xludf.DUMMYFUNCTION("""COMPUTED_VALUE"""),44801.0)</f>
        <v>44801</v>
      </c>
      <c r="G1756" s="24" t="str">
        <f>IFERROR(__xludf.DUMMYFUNCTION("""COMPUTED_VALUE"""),"Claire")</f>
        <v>Claire</v>
      </c>
      <c r="H1756" s="24">
        <f>IFERROR(__xludf.DUMMYFUNCTION("""COMPUTED_VALUE"""),190.0)</f>
        <v>190</v>
      </c>
      <c r="I1756" s="24" t="str">
        <f>IFERROR(__xludf.DUMMYFUNCTION("""COMPUTED_VALUE"""),"Amazon")</f>
        <v>Amazon</v>
      </c>
    </row>
    <row r="1757">
      <c r="A1757" s="23">
        <f>IFERROR(__xludf.DUMMYFUNCTION("""COMPUTED_VALUE"""),44835.6973750926)</f>
        <v>44835.69738</v>
      </c>
      <c r="B1757" s="24" t="str">
        <f>IFERROR(__xludf.DUMMYFUNCTION("""COMPUTED_VALUE"""),"Claire")</f>
        <v>Claire</v>
      </c>
      <c r="C1757" s="24">
        <f>IFERROR(__xludf.DUMMYFUNCTION("""COMPUTED_VALUE"""),-16.0)</f>
        <v>-16</v>
      </c>
      <c r="D1757" s="24" t="str">
        <f>IFERROR(__xludf.DUMMYFUNCTION("""COMPUTED_VALUE"""),"Snacks")</f>
        <v>Snacks</v>
      </c>
      <c r="F1757" s="23">
        <f>IFERROR(__xludf.DUMMYFUNCTION("""COMPUTED_VALUE"""),44801.0)</f>
        <v>44801</v>
      </c>
      <c r="G1757" s="24" t="str">
        <f>IFERROR(__xludf.DUMMYFUNCTION("""COMPUTED_VALUE"""),"Claire")</f>
        <v>Claire</v>
      </c>
      <c r="H1757" s="24">
        <f>IFERROR(__xludf.DUMMYFUNCTION("""COMPUTED_VALUE"""),488.0)</f>
        <v>488</v>
      </c>
      <c r="I1757" s="24" t="str">
        <f>IFERROR(__xludf.DUMMYFUNCTION("""COMPUTED_VALUE"""),"Amazon")</f>
        <v>Amazon</v>
      </c>
    </row>
    <row r="1758">
      <c r="A1758" s="23">
        <f>IFERROR(__xludf.DUMMYFUNCTION("""COMPUTED_VALUE"""),44835.6976108912)</f>
        <v>44835.69761</v>
      </c>
      <c r="B1758" s="24" t="str">
        <f>IFERROR(__xludf.DUMMYFUNCTION("""COMPUTED_VALUE"""),"Claire")</f>
        <v>Claire</v>
      </c>
      <c r="C1758" s="24">
        <f>IFERROR(__xludf.DUMMYFUNCTION("""COMPUTED_VALUE"""),-30.0)</f>
        <v>-30</v>
      </c>
      <c r="D1758" s="24" t="str">
        <f>IFERROR(__xludf.DUMMYFUNCTION("""COMPUTED_VALUE"""),"Cleaning Supplies")</f>
        <v>Cleaning Supplies</v>
      </c>
      <c r="F1758" s="23">
        <f>IFERROR(__xludf.DUMMYFUNCTION("""COMPUTED_VALUE"""),44801.0)</f>
        <v>44801</v>
      </c>
      <c r="G1758" s="24" t="str">
        <f>IFERROR(__xludf.DUMMYFUNCTION("""COMPUTED_VALUE"""),"Alex Wang")</f>
        <v>Alex Wang</v>
      </c>
      <c r="H1758" s="24">
        <f>IFERROR(__xludf.DUMMYFUNCTION("""COMPUTED_VALUE"""),19.0)</f>
        <v>19</v>
      </c>
      <c r="I1758" s="24"/>
    </row>
    <row r="1759">
      <c r="A1759" s="23">
        <f>IFERROR(__xludf.DUMMYFUNCTION("""COMPUTED_VALUE"""),44835.69837298611)</f>
        <v>44835.69837</v>
      </c>
      <c r="B1759" s="24" t="str">
        <f>IFERROR(__xludf.DUMMYFUNCTION("""COMPUTED_VALUE"""),"Claire")</f>
        <v>Claire</v>
      </c>
      <c r="C1759" s="24">
        <f>IFERROR(__xludf.DUMMYFUNCTION("""COMPUTED_VALUE"""),-17.0)</f>
        <v>-17</v>
      </c>
      <c r="D1759" s="24" t="str">
        <f>IFERROR(__xludf.DUMMYFUNCTION("""COMPUTED_VALUE"""),"Oxo")</f>
        <v>Oxo</v>
      </c>
      <c r="F1759" s="23">
        <f>IFERROR(__xludf.DUMMYFUNCTION("""COMPUTED_VALUE"""),44801.0)</f>
        <v>44801</v>
      </c>
      <c r="G1759" s="24" t="str">
        <f>IFERROR(__xludf.DUMMYFUNCTION("""COMPUTED_VALUE"""),"Ladaisha Thompson")</f>
        <v>Ladaisha Thompson</v>
      </c>
      <c r="H1759" s="24">
        <f>IFERROR(__xludf.DUMMYFUNCTION("""COMPUTED_VALUE"""),20.0)</f>
        <v>20</v>
      </c>
      <c r="I1759" s="24"/>
    </row>
    <row r="1760">
      <c r="A1760" s="23">
        <f>IFERROR(__xludf.DUMMYFUNCTION("""COMPUTED_VALUE"""),44835.69909420139)</f>
        <v>44835.69909</v>
      </c>
      <c r="B1760" s="24" t="str">
        <f>IFERROR(__xludf.DUMMYFUNCTION("""COMPUTED_VALUE"""),"Claire")</f>
        <v>Claire</v>
      </c>
      <c r="C1760" s="24">
        <f>IFERROR(__xludf.DUMMYFUNCTION("""COMPUTED_VALUE"""),-28.0)</f>
        <v>-28</v>
      </c>
      <c r="D1760" s="24" t="str">
        <f>IFERROR(__xludf.DUMMYFUNCTION("""COMPUTED_VALUE"""),"Hum Toothbrush")</f>
        <v>Hum Toothbrush</v>
      </c>
      <c r="F1760" s="23">
        <f>IFERROR(__xludf.DUMMYFUNCTION("""COMPUTED_VALUE"""),44801.0)</f>
        <v>44801</v>
      </c>
      <c r="G1760" s="24" t="str">
        <f>IFERROR(__xludf.DUMMYFUNCTION("""COMPUTED_VALUE"""),"Ladaisha Thompson")</f>
        <v>Ladaisha Thompson</v>
      </c>
      <c r="H1760" s="24">
        <f>IFERROR(__xludf.DUMMYFUNCTION("""COMPUTED_VALUE"""),15.0)</f>
        <v>15</v>
      </c>
      <c r="I1760" s="24"/>
    </row>
    <row r="1761">
      <c r="A1761" s="23">
        <f>IFERROR(__xludf.DUMMYFUNCTION("""COMPUTED_VALUE"""),44835.70063175926)</f>
        <v>44835.70063</v>
      </c>
      <c r="B1761" s="24" t="str">
        <f>IFERROR(__xludf.DUMMYFUNCTION("""COMPUTED_VALUE"""),"Claire")</f>
        <v>Claire</v>
      </c>
      <c r="C1761" s="24">
        <f>IFERROR(__xludf.DUMMYFUNCTION("""COMPUTED_VALUE"""),-97.0)</f>
        <v>-97</v>
      </c>
      <c r="D1761" s="24" t="str">
        <f>IFERROR(__xludf.DUMMYFUNCTION("""COMPUTED_VALUE"""),"Sauces")</f>
        <v>Sauces</v>
      </c>
      <c r="F1761" s="23">
        <f>IFERROR(__xludf.DUMMYFUNCTION("""COMPUTED_VALUE"""),44801.0)</f>
        <v>44801</v>
      </c>
      <c r="G1761" s="24" t="str">
        <f>IFERROR(__xludf.DUMMYFUNCTION("""COMPUTED_VALUE"""),"Kendrick Johnson")</f>
        <v>Kendrick Johnson</v>
      </c>
      <c r="H1761" s="24">
        <f>IFERROR(__xludf.DUMMYFUNCTION("""COMPUTED_VALUE"""),9.0)</f>
        <v>9</v>
      </c>
      <c r="I1761" s="24"/>
    </row>
    <row r="1762">
      <c r="A1762" s="23">
        <f>IFERROR(__xludf.DUMMYFUNCTION("""COMPUTED_VALUE"""),44835.71590081019)</f>
        <v>44835.7159</v>
      </c>
      <c r="B1762" s="24" t="str">
        <f>IFERROR(__xludf.DUMMYFUNCTION("""COMPUTED_VALUE"""),"Lynnette c")</f>
        <v>Lynnette c</v>
      </c>
      <c r="C1762" s="24">
        <f>IFERROR(__xludf.DUMMYFUNCTION("""COMPUTED_VALUE"""),35.0)</f>
        <v>35</v>
      </c>
      <c r="D1762" s="24" t="str">
        <f>IFERROR(__xludf.DUMMYFUNCTION("""COMPUTED_VALUE"""),"Potatoes ")</f>
        <v>Potatoes </v>
      </c>
      <c r="F1762" s="23">
        <f>IFERROR(__xludf.DUMMYFUNCTION("""COMPUTED_VALUE"""),44801.0)</f>
        <v>44801</v>
      </c>
      <c r="G1762" s="24" t="str">
        <f>IFERROR(__xludf.DUMMYFUNCTION("""COMPUTED_VALUE"""),"Marci")</f>
        <v>Marci</v>
      </c>
      <c r="H1762" s="24">
        <f>IFERROR(__xludf.DUMMYFUNCTION("""COMPUTED_VALUE"""),19.0)</f>
        <v>19</v>
      </c>
      <c r="I1762" s="24"/>
    </row>
    <row r="1763">
      <c r="A1763" s="23">
        <f>IFERROR(__xludf.DUMMYFUNCTION("""COMPUTED_VALUE"""),44836.659014780096)</f>
        <v>44836.65901</v>
      </c>
      <c r="B1763" s="24" t="str">
        <f>IFERROR(__xludf.DUMMYFUNCTION("""COMPUTED_VALUE"""),"Opey")</f>
        <v>Opey</v>
      </c>
      <c r="C1763" s="24">
        <f>IFERROR(__xludf.DUMMYFUNCTION("""COMPUTED_VALUE"""),324.0)</f>
        <v>324</v>
      </c>
      <c r="D1763" s="24" t="str">
        <f>IFERROR(__xludf.DUMMYFUNCTION("""COMPUTED_VALUE"""),"Assorted Fridge")</f>
        <v>Assorted Fridge</v>
      </c>
      <c r="F1763" s="23">
        <f>IFERROR(__xludf.DUMMYFUNCTION("""COMPUTED_VALUE"""),44801.0)</f>
        <v>44801</v>
      </c>
      <c r="G1763" s="24" t="str">
        <f>IFERROR(__xludf.DUMMYFUNCTION("""COMPUTED_VALUE"""),"Marci")</f>
        <v>Marci</v>
      </c>
      <c r="H1763" s="24">
        <f>IFERROR(__xludf.DUMMYFUNCTION("""COMPUTED_VALUE"""),41.0)</f>
        <v>41</v>
      </c>
      <c r="I1763" s="24"/>
    </row>
    <row r="1764">
      <c r="A1764" s="23">
        <f>IFERROR(__xludf.DUMMYFUNCTION("""COMPUTED_VALUE"""),44836.65989525463)</f>
        <v>44836.6599</v>
      </c>
      <c r="B1764" s="24" t="str">
        <f>IFERROR(__xludf.DUMMYFUNCTION("""COMPUTED_VALUE"""),"Opey")</f>
        <v>Opey</v>
      </c>
      <c r="C1764" s="24">
        <f>IFERROR(__xludf.DUMMYFUNCTION("""COMPUTED_VALUE"""),183.0)</f>
        <v>183</v>
      </c>
      <c r="D1764" s="24" t="str">
        <f>IFERROR(__xludf.DUMMYFUNCTION("""COMPUTED_VALUE"""),"Assorted Fridge")</f>
        <v>Assorted Fridge</v>
      </c>
      <c r="F1764" s="23">
        <f>IFERROR(__xludf.DUMMYFUNCTION("""COMPUTED_VALUE"""),44801.0)</f>
        <v>44801</v>
      </c>
      <c r="G1764" s="24" t="str">
        <f>IFERROR(__xludf.DUMMYFUNCTION("""COMPUTED_VALUE"""),"Denise Wilkins")</f>
        <v>Denise Wilkins</v>
      </c>
      <c r="H1764" s="24">
        <f>IFERROR(__xludf.DUMMYFUNCTION("""COMPUTED_VALUE"""),13.0)</f>
        <v>13</v>
      </c>
      <c r="I1764" s="24"/>
    </row>
    <row r="1765">
      <c r="A1765" s="23">
        <f>IFERROR(__xludf.DUMMYFUNCTION("""COMPUTED_VALUE"""),44836.0)</f>
        <v>44836</v>
      </c>
      <c r="B1765" s="24" t="str">
        <f>IFERROR(__xludf.DUMMYFUNCTION("""COMPUTED_VALUE"""),"Claire")</f>
        <v>Claire</v>
      </c>
      <c r="C1765" s="24">
        <f>IFERROR(__xludf.DUMMYFUNCTION("""COMPUTED_VALUE"""),90.0)</f>
        <v>90</v>
      </c>
      <c r="D1765" s="24" t="str">
        <f>IFERROR(__xludf.DUMMYFUNCTION("""COMPUTED_VALUE"""),"Assorted Dry")</f>
        <v>Assorted Dry</v>
      </c>
      <c r="F1765" s="23">
        <f>IFERROR(__xludf.DUMMYFUNCTION("""COMPUTED_VALUE"""),44801.0)</f>
        <v>44801</v>
      </c>
      <c r="G1765" s="24" t="str">
        <f>IFERROR(__xludf.DUMMYFUNCTION("""COMPUTED_VALUE"""),"Denise Wilkins")</f>
        <v>Denise Wilkins</v>
      </c>
      <c r="H1765" s="24">
        <f>IFERROR(__xludf.DUMMYFUNCTION("""COMPUTED_VALUE"""),16.0)</f>
        <v>16</v>
      </c>
      <c r="I1765" s="24" t="str">
        <f>IFERROR(__xludf.DUMMYFUNCTION("""COMPUTED_VALUE"""),"Produce")</f>
        <v>Produce</v>
      </c>
    </row>
    <row r="1766">
      <c r="A1766" s="23">
        <f>IFERROR(__xludf.DUMMYFUNCTION("""COMPUTED_VALUE"""),44836.0)</f>
        <v>44836</v>
      </c>
      <c r="B1766" s="24" t="str">
        <f>IFERROR(__xludf.DUMMYFUNCTION("""COMPUTED_VALUE"""),"Claire")</f>
        <v>Claire</v>
      </c>
      <c r="C1766" s="24">
        <f>IFERROR(__xludf.DUMMYFUNCTION("""COMPUTED_VALUE"""),330.0)</f>
        <v>330</v>
      </c>
      <c r="D1766" s="24" t="str">
        <f>IFERROR(__xludf.DUMMYFUNCTION("""COMPUTED_VALUE"""),"Assorted Dry")</f>
        <v>Assorted Dry</v>
      </c>
      <c r="F1766" s="23">
        <f>IFERROR(__xludf.DUMMYFUNCTION("""COMPUTED_VALUE"""),44801.0)</f>
        <v>44801</v>
      </c>
      <c r="G1766" s="24" t="str">
        <f>IFERROR(__xludf.DUMMYFUNCTION("""COMPUTED_VALUE"""),"Treston Codrington")</f>
        <v>Treston Codrington</v>
      </c>
      <c r="H1766" s="24">
        <f>IFERROR(__xludf.DUMMYFUNCTION("""COMPUTED_VALUE"""),20.0)</f>
        <v>20</v>
      </c>
      <c r="I1766" s="24"/>
    </row>
    <row r="1767">
      <c r="A1767" s="23">
        <f>IFERROR(__xludf.DUMMYFUNCTION("""COMPUTED_VALUE"""),44836.0)</f>
        <v>44836</v>
      </c>
      <c r="B1767" s="24" t="str">
        <f>IFERROR(__xludf.DUMMYFUNCTION("""COMPUTED_VALUE"""),"Claire")</f>
        <v>Claire</v>
      </c>
      <c r="C1767" s="24">
        <f>IFERROR(__xludf.DUMMYFUNCTION("""COMPUTED_VALUE"""),47.0)</f>
        <v>47</v>
      </c>
      <c r="D1767" s="24" t="str">
        <f>IFERROR(__xludf.DUMMYFUNCTION("""COMPUTED_VALUE"""),"Produce")</f>
        <v>Produce</v>
      </c>
      <c r="F1767" s="23">
        <f>IFERROR(__xludf.DUMMYFUNCTION("""COMPUTED_VALUE"""),44801.0)</f>
        <v>44801</v>
      </c>
      <c r="G1767" s="24" t="str">
        <f>IFERROR(__xludf.DUMMYFUNCTION("""COMPUTED_VALUE"""),"Kaneesha Bailey")</f>
        <v>Kaneesha Bailey</v>
      </c>
      <c r="H1767" s="24">
        <f>IFERROR(__xludf.DUMMYFUNCTION("""COMPUTED_VALUE"""),20.0)</f>
        <v>20</v>
      </c>
      <c r="I1767" s="24"/>
    </row>
    <row r="1768">
      <c r="A1768" s="23">
        <f>IFERROR(__xludf.DUMMYFUNCTION("""COMPUTED_VALUE"""),44836.0)</f>
        <v>44836</v>
      </c>
      <c r="B1768" s="24" t="str">
        <f>IFERROR(__xludf.DUMMYFUNCTION("""COMPUTED_VALUE"""),"Claire")</f>
        <v>Claire</v>
      </c>
      <c r="C1768" s="24">
        <f>IFERROR(__xludf.DUMMYFUNCTION("""COMPUTED_VALUE"""),14.0)</f>
        <v>14</v>
      </c>
      <c r="D1768" s="24" t="str">
        <f>IFERROR(__xludf.DUMMYFUNCTION("""COMPUTED_VALUE"""),"Produce")</f>
        <v>Produce</v>
      </c>
      <c r="F1768" s="23">
        <f>IFERROR(__xludf.DUMMYFUNCTION("""COMPUTED_VALUE"""),44801.0)</f>
        <v>44801</v>
      </c>
      <c r="G1768" s="24" t="str">
        <f>IFERROR(__xludf.DUMMYFUNCTION("""COMPUTED_VALUE"""),"Kaneesha Bailey")</f>
        <v>Kaneesha Bailey</v>
      </c>
      <c r="H1768" s="24">
        <f>IFERROR(__xludf.DUMMYFUNCTION("""COMPUTED_VALUE"""),28.0)</f>
        <v>28</v>
      </c>
      <c r="I1768" s="24"/>
    </row>
    <row r="1769">
      <c r="A1769" s="23">
        <f>IFERROR(__xludf.DUMMYFUNCTION("""COMPUTED_VALUE"""),44836.0)</f>
        <v>44836</v>
      </c>
      <c r="B1769" s="24" t="str">
        <f>IFERROR(__xludf.DUMMYFUNCTION("""COMPUTED_VALUE"""),"Claire")</f>
        <v>Claire</v>
      </c>
      <c r="C1769" s="24">
        <f>IFERROR(__xludf.DUMMYFUNCTION("""COMPUTED_VALUE"""),150.0)</f>
        <v>150</v>
      </c>
      <c r="D1769" s="24" t="str">
        <f>IFERROR(__xludf.DUMMYFUNCTION("""COMPUTED_VALUE"""),"Produce")</f>
        <v>Produce</v>
      </c>
      <c r="F1769" s="23">
        <f>IFERROR(__xludf.DUMMYFUNCTION("""COMPUTED_VALUE"""),44801.0)</f>
        <v>44801</v>
      </c>
      <c r="G1769" s="24" t="str">
        <f>IFERROR(__xludf.DUMMYFUNCTION("""COMPUTED_VALUE"""),"Yulia")</f>
        <v>Yulia</v>
      </c>
      <c r="H1769" s="24">
        <f>IFERROR(__xludf.DUMMYFUNCTION("""COMPUTED_VALUE"""),19.0)</f>
        <v>19</v>
      </c>
      <c r="I1769" s="24"/>
    </row>
    <row r="1770">
      <c r="A1770" s="23">
        <f>IFERROR(__xludf.DUMMYFUNCTION("""COMPUTED_VALUE"""),44836.0)</f>
        <v>44836</v>
      </c>
      <c r="B1770" s="24" t="str">
        <f>IFERROR(__xludf.DUMMYFUNCTION("""COMPUTED_VALUE"""),"Claire")</f>
        <v>Claire</v>
      </c>
      <c r="C1770" s="24">
        <f>IFERROR(__xludf.DUMMYFUNCTION("""COMPUTED_VALUE"""),139.0)</f>
        <v>139</v>
      </c>
      <c r="D1770" s="24" t="str">
        <f>IFERROR(__xludf.DUMMYFUNCTION("""COMPUTED_VALUE"""),"Snacks")</f>
        <v>Snacks</v>
      </c>
      <c r="F1770" s="23">
        <f>IFERROR(__xludf.DUMMYFUNCTION("""COMPUTED_VALUE"""),44801.55130744213)</f>
        <v>44801.55131</v>
      </c>
      <c r="G1770" s="24" t="str">
        <f>IFERROR(__xludf.DUMMYFUNCTION("""COMPUTED_VALUE"""),"Dorja ")</f>
        <v>Dorja </v>
      </c>
      <c r="H1770" s="24">
        <f>IFERROR(__xludf.DUMMYFUNCTION("""COMPUTED_VALUE"""),549.0)</f>
        <v>549</v>
      </c>
      <c r="I1770" s="24" t="str">
        <f>IFERROR(__xludf.DUMMYFUNCTION("""COMPUTED_VALUE"""),"Amazon")</f>
        <v>Amazon</v>
      </c>
    </row>
    <row r="1771">
      <c r="A1771" s="23">
        <f>IFERROR(__xludf.DUMMYFUNCTION("""COMPUTED_VALUE"""),44836.0)</f>
        <v>44836</v>
      </c>
      <c r="B1771" s="24" t="str">
        <f>IFERROR(__xludf.DUMMYFUNCTION("""COMPUTED_VALUE"""),"Claire")</f>
        <v>Claire</v>
      </c>
      <c r="C1771" s="24">
        <f>IFERROR(__xludf.DUMMYFUNCTION("""COMPUTED_VALUE"""),474.0)</f>
        <v>474</v>
      </c>
      <c r="D1771" s="24" t="str">
        <f>IFERROR(__xludf.DUMMYFUNCTION("""COMPUTED_VALUE"""),"Produce")</f>
        <v>Produce</v>
      </c>
      <c r="F1771" s="23">
        <f>IFERROR(__xludf.DUMMYFUNCTION("""COMPUTED_VALUE"""),44801.55469326389)</f>
        <v>44801.55469</v>
      </c>
      <c r="G1771" s="24" t="str">
        <f>IFERROR(__xludf.DUMMYFUNCTION("""COMPUTED_VALUE"""),"Dorja ")</f>
        <v>Dorja </v>
      </c>
      <c r="H1771" s="24">
        <f>IFERROR(__xludf.DUMMYFUNCTION("""COMPUTED_VALUE"""),704.0)</f>
        <v>704</v>
      </c>
      <c r="I1771" s="24" t="str">
        <f>IFERROR(__xludf.DUMMYFUNCTION("""COMPUTED_VALUE"""),"Amazon")</f>
        <v>Amazon</v>
      </c>
    </row>
    <row r="1772">
      <c r="A1772" s="23">
        <f>IFERROR(__xludf.DUMMYFUNCTION("""COMPUTED_VALUE"""),44836.0)</f>
        <v>44836</v>
      </c>
      <c r="B1772" s="24" t="str">
        <f>IFERROR(__xludf.DUMMYFUNCTION("""COMPUTED_VALUE"""),"Claire")</f>
        <v>Claire</v>
      </c>
      <c r="C1772" s="24">
        <f>IFERROR(__xludf.DUMMYFUNCTION("""COMPUTED_VALUE"""),135.0)</f>
        <v>135</v>
      </c>
      <c r="D1772" s="24" t="str">
        <f>IFERROR(__xludf.DUMMYFUNCTION("""COMPUTED_VALUE"""),"Hand sanitizer")</f>
        <v>Hand sanitizer</v>
      </c>
      <c r="F1772" s="23">
        <f>IFERROR(__xludf.DUMMYFUNCTION("""COMPUTED_VALUE"""),44801.66771525463)</f>
        <v>44801.66772</v>
      </c>
      <c r="G1772" s="24" t="str">
        <f>IFERROR(__xludf.DUMMYFUNCTION("""COMPUTED_VALUE"""),"JC")</f>
        <v>JC</v>
      </c>
      <c r="H1772" s="24">
        <f>IFERROR(__xludf.DUMMYFUNCTION("""COMPUTED_VALUE"""),145.0)</f>
        <v>145</v>
      </c>
      <c r="I1772" s="24" t="str">
        <f>IFERROR(__xludf.DUMMYFUNCTION("""COMPUTED_VALUE"""),"Assorted Dry")</f>
        <v>Assorted Dry</v>
      </c>
    </row>
    <row r="1773">
      <c r="A1773" s="23">
        <f>IFERROR(__xludf.DUMMYFUNCTION("""COMPUTED_VALUE"""),44836.0)</f>
        <v>44836</v>
      </c>
      <c r="B1773" s="24" t="str">
        <f>IFERROR(__xludf.DUMMYFUNCTION("""COMPUTED_VALUE"""),"Claire")</f>
        <v>Claire</v>
      </c>
      <c r="C1773" s="24">
        <f>IFERROR(__xludf.DUMMYFUNCTION("""COMPUTED_VALUE"""),135.0)</f>
        <v>135</v>
      </c>
      <c r="D1773" s="24" t="str">
        <f>IFERROR(__xludf.DUMMYFUNCTION("""COMPUTED_VALUE"""),"Hand sanitizer")</f>
        <v>Hand sanitizer</v>
      </c>
      <c r="F1773" s="23">
        <f>IFERROR(__xludf.DUMMYFUNCTION("""COMPUTED_VALUE"""),44801.6680012963)</f>
        <v>44801.668</v>
      </c>
      <c r="G1773" s="24" t="str">
        <f>IFERROR(__xludf.DUMMYFUNCTION("""COMPUTED_VALUE"""),"JC")</f>
        <v>JC</v>
      </c>
      <c r="H1773" s="24">
        <f>IFERROR(__xludf.DUMMYFUNCTION("""COMPUTED_VALUE"""),269.0)</f>
        <v>269</v>
      </c>
      <c r="I1773" s="24" t="str">
        <f>IFERROR(__xludf.DUMMYFUNCTION("""COMPUTED_VALUE"""),"Produce")</f>
        <v>Produce</v>
      </c>
    </row>
    <row r="1774">
      <c r="A1774" s="23">
        <f>IFERROR(__xludf.DUMMYFUNCTION("""COMPUTED_VALUE"""),44836.0)</f>
        <v>44836</v>
      </c>
      <c r="B1774" s="24" t="str">
        <f>IFERROR(__xludf.DUMMYFUNCTION("""COMPUTED_VALUE"""),"Claire")</f>
        <v>Claire</v>
      </c>
      <c r="C1774" s="24">
        <f>IFERROR(__xludf.DUMMYFUNCTION("""COMPUTED_VALUE"""),73.0)</f>
        <v>73</v>
      </c>
      <c r="D1774" s="24" t="str">
        <f>IFERROR(__xludf.DUMMYFUNCTION("""COMPUTED_VALUE"""),"Assorted Dry")</f>
        <v>Assorted Dry</v>
      </c>
      <c r="F1774" s="23">
        <f>IFERROR(__xludf.DUMMYFUNCTION("""COMPUTED_VALUE"""),44801.668336504634)</f>
        <v>44801.66834</v>
      </c>
      <c r="G1774" s="24" t="str">
        <f>IFERROR(__xludf.DUMMYFUNCTION("""COMPUTED_VALUE"""),"JC")</f>
        <v>JC</v>
      </c>
      <c r="H1774" s="24">
        <f>IFERROR(__xludf.DUMMYFUNCTION("""COMPUTED_VALUE"""),148.0)</f>
        <v>148</v>
      </c>
      <c r="I1774" s="24" t="str">
        <f>IFERROR(__xludf.DUMMYFUNCTION("""COMPUTED_VALUE"""),"Produce")</f>
        <v>Produce</v>
      </c>
    </row>
    <row r="1775">
      <c r="A1775" s="23">
        <f>IFERROR(__xludf.DUMMYFUNCTION("""COMPUTED_VALUE"""),44836.0)</f>
        <v>44836</v>
      </c>
      <c r="B1775" s="24" t="str">
        <f>IFERROR(__xludf.DUMMYFUNCTION("""COMPUTED_VALUE"""),"Claire")</f>
        <v>Claire</v>
      </c>
      <c r="C1775" s="24">
        <f>IFERROR(__xludf.DUMMYFUNCTION("""COMPUTED_VALUE"""),88.0)</f>
        <v>88</v>
      </c>
      <c r="D1775" s="24" t="str">
        <f>IFERROR(__xludf.DUMMYFUNCTION("""COMPUTED_VALUE"""),"Produce")</f>
        <v>Produce</v>
      </c>
      <c r="F1775" s="23">
        <f>IFERROR(__xludf.DUMMYFUNCTION("""COMPUTED_VALUE"""),44801.668550601855)</f>
        <v>44801.66855</v>
      </c>
      <c r="G1775" s="24" t="str">
        <f>IFERROR(__xludf.DUMMYFUNCTION("""COMPUTED_VALUE"""),"JC")</f>
        <v>JC</v>
      </c>
      <c r="H1775" s="24">
        <f>IFERROR(__xludf.DUMMYFUNCTION("""COMPUTED_VALUE"""),36.0)</f>
        <v>36</v>
      </c>
      <c r="I1775" s="24" t="str">
        <f>IFERROR(__xludf.DUMMYFUNCTION("""COMPUTED_VALUE"""),"Produce")</f>
        <v>Produce</v>
      </c>
    </row>
    <row r="1776">
      <c r="A1776" s="23">
        <f>IFERROR(__xludf.DUMMYFUNCTION("""COMPUTED_VALUE"""),44836.0)</f>
        <v>44836</v>
      </c>
      <c r="B1776" s="24" t="str">
        <f>IFERROR(__xludf.DUMMYFUNCTION("""COMPUTED_VALUE"""),"Claire")</f>
        <v>Claire</v>
      </c>
      <c r="C1776" s="24">
        <f>IFERROR(__xludf.DUMMYFUNCTION("""COMPUTED_VALUE"""),93.0)</f>
        <v>93</v>
      </c>
      <c r="D1776" s="24" t="str">
        <f>IFERROR(__xludf.DUMMYFUNCTION("""COMPUTED_VALUE"""),"Produce")</f>
        <v>Produce</v>
      </c>
      <c r="F1776" s="23">
        <f>IFERROR(__xludf.DUMMYFUNCTION("""COMPUTED_VALUE"""),44801.66988337963)</f>
        <v>44801.66988</v>
      </c>
      <c r="G1776" s="24" t="str">
        <f>IFERROR(__xludf.DUMMYFUNCTION("""COMPUTED_VALUE"""),"JC")</f>
        <v>JC</v>
      </c>
      <c r="H1776" s="24">
        <f>IFERROR(__xludf.DUMMYFUNCTION("""COMPUTED_VALUE"""),145.0)</f>
        <v>145</v>
      </c>
      <c r="I1776" s="24" t="str">
        <f>IFERROR(__xludf.DUMMYFUNCTION("""COMPUTED_VALUE"""),"Baby Supplies")</f>
        <v>Baby Supplies</v>
      </c>
    </row>
    <row r="1777">
      <c r="A1777" s="23">
        <f>IFERROR(__xludf.DUMMYFUNCTION("""COMPUTED_VALUE"""),44836.0)</f>
        <v>44836</v>
      </c>
      <c r="B1777" s="24" t="str">
        <f>IFERROR(__xludf.DUMMYFUNCTION("""COMPUTED_VALUE"""),"Claire")</f>
        <v>Claire</v>
      </c>
      <c r="C1777" s="24">
        <f>IFERROR(__xludf.DUMMYFUNCTION("""COMPUTED_VALUE"""),20.0)</f>
        <v>20</v>
      </c>
      <c r="D1777" s="24" t="str">
        <f>IFERROR(__xludf.DUMMYFUNCTION("""COMPUTED_VALUE"""),"Produce")</f>
        <v>Produce</v>
      </c>
      <c r="F1777" s="23">
        <f>IFERROR(__xludf.DUMMYFUNCTION("""COMPUTED_VALUE"""),44801.67017106481)</f>
        <v>44801.67017</v>
      </c>
      <c r="G1777" s="24" t="str">
        <f>IFERROR(__xludf.DUMMYFUNCTION("""COMPUTED_VALUE"""),"JC")</f>
        <v>JC</v>
      </c>
      <c r="H1777" s="24">
        <f>IFERROR(__xludf.DUMMYFUNCTION("""COMPUTED_VALUE"""),67.0)</f>
        <v>67</v>
      </c>
      <c r="I1777" s="24" t="str">
        <f>IFERROR(__xludf.DUMMYFUNCTION("""COMPUTED_VALUE"""),"Paper Supplies")</f>
        <v>Paper Supplies</v>
      </c>
    </row>
    <row r="1778">
      <c r="A1778" s="23">
        <f>IFERROR(__xludf.DUMMYFUNCTION("""COMPUTED_VALUE"""),44836.679248657405)</f>
        <v>44836.67925</v>
      </c>
      <c r="B1778" s="24" t="str">
        <f>IFERROR(__xludf.DUMMYFUNCTION("""COMPUTED_VALUE"""),"Opey")</f>
        <v>Opey</v>
      </c>
      <c r="C1778" s="24">
        <f>IFERROR(__xludf.DUMMYFUNCTION("""COMPUTED_VALUE"""),101.0)</f>
        <v>101</v>
      </c>
      <c r="D1778" s="24" t="str">
        <f>IFERROR(__xludf.DUMMYFUNCTION("""COMPUTED_VALUE"""),"Assorted Dry")</f>
        <v>Assorted Dry</v>
      </c>
      <c r="F1778" s="23">
        <f>IFERROR(__xludf.DUMMYFUNCTION("""COMPUTED_VALUE"""),44801.67061341435)</f>
        <v>44801.67061</v>
      </c>
      <c r="G1778" s="24" t="str">
        <f>IFERROR(__xludf.DUMMYFUNCTION("""COMPUTED_VALUE"""),"JC")</f>
        <v>JC</v>
      </c>
      <c r="H1778" s="24">
        <f>IFERROR(__xludf.DUMMYFUNCTION("""COMPUTED_VALUE"""),796.0)</f>
        <v>796</v>
      </c>
      <c r="I1778" s="24" t="str">
        <f>IFERROR(__xludf.DUMMYFUNCTION("""COMPUTED_VALUE"""),"Drinks [Dry]")</f>
        <v>Drinks [Dry]</v>
      </c>
    </row>
    <row r="1779">
      <c r="A1779" s="23">
        <f>IFERROR(__xludf.DUMMYFUNCTION("""COMPUTED_VALUE"""),44836.680184756944)</f>
        <v>44836.68018</v>
      </c>
      <c r="B1779" s="24" t="str">
        <f>IFERROR(__xludf.DUMMYFUNCTION("""COMPUTED_VALUE"""),"Opey")</f>
        <v>Opey</v>
      </c>
      <c r="C1779" s="24">
        <f>IFERROR(__xludf.DUMMYFUNCTION("""COMPUTED_VALUE"""),176.0)</f>
        <v>176</v>
      </c>
      <c r="D1779" s="24" t="str">
        <f>IFERROR(__xludf.DUMMYFUNCTION("""COMPUTED_VALUE"""),"Mixed")</f>
        <v>Mixed</v>
      </c>
      <c r="F1779" s="23">
        <f>IFERROR(__xludf.DUMMYFUNCTION("""COMPUTED_VALUE"""),44801.67105456019)</f>
        <v>44801.67105</v>
      </c>
      <c r="G1779" s="24" t="str">
        <f>IFERROR(__xludf.DUMMYFUNCTION("""COMPUTED_VALUE"""),"JC")</f>
        <v>JC</v>
      </c>
      <c r="H1779" s="24">
        <f>IFERROR(__xludf.DUMMYFUNCTION("""COMPUTED_VALUE"""),299.0)</f>
        <v>299</v>
      </c>
      <c r="I1779" s="24" t="str">
        <f>IFERROR(__xludf.DUMMYFUNCTION("""COMPUTED_VALUE"""),"Assorted Fridge")</f>
        <v>Assorted Fridge</v>
      </c>
    </row>
    <row r="1780">
      <c r="A1780" s="23">
        <f>IFERROR(__xludf.DUMMYFUNCTION("""COMPUTED_VALUE"""),44839.82323513889)</f>
        <v>44839.82324</v>
      </c>
      <c r="B1780" s="24" t="str">
        <f>IFERROR(__xludf.DUMMYFUNCTION("""COMPUTED_VALUE"""),"Lynnette C")</f>
        <v>Lynnette C</v>
      </c>
      <c r="C1780" s="24">
        <f>IFERROR(__xludf.DUMMYFUNCTION("""COMPUTED_VALUE"""),37.0)</f>
        <v>37</v>
      </c>
      <c r="D1780" s="24" t="str">
        <f>IFERROR(__xludf.DUMMYFUNCTION("""COMPUTED_VALUE"""),"Water bottle")</f>
        <v>Water bottle</v>
      </c>
      <c r="F1780" s="23">
        <f>IFERROR(__xludf.DUMMYFUNCTION("""COMPUTED_VALUE"""),44801.67168998843)</f>
        <v>44801.67169</v>
      </c>
      <c r="G1780" s="24" t="str">
        <f>IFERROR(__xludf.DUMMYFUNCTION("""COMPUTED_VALUE"""),"JC")</f>
        <v>JC</v>
      </c>
      <c r="H1780" s="24">
        <f>IFERROR(__xludf.DUMMYFUNCTION("""COMPUTED_VALUE"""),89.0)</f>
        <v>89</v>
      </c>
      <c r="I1780" s="24" t="str">
        <f>IFERROR(__xludf.DUMMYFUNCTION("""COMPUTED_VALUE"""),"Household")</f>
        <v>Household</v>
      </c>
    </row>
    <row r="1781">
      <c r="A1781" s="23">
        <f>IFERROR(__xludf.DUMMYFUNCTION("""COMPUTED_VALUE"""),44840.69247663195)</f>
        <v>44840.69248</v>
      </c>
      <c r="B1781" s="24" t="str">
        <f>IFERROR(__xludf.DUMMYFUNCTION("""COMPUTED_VALUE"""),"Claire")</f>
        <v>Claire</v>
      </c>
      <c r="C1781" s="24">
        <f>IFERROR(__xludf.DUMMYFUNCTION("""COMPUTED_VALUE"""),1173.0)</f>
        <v>1173</v>
      </c>
      <c r="D1781" s="24" t="str">
        <f>IFERROR(__xludf.DUMMYFUNCTION("""COMPUTED_VALUE"""),"Hand sanitizer")</f>
        <v>Hand sanitizer</v>
      </c>
      <c r="F1781" s="23">
        <f>IFERROR(__xludf.DUMMYFUNCTION("""COMPUTED_VALUE"""),44801.67248932871)</f>
        <v>44801.67249</v>
      </c>
      <c r="G1781" s="24" t="str">
        <f>IFERROR(__xludf.DUMMYFUNCTION("""COMPUTED_VALUE"""),"JC")</f>
        <v>JC</v>
      </c>
      <c r="H1781" s="24">
        <f>IFERROR(__xludf.DUMMYFUNCTION("""COMPUTED_VALUE"""),181.0)</f>
        <v>181</v>
      </c>
      <c r="I1781" s="24" t="str">
        <f>IFERROR(__xludf.DUMMYFUNCTION("""COMPUTED_VALUE"""),"Grains (rice, pasta, etc.)")</f>
        <v>Grains (rice, pasta, etc.)</v>
      </c>
    </row>
    <row r="1782">
      <c r="A1782" s="23">
        <f>IFERROR(__xludf.DUMMYFUNCTION("""COMPUTED_VALUE"""),44840.6931512037)</f>
        <v>44840.69315</v>
      </c>
      <c r="B1782" s="24" t="str">
        <f>IFERROR(__xludf.DUMMYFUNCTION("""COMPUTED_VALUE"""),"Claire")</f>
        <v>Claire</v>
      </c>
      <c r="C1782" s="24">
        <f>IFERROR(__xludf.DUMMYFUNCTION("""COMPUTED_VALUE"""),97.0)</f>
        <v>97</v>
      </c>
      <c r="D1782" s="24" t="str">
        <f>IFERROR(__xludf.DUMMYFUNCTION("""COMPUTED_VALUE"""),"Produce")</f>
        <v>Produce</v>
      </c>
      <c r="F1782" s="23">
        <f>IFERROR(__xludf.DUMMYFUNCTION("""COMPUTED_VALUE"""),44801.67260984954)</f>
        <v>44801.67261</v>
      </c>
      <c r="G1782" s="24" t="str">
        <f>IFERROR(__xludf.DUMMYFUNCTION("""COMPUTED_VALUE"""),"Dorja ")</f>
        <v>Dorja </v>
      </c>
      <c r="H1782" s="24">
        <f>IFERROR(__xludf.DUMMYFUNCTION("""COMPUTED_VALUE"""),23.0)</f>
        <v>23</v>
      </c>
      <c r="I1782" s="24"/>
    </row>
    <row r="1783">
      <c r="A1783" s="23">
        <f>IFERROR(__xludf.DUMMYFUNCTION("""COMPUTED_VALUE"""),44840.693446550926)</f>
        <v>44840.69345</v>
      </c>
      <c r="B1783" s="24" t="str">
        <f>IFERROR(__xludf.DUMMYFUNCTION("""COMPUTED_VALUE"""),"Claire")</f>
        <v>Claire</v>
      </c>
      <c r="C1783" s="24">
        <f>IFERROR(__xludf.DUMMYFUNCTION("""COMPUTED_VALUE"""),290.0)</f>
        <v>290</v>
      </c>
      <c r="D1783" s="24" t="str">
        <f>IFERROR(__xludf.DUMMYFUNCTION("""COMPUTED_VALUE"""),"Assorted Dry")</f>
        <v>Assorted Dry</v>
      </c>
      <c r="F1783" s="23">
        <f>IFERROR(__xludf.DUMMYFUNCTION("""COMPUTED_VALUE"""),44801.672983125005)</f>
        <v>44801.67298</v>
      </c>
      <c r="G1783" s="24" t="str">
        <f>IFERROR(__xludf.DUMMYFUNCTION("""COMPUTED_VALUE"""),"JC")</f>
        <v>JC</v>
      </c>
      <c r="H1783" s="24">
        <f>IFERROR(__xludf.DUMMYFUNCTION("""COMPUTED_VALUE"""),41.0)</f>
        <v>41</v>
      </c>
      <c r="I1783" s="24" t="str">
        <f>IFERROR(__xludf.DUMMYFUNCTION("""COMPUTED_VALUE"""),"Assorted Dry")</f>
        <v>Assorted Dry</v>
      </c>
    </row>
    <row r="1784">
      <c r="A1784" s="23">
        <f>IFERROR(__xludf.DUMMYFUNCTION("""COMPUTED_VALUE"""),44840.6940471412)</f>
        <v>44840.69405</v>
      </c>
      <c r="B1784" s="24" t="str">
        <f>IFERROR(__xludf.DUMMYFUNCTION("""COMPUTED_VALUE"""),"Claire")</f>
        <v>Claire</v>
      </c>
      <c r="C1784" s="24">
        <f>IFERROR(__xludf.DUMMYFUNCTION("""COMPUTED_VALUE"""),135.0)</f>
        <v>135</v>
      </c>
      <c r="D1784" s="24" t="str">
        <f>IFERROR(__xludf.DUMMYFUNCTION("""COMPUTED_VALUE"""),"Assorted Dry")</f>
        <v>Assorted Dry</v>
      </c>
      <c r="F1784" s="23">
        <f>IFERROR(__xludf.DUMMYFUNCTION("""COMPUTED_VALUE"""),44801.67340731482)</f>
        <v>44801.67341</v>
      </c>
      <c r="G1784" s="24" t="str">
        <f>IFERROR(__xludf.DUMMYFUNCTION("""COMPUTED_VALUE"""),"JC")</f>
        <v>JC</v>
      </c>
      <c r="H1784" s="24">
        <f>IFERROR(__xludf.DUMMYFUNCTION("""COMPUTED_VALUE"""),60.0)</f>
        <v>60</v>
      </c>
      <c r="I1784" s="24" t="str">
        <f>IFERROR(__xludf.DUMMYFUNCTION("""COMPUTED_VALUE"""),"Produce")</f>
        <v>Produce</v>
      </c>
    </row>
    <row r="1785">
      <c r="A1785" s="23">
        <f>IFERROR(__xludf.DUMMYFUNCTION("""COMPUTED_VALUE"""),44840.69528827546)</f>
        <v>44840.69529</v>
      </c>
      <c r="B1785" s="24" t="str">
        <f>IFERROR(__xludf.DUMMYFUNCTION("""COMPUTED_VALUE"""),"Claire")</f>
        <v>Claire</v>
      </c>
      <c r="C1785" s="24">
        <f>IFERROR(__xludf.DUMMYFUNCTION("""COMPUTED_VALUE"""),39.0)</f>
        <v>39</v>
      </c>
      <c r="D1785" s="24" t="str">
        <f>IFERROR(__xludf.DUMMYFUNCTION("""COMPUTED_VALUE"""),"Frozen [Not Meat]")</f>
        <v>Frozen [Not Meat]</v>
      </c>
      <c r="F1785" s="23">
        <f>IFERROR(__xludf.DUMMYFUNCTION("""COMPUTED_VALUE"""),44801.677677395826)</f>
        <v>44801.67768</v>
      </c>
      <c r="G1785" s="24" t="str">
        <f>IFERROR(__xludf.DUMMYFUNCTION("""COMPUTED_VALUE"""),"Yulia")</f>
        <v>Yulia</v>
      </c>
      <c r="H1785" s="24">
        <f>IFERROR(__xludf.DUMMYFUNCTION("""COMPUTED_VALUE"""),19.0)</f>
        <v>19</v>
      </c>
      <c r="I1785" s="24"/>
    </row>
    <row r="1786">
      <c r="A1786" s="23">
        <f>IFERROR(__xludf.DUMMYFUNCTION("""COMPUTED_VALUE"""),44842.485319722226)</f>
        <v>44842.48532</v>
      </c>
      <c r="B1786" s="24" t="str">
        <f>IFERROR(__xludf.DUMMYFUNCTION("""COMPUTED_VALUE"""),"Claire")</f>
        <v>Claire</v>
      </c>
      <c r="C1786" s="24">
        <f>IFERROR(__xludf.DUMMYFUNCTION("""COMPUTED_VALUE"""),436.0)</f>
        <v>436</v>
      </c>
      <c r="D1786" s="24" t="str">
        <f>IFERROR(__xludf.DUMMYFUNCTION("""COMPUTED_VALUE"""),"Produce")</f>
        <v>Produce</v>
      </c>
      <c r="F1786" s="23">
        <f>IFERROR(__xludf.DUMMYFUNCTION("""COMPUTED_VALUE"""),44801.685628761574)</f>
        <v>44801.68563</v>
      </c>
      <c r="G1786" s="24" t="str">
        <f>IFERROR(__xludf.DUMMYFUNCTION("""COMPUTED_VALUE"""),"James williams")</f>
        <v>James williams</v>
      </c>
      <c r="H1786" s="24">
        <f>IFERROR(__xludf.DUMMYFUNCTION("""COMPUTED_VALUE"""),13.0)</f>
        <v>13</v>
      </c>
      <c r="I1786" s="24"/>
    </row>
    <row r="1787">
      <c r="A1787" s="23">
        <f>IFERROR(__xludf.DUMMYFUNCTION("""COMPUTED_VALUE"""),44842.485535381944)</f>
        <v>44842.48554</v>
      </c>
      <c r="B1787" s="24" t="str">
        <f>IFERROR(__xludf.DUMMYFUNCTION("""COMPUTED_VALUE"""),"Claire")</f>
        <v>Claire</v>
      </c>
      <c r="C1787" s="24">
        <f>IFERROR(__xludf.DUMMYFUNCTION("""COMPUTED_VALUE"""),452.0)</f>
        <v>452</v>
      </c>
      <c r="D1787" s="24" t="str">
        <f>IFERROR(__xludf.DUMMYFUNCTION("""COMPUTED_VALUE"""),"Produce")</f>
        <v>Produce</v>
      </c>
      <c r="F1787" s="23">
        <f>IFERROR(__xludf.DUMMYFUNCTION("""COMPUTED_VALUE"""),44801.69943163195)</f>
        <v>44801.69943</v>
      </c>
      <c r="G1787" s="24" t="str">
        <f>IFERROR(__xludf.DUMMYFUNCTION("""COMPUTED_VALUE"""),"Zoe")</f>
        <v>Zoe</v>
      </c>
      <c r="H1787" s="24">
        <f>IFERROR(__xludf.DUMMYFUNCTION("""COMPUTED_VALUE"""),20.0)</f>
        <v>20</v>
      </c>
      <c r="I1787" s="24"/>
    </row>
    <row r="1788">
      <c r="A1788" s="23">
        <f>IFERROR(__xludf.DUMMYFUNCTION("""COMPUTED_VALUE"""),44842.48664004629)</f>
        <v>44842.48664</v>
      </c>
      <c r="B1788" s="24" t="str">
        <f>IFERROR(__xludf.DUMMYFUNCTION("""COMPUTED_VALUE"""),"Claire")</f>
        <v>Claire</v>
      </c>
      <c r="C1788" s="24">
        <f>IFERROR(__xludf.DUMMYFUNCTION("""COMPUTED_VALUE"""),59.0)</f>
        <v>59</v>
      </c>
      <c r="D1788" s="24" t="str">
        <f>IFERROR(__xludf.DUMMYFUNCTION("""COMPUTED_VALUE"""),"Snacks")</f>
        <v>Snacks</v>
      </c>
      <c r="F1788" s="23">
        <f>IFERROR(__xludf.DUMMYFUNCTION("""COMPUTED_VALUE"""),44801.710805138886)</f>
        <v>44801.71081</v>
      </c>
      <c r="G1788" s="24" t="str">
        <f>IFERROR(__xludf.DUMMYFUNCTION("""COMPUTED_VALUE"""),"Opey")</f>
        <v>Opey</v>
      </c>
      <c r="H1788" s="24">
        <f>IFERROR(__xludf.DUMMYFUNCTION("""COMPUTED_VALUE"""),13.0)</f>
        <v>13</v>
      </c>
      <c r="I1788" s="24"/>
    </row>
    <row r="1789">
      <c r="A1789" s="23">
        <f>IFERROR(__xludf.DUMMYFUNCTION("""COMPUTED_VALUE"""),44842.48692542824)</f>
        <v>44842.48693</v>
      </c>
      <c r="B1789" s="24" t="str">
        <f>IFERROR(__xludf.DUMMYFUNCTION("""COMPUTED_VALUE"""),"Claire")</f>
        <v>Claire</v>
      </c>
      <c r="C1789" s="24">
        <f>IFERROR(__xludf.DUMMYFUNCTION("""COMPUTED_VALUE"""),260.0)</f>
        <v>260</v>
      </c>
      <c r="D1789" s="24" t="str">
        <f>IFERROR(__xludf.DUMMYFUNCTION("""COMPUTED_VALUE"""),"Assorted Dry")</f>
        <v>Assorted Dry</v>
      </c>
      <c r="F1789" s="23">
        <f>IFERROR(__xludf.DUMMYFUNCTION("""COMPUTED_VALUE"""),44801.73175392362)</f>
        <v>44801.73175</v>
      </c>
      <c r="G1789" s="24" t="str">
        <f>IFERROR(__xludf.DUMMYFUNCTION("""COMPUTED_VALUE"""),"Dorja ")</f>
        <v>Dorja </v>
      </c>
      <c r="H1789" s="24">
        <f>IFERROR(__xludf.DUMMYFUNCTION("""COMPUTED_VALUE"""),36.0)</f>
        <v>36</v>
      </c>
      <c r="I1789" s="24"/>
    </row>
    <row r="1790">
      <c r="A1790" s="23">
        <f>IFERROR(__xludf.DUMMYFUNCTION("""COMPUTED_VALUE"""),44842.48715158565)</f>
        <v>44842.48715</v>
      </c>
      <c r="B1790" s="24" t="str">
        <f>IFERROR(__xludf.DUMMYFUNCTION("""COMPUTED_VALUE"""),"Claire")</f>
        <v>Claire</v>
      </c>
      <c r="C1790" s="24">
        <f>IFERROR(__xludf.DUMMYFUNCTION("""COMPUTED_VALUE"""),158.0)</f>
        <v>158</v>
      </c>
      <c r="D1790" s="24" t="str">
        <f>IFERROR(__xludf.DUMMYFUNCTION("""COMPUTED_VALUE"""),"Assorted Dry")</f>
        <v>Assorted Dry</v>
      </c>
      <c r="F1790" s="23">
        <f>IFERROR(__xludf.DUMMYFUNCTION("""COMPUTED_VALUE"""),44803.0)</f>
        <v>44803</v>
      </c>
      <c r="G1790" s="24" t="str">
        <f>IFERROR(__xludf.DUMMYFUNCTION("""COMPUTED_VALUE"""),"Barbara Jordan")</f>
        <v>Barbara Jordan</v>
      </c>
      <c r="H1790" s="24">
        <f>IFERROR(__xludf.DUMMYFUNCTION("""COMPUTED_VALUE"""),19.0)</f>
        <v>19</v>
      </c>
      <c r="I1790" s="24"/>
    </row>
    <row r="1791">
      <c r="A1791" s="23">
        <f>IFERROR(__xludf.DUMMYFUNCTION("""COMPUTED_VALUE"""),44842.48736532407)</f>
        <v>44842.48737</v>
      </c>
      <c r="B1791" s="24" t="str">
        <f>IFERROR(__xludf.DUMMYFUNCTION("""COMPUTED_VALUE"""),"Claire")</f>
        <v>Claire</v>
      </c>
      <c r="C1791" s="24">
        <f>IFERROR(__xludf.DUMMYFUNCTION("""COMPUTED_VALUE"""),77.0)</f>
        <v>77</v>
      </c>
      <c r="D1791" s="24" t="str">
        <f>IFERROR(__xludf.DUMMYFUNCTION("""COMPUTED_VALUE"""),"Snacks")</f>
        <v>Snacks</v>
      </c>
      <c r="F1791" s="23">
        <f>IFERROR(__xludf.DUMMYFUNCTION("""COMPUTED_VALUE"""),44803.0)</f>
        <v>44803</v>
      </c>
      <c r="G1791" s="24" t="str">
        <f>IFERROR(__xludf.DUMMYFUNCTION("""COMPUTED_VALUE"""),"Barbara Jordan")</f>
        <v>Barbara Jordan</v>
      </c>
      <c r="H1791" s="24">
        <f>IFERROR(__xludf.DUMMYFUNCTION("""COMPUTED_VALUE"""),15.0)</f>
        <v>15</v>
      </c>
      <c r="I1791" s="24"/>
    </row>
    <row r="1792">
      <c r="A1792" s="23">
        <f>IFERROR(__xludf.DUMMYFUNCTION("""COMPUTED_VALUE"""),44842.66991700231)</f>
        <v>44842.66992</v>
      </c>
      <c r="B1792" s="24" t="str">
        <f>IFERROR(__xludf.DUMMYFUNCTION("""COMPUTED_VALUE"""),"Claire")</f>
        <v>Claire</v>
      </c>
      <c r="C1792" s="24">
        <f>IFERROR(__xludf.DUMMYFUNCTION("""COMPUTED_VALUE"""),362.0)</f>
        <v>362</v>
      </c>
      <c r="D1792" s="24" t="str">
        <f>IFERROR(__xludf.DUMMYFUNCTION("""COMPUTED_VALUE"""),"Produce")</f>
        <v>Produce</v>
      </c>
      <c r="F1792" s="23">
        <f>IFERROR(__xludf.DUMMYFUNCTION("""COMPUTED_VALUE"""),44803.0)</f>
        <v>44803</v>
      </c>
      <c r="G1792" s="24" t="str">
        <f>IFERROR(__xludf.DUMMYFUNCTION("""COMPUTED_VALUE"""),"Debra Davis")</f>
        <v>Debra Davis</v>
      </c>
      <c r="H1792" s="24">
        <f>IFERROR(__xludf.DUMMYFUNCTION("""COMPUTED_VALUE"""),20.0)</f>
        <v>20</v>
      </c>
      <c r="I1792" s="24"/>
    </row>
    <row r="1793">
      <c r="A1793" s="23">
        <f>IFERROR(__xludf.DUMMYFUNCTION("""COMPUTED_VALUE"""),44842.67035305555)</f>
        <v>44842.67035</v>
      </c>
      <c r="B1793" s="24" t="str">
        <f>IFERROR(__xludf.DUMMYFUNCTION("""COMPUTED_VALUE"""),"Claire")</f>
        <v>Claire</v>
      </c>
      <c r="C1793" s="24">
        <f>IFERROR(__xludf.DUMMYFUNCTION("""COMPUTED_VALUE"""),617.0)</f>
        <v>617</v>
      </c>
      <c r="D1793" s="24" t="str">
        <f>IFERROR(__xludf.DUMMYFUNCTION("""COMPUTED_VALUE"""),"Produce")</f>
        <v>Produce</v>
      </c>
      <c r="F1793" s="23">
        <f>IFERROR(__xludf.DUMMYFUNCTION("""COMPUTED_VALUE"""),44803.685249050926)</f>
        <v>44803.68525</v>
      </c>
      <c r="G1793" s="24" t="str">
        <f>IFERROR(__xludf.DUMMYFUNCTION("""COMPUTED_VALUE"""),"Jean.  ExtrA")</f>
        <v>Jean.  ExtrA</v>
      </c>
      <c r="H1793" s="24">
        <f>IFERROR(__xludf.DUMMYFUNCTION("""COMPUTED_VALUE"""),44.0)</f>
        <v>44</v>
      </c>
      <c r="I1793" s="24"/>
    </row>
    <row r="1794">
      <c r="A1794" s="23">
        <f>IFERROR(__xludf.DUMMYFUNCTION("""COMPUTED_VALUE"""),44842.67090983796)</f>
        <v>44842.67091</v>
      </c>
      <c r="B1794" s="24" t="str">
        <f>IFERROR(__xludf.DUMMYFUNCTION("""COMPUTED_VALUE"""),"Claire")</f>
        <v>Claire</v>
      </c>
      <c r="C1794" s="24">
        <f>IFERROR(__xludf.DUMMYFUNCTION("""COMPUTED_VALUE"""),527.0)</f>
        <v>527</v>
      </c>
      <c r="D1794" s="24" t="str">
        <f>IFERROR(__xludf.DUMMYFUNCTION("""COMPUTED_VALUE"""),"Produce")</f>
        <v>Produce</v>
      </c>
      <c r="F1794" s="23">
        <f>IFERROR(__xludf.DUMMYFUNCTION("""COMPUTED_VALUE"""),44803.68547571759)</f>
        <v>44803.68548</v>
      </c>
      <c r="G1794" s="24" t="str">
        <f>IFERROR(__xludf.DUMMYFUNCTION("""COMPUTED_VALUE"""),"Jean")</f>
        <v>Jean</v>
      </c>
      <c r="H1794" s="24">
        <f>IFERROR(__xludf.DUMMYFUNCTION("""COMPUTED_VALUE"""),29.0)</f>
        <v>29</v>
      </c>
      <c r="I1794" s="24"/>
    </row>
    <row r="1795">
      <c r="A1795" s="23">
        <f>IFERROR(__xludf.DUMMYFUNCTION("""COMPUTED_VALUE"""),44842.67113634259)</f>
        <v>44842.67114</v>
      </c>
      <c r="B1795" s="24" t="str">
        <f>IFERROR(__xludf.DUMMYFUNCTION("""COMPUTED_VALUE"""),"Claire")</f>
        <v>Claire</v>
      </c>
      <c r="C1795" s="24">
        <f>IFERROR(__xludf.DUMMYFUNCTION("""COMPUTED_VALUE"""),143.0)</f>
        <v>143</v>
      </c>
      <c r="D1795" s="24" t="str">
        <f>IFERROR(__xludf.DUMMYFUNCTION("""COMPUTED_VALUE"""),"Snacks")</f>
        <v>Snacks</v>
      </c>
      <c r="F1795" s="23">
        <f>IFERROR(__xludf.DUMMYFUNCTION("""COMPUTED_VALUE"""),44803.68754303241)</f>
        <v>44803.68754</v>
      </c>
      <c r="G1795" s="24" t="str">
        <f>IFERROR(__xludf.DUMMYFUNCTION("""COMPUTED_VALUE"""),"Debra Davis")</f>
        <v>Debra Davis</v>
      </c>
      <c r="H1795" s="24">
        <f>IFERROR(__xludf.DUMMYFUNCTION("""COMPUTED_VALUE"""),18.0)</f>
        <v>18</v>
      </c>
      <c r="I1795" s="24"/>
    </row>
    <row r="1796">
      <c r="A1796" s="23">
        <f>IFERROR(__xludf.DUMMYFUNCTION("""COMPUTED_VALUE"""),44842.67141236111)</f>
        <v>44842.67141</v>
      </c>
      <c r="B1796" s="24" t="str">
        <f>IFERROR(__xludf.DUMMYFUNCTION("""COMPUTED_VALUE"""),"Claire")</f>
        <v>Claire</v>
      </c>
      <c r="C1796" s="24">
        <f>IFERROR(__xludf.DUMMYFUNCTION("""COMPUTED_VALUE"""),119.0)</f>
        <v>119</v>
      </c>
      <c r="D1796" s="24" t="str">
        <f>IFERROR(__xludf.DUMMYFUNCTION("""COMPUTED_VALUE"""),"Personal Care")</f>
        <v>Personal Care</v>
      </c>
      <c r="F1796" s="23">
        <f>IFERROR(__xludf.DUMMYFUNCTION("""COMPUTED_VALUE"""),44803.68841592593)</f>
        <v>44803.68842</v>
      </c>
      <c r="G1796" s="24" t="str">
        <f>IFERROR(__xludf.DUMMYFUNCTION("""COMPUTED_VALUE"""),"Kaneesha")</f>
        <v>Kaneesha</v>
      </c>
      <c r="H1796" s="24">
        <f>IFERROR(__xludf.DUMMYFUNCTION("""COMPUTED_VALUE"""),20.0)</f>
        <v>20</v>
      </c>
      <c r="I1796" s="24"/>
    </row>
    <row r="1797">
      <c r="A1797" s="23">
        <f>IFERROR(__xludf.DUMMYFUNCTION("""COMPUTED_VALUE"""),44842.67164362269)</f>
        <v>44842.67164</v>
      </c>
      <c r="B1797" s="24" t="str">
        <f>IFERROR(__xludf.DUMMYFUNCTION("""COMPUTED_VALUE"""),"Claire")</f>
        <v>Claire</v>
      </c>
      <c r="C1797" s="24">
        <f>IFERROR(__xludf.DUMMYFUNCTION("""COMPUTED_VALUE"""),136.0)</f>
        <v>136</v>
      </c>
      <c r="D1797" s="24" t="str">
        <f>IFERROR(__xludf.DUMMYFUNCTION("""COMPUTED_VALUE"""),"Snacks")</f>
        <v>Snacks</v>
      </c>
      <c r="F1797" s="23">
        <f>IFERROR(__xludf.DUMMYFUNCTION("""COMPUTED_VALUE"""),44803.69128733797)</f>
        <v>44803.69129</v>
      </c>
      <c r="G1797" s="24" t="str">
        <f>IFERROR(__xludf.DUMMYFUNCTION("""COMPUTED_VALUE"""),"Kaneesha (expired) ")</f>
        <v>Kaneesha (expired) </v>
      </c>
      <c r="H1797" s="24">
        <f>IFERROR(__xludf.DUMMYFUNCTION("""COMPUTED_VALUE"""),16.0)</f>
        <v>16</v>
      </c>
      <c r="I1797" s="24"/>
    </row>
    <row r="1798">
      <c r="A1798" s="23">
        <f>IFERROR(__xludf.DUMMYFUNCTION("""COMPUTED_VALUE"""),44842.671886435186)</f>
        <v>44842.67189</v>
      </c>
      <c r="B1798" s="24" t="str">
        <f>IFERROR(__xludf.DUMMYFUNCTION("""COMPUTED_VALUE"""),"Claire")</f>
        <v>Claire</v>
      </c>
      <c r="C1798" s="24">
        <f>IFERROR(__xludf.DUMMYFUNCTION("""COMPUTED_VALUE"""),34.0)</f>
        <v>34</v>
      </c>
      <c r="D1798" s="24" t="str">
        <f>IFERROR(__xludf.DUMMYFUNCTION("""COMPUTED_VALUE"""),"Snacks")</f>
        <v>Snacks</v>
      </c>
      <c r="F1798" s="23">
        <f>IFERROR(__xludf.DUMMYFUNCTION("""COMPUTED_VALUE"""),44804.0)</f>
        <v>44804</v>
      </c>
      <c r="G1798" s="24" t="str">
        <f>IFERROR(__xludf.DUMMYFUNCTION("""COMPUTED_VALUE"""),"Lynette c")</f>
        <v>Lynette c</v>
      </c>
      <c r="H1798" s="24">
        <f>IFERROR(__xludf.DUMMYFUNCTION("""COMPUTED_VALUE"""),14.0)</f>
        <v>14</v>
      </c>
      <c r="I1798" s="24"/>
    </row>
    <row r="1799">
      <c r="A1799" s="23">
        <f>IFERROR(__xludf.DUMMYFUNCTION("""COMPUTED_VALUE"""),44842.67225135417)</f>
        <v>44842.67225</v>
      </c>
      <c r="B1799" s="24" t="str">
        <f>IFERROR(__xludf.DUMMYFUNCTION("""COMPUTED_VALUE"""),"Claire")</f>
        <v>Claire</v>
      </c>
      <c r="C1799" s="24">
        <f>IFERROR(__xludf.DUMMYFUNCTION("""COMPUTED_VALUE"""),332.0)</f>
        <v>332</v>
      </c>
      <c r="D1799" s="24" t="str">
        <f>IFERROR(__xludf.DUMMYFUNCTION("""COMPUTED_VALUE"""),"Household")</f>
        <v>Household</v>
      </c>
      <c r="F1799" s="23">
        <f>IFERROR(__xludf.DUMMYFUNCTION("""COMPUTED_VALUE"""),44804.0)</f>
        <v>44804</v>
      </c>
      <c r="G1799" s="24" t="str">
        <f>IFERROR(__xludf.DUMMYFUNCTION("""COMPUTED_VALUE"""),"Lynette c")</f>
        <v>Lynette c</v>
      </c>
      <c r="H1799" s="24">
        <f>IFERROR(__xludf.DUMMYFUNCTION("""COMPUTED_VALUE"""),15.0)</f>
        <v>15</v>
      </c>
      <c r="I1799" s="24"/>
    </row>
    <row r="1800">
      <c r="A1800" s="23">
        <f>IFERROR(__xludf.DUMMYFUNCTION("""COMPUTED_VALUE"""),44842.67242740741)</f>
        <v>44842.67243</v>
      </c>
      <c r="B1800" s="24" t="str">
        <f>IFERROR(__xludf.DUMMYFUNCTION("""COMPUTED_VALUE"""),"Claire")</f>
        <v>Claire</v>
      </c>
      <c r="C1800" s="24">
        <f>IFERROR(__xludf.DUMMYFUNCTION("""COMPUTED_VALUE"""),599.0)</f>
        <v>599</v>
      </c>
      <c r="D1800" s="24" t="str">
        <f>IFERROR(__xludf.DUMMYFUNCTION("""COMPUTED_VALUE"""),"Condiments")</f>
        <v>Condiments</v>
      </c>
      <c r="F1800" s="23">
        <f>IFERROR(__xludf.DUMMYFUNCTION("""COMPUTED_VALUE"""),44804.0)</f>
        <v>44804</v>
      </c>
      <c r="G1800" s="24" t="str">
        <f>IFERROR(__xludf.DUMMYFUNCTION("""COMPUTED_VALUE"""),"Cybil Bailey")</f>
        <v>Cybil Bailey</v>
      </c>
      <c r="H1800" s="24">
        <f>IFERROR(__xludf.DUMMYFUNCTION("""COMPUTED_VALUE"""),9.0)</f>
        <v>9</v>
      </c>
      <c r="I1800" s="24"/>
    </row>
    <row r="1801">
      <c r="A1801" s="23">
        <f>IFERROR(__xludf.DUMMYFUNCTION("""COMPUTED_VALUE"""),44842.67260480324)</f>
        <v>44842.6726</v>
      </c>
      <c r="B1801" s="24" t="str">
        <f>IFERROR(__xludf.DUMMYFUNCTION("""COMPUTED_VALUE"""),"Claire")</f>
        <v>Claire</v>
      </c>
      <c r="C1801" s="24">
        <f>IFERROR(__xludf.DUMMYFUNCTION("""COMPUTED_VALUE"""),102.0)</f>
        <v>102</v>
      </c>
      <c r="D1801" s="24" t="str">
        <f>IFERROR(__xludf.DUMMYFUNCTION("""COMPUTED_VALUE"""),"Produce")</f>
        <v>Produce</v>
      </c>
      <c r="F1801" s="23">
        <f>IFERROR(__xludf.DUMMYFUNCTION("""COMPUTED_VALUE"""),44804.0)</f>
        <v>44804</v>
      </c>
      <c r="G1801" s="24" t="str">
        <f>IFERROR(__xludf.DUMMYFUNCTION("""COMPUTED_VALUE"""),"Tyrese Springer")</f>
        <v>Tyrese Springer</v>
      </c>
      <c r="H1801" s="24">
        <f>IFERROR(__xludf.DUMMYFUNCTION("""COMPUTED_VALUE"""),18.0)</f>
        <v>18</v>
      </c>
      <c r="I1801" s="24"/>
    </row>
    <row r="1802">
      <c r="A1802" s="23">
        <f>IFERROR(__xludf.DUMMYFUNCTION("""COMPUTED_VALUE"""),44842.672853738426)</f>
        <v>44842.67285</v>
      </c>
      <c r="B1802" s="24" t="str">
        <f>IFERROR(__xludf.DUMMYFUNCTION("""COMPUTED_VALUE"""),"Claire")</f>
        <v>Claire</v>
      </c>
      <c r="C1802" s="24">
        <f>IFERROR(__xludf.DUMMYFUNCTION("""COMPUTED_VALUE"""),227.0)</f>
        <v>227</v>
      </c>
      <c r="D1802" s="24" t="str">
        <f>IFERROR(__xludf.DUMMYFUNCTION("""COMPUTED_VALUE"""),"Meat [Raw]")</f>
        <v>Meat [Raw]</v>
      </c>
      <c r="F1802" s="23">
        <f>IFERROR(__xludf.DUMMYFUNCTION("""COMPUTED_VALUE"""),44804.0)</f>
        <v>44804</v>
      </c>
      <c r="G1802" s="24" t="str">
        <f>IFERROR(__xludf.DUMMYFUNCTION("""COMPUTED_VALUE"""),"Alana Thomas")</f>
        <v>Alana Thomas</v>
      </c>
      <c r="H1802" s="24">
        <f>IFERROR(__xludf.DUMMYFUNCTION("""COMPUTED_VALUE"""),20.0)</f>
        <v>20</v>
      </c>
      <c r="I1802" s="24"/>
    </row>
    <row r="1803">
      <c r="A1803" s="23">
        <f>IFERROR(__xludf.DUMMYFUNCTION("""COMPUTED_VALUE"""),44842.67360902778)</f>
        <v>44842.67361</v>
      </c>
      <c r="B1803" s="24" t="str">
        <f>IFERROR(__xludf.DUMMYFUNCTION("""COMPUTED_VALUE"""),"Claire")</f>
        <v>Claire</v>
      </c>
      <c r="C1803" s="24">
        <f>IFERROR(__xludf.DUMMYFUNCTION("""COMPUTED_VALUE"""),160.0)</f>
        <v>160</v>
      </c>
      <c r="D1803" s="24" t="str">
        <f>IFERROR(__xludf.DUMMYFUNCTION("""COMPUTED_VALUE"""),"Household")</f>
        <v>Household</v>
      </c>
      <c r="F1803" s="23">
        <f>IFERROR(__xludf.DUMMYFUNCTION("""COMPUTED_VALUE"""),44804.0)</f>
        <v>44804</v>
      </c>
      <c r="G1803" s="24" t="str">
        <f>IFERROR(__xludf.DUMMYFUNCTION("""COMPUTED_VALUE"""),"Julia Buckson")</f>
        <v>Julia Buckson</v>
      </c>
      <c r="H1803" s="24">
        <f>IFERROR(__xludf.DUMMYFUNCTION("""COMPUTED_VALUE"""),20.0)</f>
        <v>20</v>
      </c>
      <c r="I1803" s="24"/>
    </row>
    <row r="1804">
      <c r="A1804" s="23">
        <f>IFERROR(__xludf.DUMMYFUNCTION("""COMPUTED_VALUE"""),44842.67385945602)</f>
        <v>44842.67386</v>
      </c>
      <c r="B1804" s="24" t="str">
        <f>IFERROR(__xludf.DUMMYFUNCTION("""COMPUTED_VALUE"""),"Claire")</f>
        <v>Claire</v>
      </c>
      <c r="C1804" s="24">
        <f>IFERROR(__xludf.DUMMYFUNCTION("""COMPUTED_VALUE"""),324.0)</f>
        <v>324</v>
      </c>
      <c r="D1804" s="24" t="str">
        <f>IFERROR(__xludf.DUMMYFUNCTION("""COMPUTED_VALUE"""),"Condiments")</f>
        <v>Condiments</v>
      </c>
      <c r="F1804" s="23">
        <f>IFERROR(__xludf.DUMMYFUNCTION("""COMPUTED_VALUE"""),44804.0)</f>
        <v>44804</v>
      </c>
      <c r="G1804" s="24" t="str">
        <f>IFERROR(__xludf.DUMMYFUNCTION("""COMPUTED_VALUE"""),"Sharron Robinson")</f>
        <v>Sharron Robinson</v>
      </c>
      <c r="H1804" s="24">
        <f>IFERROR(__xludf.DUMMYFUNCTION("""COMPUTED_VALUE"""),20.0)</f>
        <v>20</v>
      </c>
      <c r="I1804" s="24"/>
    </row>
    <row r="1805">
      <c r="A1805" s="23">
        <f>IFERROR(__xludf.DUMMYFUNCTION("""COMPUTED_VALUE"""),44842.67405780093)</f>
        <v>44842.67406</v>
      </c>
      <c r="B1805" s="24" t="str">
        <f>IFERROR(__xludf.DUMMYFUNCTION("""COMPUTED_VALUE"""),"Claire")</f>
        <v>Claire</v>
      </c>
      <c r="C1805" s="24">
        <f>IFERROR(__xludf.DUMMYFUNCTION("""COMPUTED_VALUE"""),433.0)</f>
        <v>433</v>
      </c>
      <c r="D1805" s="24" t="str">
        <f>IFERROR(__xludf.DUMMYFUNCTION("""COMPUTED_VALUE"""),"Cleaning Supplies")</f>
        <v>Cleaning Supplies</v>
      </c>
      <c r="F1805" s="23">
        <f>IFERROR(__xludf.DUMMYFUNCTION("""COMPUTED_VALUE"""),44804.0)</f>
        <v>44804</v>
      </c>
      <c r="G1805" s="24" t="str">
        <f>IFERROR(__xludf.DUMMYFUNCTION("""COMPUTED_VALUE"""),"Sharron Robinson")</f>
        <v>Sharron Robinson</v>
      </c>
      <c r="H1805" s="24">
        <f>IFERROR(__xludf.DUMMYFUNCTION("""COMPUTED_VALUE"""),30.0)</f>
        <v>30</v>
      </c>
      <c r="I1805" s="24"/>
    </row>
    <row r="1806">
      <c r="A1806" s="23">
        <f>IFERROR(__xludf.DUMMYFUNCTION("""COMPUTED_VALUE"""),44842.67427568287)</f>
        <v>44842.67428</v>
      </c>
      <c r="B1806" s="24" t="str">
        <f>IFERROR(__xludf.DUMMYFUNCTION("""COMPUTED_VALUE"""),"Claire")</f>
        <v>Claire</v>
      </c>
      <c r="C1806" s="24">
        <f>IFERROR(__xludf.DUMMYFUNCTION("""COMPUTED_VALUE"""),739.0)</f>
        <v>739</v>
      </c>
      <c r="D1806" s="24" t="str">
        <f>IFERROR(__xludf.DUMMYFUNCTION("""COMPUTED_VALUE"""),"Condiments")</f>
        <v>Condiments</v>
      </c>
      <c r="F1806" s="23">
        <f>IFERROR(__xludf.DUMMYFUNCTION("""COMPUTED_VALUE"""),44804.0)</f>
        <v>44804</v>
      </c>
      <c r="G1806" s="24" t="str">
        <f>IFERROR(__xludf.DUMMYFUNCTION("""COMPUTED_VALUE"""),"Melissa Thomas")</f>
        <v>Melissa Thomas</v>
      </c>
      <c r="H1806" s="24">
        <f>IFERROR(__xludf.DUMMYFUNCTION("""COMPUTED_VALUE"""),18.0)</f>
        <v>18</v>
      </c>
      <c r="I1806" s="24"/>
    </row>
    <row r="1807">
      <c r="A1807" s="23">
        <f>IFERROR(__xludf.DUMMYFUNCTION("""COMPUTED_VALUE"""),44842.676532094905)</f>
        <v>44842.67653</v>
      </c>
      <c r="B1807" s="24" t="str">
        <f>IFERROR(__xludf.DUMMYFUNCTION("""COMPUTED_VALUE"""),"Claire")</f>
        <v>Claire</v>
      </c>
      <c r="C1807" s="24">
        <f>IFERROR(__xludf.DUMMYFUNCTION("""COMPUTED_VALUE"""),22.0)</f>
        <v>22</v>
      </c>
      <c r="D1807" s="24" t="str">
        <f>IFERROR(__xludf.DUMMYFUNCTION("""COMPUTED_VALUE"""),"Meat [Raw]")</f>
        <v>Meat [Raw]</v>
      </c>
      <c r="F1807" s="23">
        <f>IFERROR(__xludf.DUMMYFUNCTION("""COMPUTED_VALUE"""),44804.0)</f>
        <v>44804</v>
      </c>
      <c r="G1807" s="24" t="str">
        <f>IFERROR(__xludf.DUMMYFUNCTION("""COMPUTED_VALUE"""),"Sydni Demby")</f>
        <v>Sydni Demby</v>
      </c>
      <c r="H1807" s="24">
        <f>IFERROR(__xludf.DUMMYFUNCTION("""COMPUTED_VALUE"""),20.0)</f>
        <v>20</v>
      </c>
      <c r="I1807" s="24"/>
    </row>
    <row r="1808">
      <c r="A1808" s="23">
        <f>IFERROR(__xludf.DUMMYFUNCTION("""COMPUTED_VALUE"""),44842.67680756945)</f>
        <v>44842.67681</v>
      </c>
      <c r="B1808" s="24" t="str">
        <f>IFERROR(__xludf.DUMMYFUNCTION("""COMPUTED_VALUE"""),"Claire")</f>
        <v>Claire</v>
      </c>
      <c r="C1808" s="24">
        <f>IFERROR(__xludf.DUMMYFUNCTION("""COMPUTED_VALUE"""),58.0)</f>
        <v>58</v>
      </c>
      <c r="D1808" s="24" t="str">
        <f>IFERROR(__xludf.DUMMYFUNCTION("""COMPUTED_VALUE"""),"Cleaning Supplies")</f>
        <v>Cleaning Supplies</v>
      </c>
      <c r="F1808" s="23">
        <f>IFERROR(__xludf.DUMMYFUNCTION("""COMPUTED_VALUE"""),44804.0)</f>
        <v>44804</v>
      </c>
      <c r="G1808" s="24" t="str">
        <f>IFERROR(__xludf.DUMMYFUNCTION("""COMPUTED_VALUE"""),"Jonathan Ibironke")</f>
        <v>Jonathan Ibironke</v>
      </c>
      <c r="H1808" s="24">
        <f>IFERROR(__xludf.DUMMYFUNCTION("""COMPUTED_VALUE"""),20.0)</f>
        <v>20</v>
      </c>
      <c r="I1808" s="24"/>
    </row>
    <row r="1809">
      <c r="A1809" s="23">
        <f>IFERROR(__xludf.DUMMYFUNCTION("""COMPUTED_VALUE"""),44842.67707539352)</f>
        <v>44842.67708</v>
      </c>
      <c r="B1809" s="24" t="str">
        <f>IFERROR(__xludf.DUMMYFUNCTION("""COMPUTED_VALUE"""),"Claire")</f>
        <v>Claire</v>
      </c>
      <c r="C1809" s="24">
        <f>IFERROR(__xludf.DUMMYFUNCTION("""COMPUTED_VALUE"""),-684.0)</f>
        <v>-684</v>
      </c>
      <c r="D1809" s="24" t="str">
        <f>IFERROR(__xludf.DUMMYFUNCTION("""COMPUTED_VALUE"""),"Condiments")</f>
        <v>Condiments</v>
      </c>
      <c r="F1809" s="23">
        <f>IFERROR(__xludf.DUMMYFUNCTION("""COMPUTED_VALUE"""),44804.0)</f>
        <v>44804</v>
      </c>
      <c r="G1809" s="24" t="str">
        <f>IFERROR(__xludf.DUMMYFUNCTION("""COMPUTED_VALUE"""),"Shinaya Todd")</f>
        <v>Shinaya Todd</v>
      </c>
      <c r="H1809" s="24">
        <f>IFERROR(__xludf.DUMMYFUNCTION("""COMPUTED_VALUE"""),20.0)</f>
        <v>20</v>
      </c>
      <c r="I1809" s="24"/>
    </row>
    <row r="1810">
      <c r="A1810" s="23">
        <f>IFERROR(__xludf.DUMMYFUNCTION("""COMPUTED_VALUE"""),44842.67729082176)</f>
        <v>44842.67729</v>
      </c>
      <c r="B1810" s="24" t="str">
        <f>IFERROR(__xludf.DUMMYFUNCTION("""COMPUTED_VALUE"""),"Claire")</f>
        <v>Claire</v>
      </c>
      <c r="C1810" s="24">
        <f>IFERROR(__xludf.DUMMYFUNCTION("""COMPUTED_VALUE"""),-159.0)</f>
        <v>-159</v>
      </c>
      <c r="D1810" s="24" t="str">
        <f>IFERROR(__xludf.DUMMYFUNCTION("""COMPUTED_VALUE"""),"Produce")</f>
        <v>Produce</v>
      </c>
      <c r="F1810" s="23">
        <f>IFERROR(__xludf.DUMMYFUNCTION("""COMPUTED_VALUE"""),44804.0)</f>
        <v>44804</v>
      </c>
      <c r="G1810" s="24" t="str">
        <f>IFERROR(__xludf.DUMMYFUNCTION("""COMPUTED_VALUE"""),"Dee Satterfield")</f>
        <v>Dee Satterfield</v>
      </c>
      <c r="H1810" s="24">
        <f>IFERROR(__xludf.DUMMYFUNCTION("""COMPUTED_VALUE"""),20.0)</f>
        <v>20</v>
      </c>
      <c r="I1810" s="24"/>
    </row>
    <row r="1811">
      <c r="A1811" s="23">
        <f>IFERROR(__xludf.DUMMYFUNCTION("""COMPUTED_VALUE"""),44842.677657245375)</f>
        <v>44842.67766</v>
      </c>
      <c r="B1811" s="24" t="str">
        <f>IFERROR(__xludf.DUMMYFUNCTION("""COMPUTED_VALUE"""),"Claire")</f>
        <v>Claire</v>
      </c>
      <c r="C1811" s="24">
        <f>IFERROR(__xludf.DUMMYFUNCTION("""COMPUTED_VALUE"""),-101.0)</f>
        <v>-101</v>
      </c>
      <c r="D1811" s="24" t="str">
        <f>IFERROR(__xludf.DUMMYFUNCTION("""COMPUTED_VALUE"""),"Snacks")</f>
        <v>Snacks</v>
      </c>
      <c r="F1811" s="23">
        <f>IFERROR(__xludf.DUMMYFUNCTION("""COMPUTED_VALUE"""),44804.0)</f>
        <v>44804</v>
      </c>
      <c r="G1811" s="24" t="str">
        <f>IFERROR(__xludf.DUMMYFUNCTION("""COMPUTED_VALUE"""),"Juanita Chandler ")</f>
        <v>Juanita Chandler </v>
      </c>
      <c r="H1811" s="24">
        <f>IFERROR(__xludf.DUMMYFUNCTION("""COMPUTED_VALUE"""),18.0)</f>
        <v>18</v>
      </c>
      <c r="I1811" s="24"/>
    </row>
    <row r="1812">
      <c r="A1812" s="23">
        <f>IFERROR(__xludf.DUMMYFUNCTION("""COMPUTED_VALUE"""),44842.677982905094)</f>
        <v>44842.67798</v>
      </c>
      <c r="B1812" s="24" t="str">
        <f>IFERROR(__xludf.DUMMYFUNCTION("""COMPUTED_VALUE"""),"Claire")</f>
        <v>Claire</v>
      </c>
      <c r="C1812" s="24">
        <f>IFERROR(__xludf.DUMMYFUNCTION("""COMPUTED_VALUE"""),-245.0)</f>
        <v>-245</v>
      </c>
      <c r="D1812" s="24" t="str">
        <f>IFERROR(__xludf.DUMMYFUNCTION("""COMPUTED_VALUE"""),"Household")</f>
        <v>Household</v>
      </c>
      <c r="F1812" s="23">
        <f>IFERROR(__xludf.DUMMYFUNCTION("""COMPUTED_VALUE"""),44804.0)</f>
        <v>44804</v>
      </c>
      <c r="G1812" s="24" t="str">
        <f>IFERROR(__xludf.DUMMYFUNCTION("""COMPUTED_VALUE"""),"Juanita Chandler")</f>
        <v>Juanita Chandler</v>
      </c>
      <c r="H1812" s="24">
        <f>IFERROR(__xludf.DUMMYFUNCTION("""COMPUTED_VALUE"""),10.0)</f>
        <v>10</v>
      </c>
      <c r="I1812" s="24"/>
    </row>
    <row r="1813">
      <c r="A1813" s="23">
        <f>IFERROR(__xludf.DUMMYFUNCTION("""COMPUTED_VALUE"""),44842.67819387731)</f>
        <v>44842.67819</v>
      </c>
      <c r="B1813" s="24" t="str">
        <f>IFERROR(__xludf.DUMMYFUNCTION("""COMPUTED_VALUE"""),"Claire")</f>
        <v>Claire</v>
      </c>
      <c r="C1813" s="24">
        <f>IFERROR(__xludf.DUMMYFUNCTION("""COMPUTED_VALUE"""),-66.0)</f>
        <v>-66</v>
      </c>
      <c r="D1813" s="24" t="str">
        <f>IFERROR(__xludf.DUMMYFUNCTION("""COMPUTED_VALUE"""),"Personal Care")</f>
        <v>Personal Care</v>
      </c>
      <c r="F1813" s="23">
        <f>IFERROR(__xludf.DUMMYFUNCTION("""COMPUTED_VALUE"""),44804.0)</f>
        <v>44804</v>
      </c>
      <c r="G1813" s="24" t="str">
        <f>IFERROR(__xludf.DUMMYFUNCTION("""COMPUTED_VALUE"""),"Davente Jones")</f>
        <v>Davente Jones</v>
      </c>
      <c r="H1813" s="24">
        <f>IFERROR(__xludf.DUMMYFUNCTION("""COMPUTED_VALUE"""),20.0)</f>
        <v>20</v>
      </c>
      <c r="I1813" s="24"/>
    </row>
    <row r="1814">
      <c r="A1814" s="23">
        <f>IFERROR(__xludf.DUMMYFUNCTION("""COMPUTED_VALUE"""),44842.67856342592)</f>
        <v>44842.67856</v>
      </c>
      <c r="B1814" s="24" t="str">
        <f>IFERROR(__xludf.DUMMYFUNCTION("""COMPUTED_VALUE"""),"Claire")</f>
        <v>Claire</v>
      </c>
      <c r="C1814" s="24">
        <f>IFERROR(__xludf.DUMMYFUNCTION("""COMPUTED_VALUE"""),-130.0)</f>
        <v>-130</v>
      </c>
      <c r="D1814" s="24" t="str">
        <f>IFERROR(__xludf.DUMMYFUNCTION("""COMPUTED_VALUE"""),"Cleaning Supplies")</f>
        <v>Cleaning Supplies</v>
      </c>
      <c r="F1814" s="23">
        <f>IFERROR(__xludf.DUMMYFUNCTION("""COMPUTED_VALUE"""),44804.0)</f>
        <v>44804</v>
      </c>
      <c r="G1814" s="24" t="str">
        <f>IFERROR(__xludf.DUMMYFUNCTION("""COMPUTED_VALUE"""),"Cheryl Utsey")</f>
        <v>Cheryl Utsey</v>
      </c>
      <c r="H1814" s="24">
        <f>IFERROR(__xludf.DUMMYFUNCTION("""COMPUTED_VALUE"""),147.0)</f>
        <v>147</v>
      </c>
      <c r="I1814" s="24"/>
    </row>
    <row r="1815">
      <c r="A1815" s="23">
        <f>IFERROR(__xludf.DUMMYFUNCTION("""COMPUTED_VALUE"""),44842.67878354166)</f>
        <v>44842.67878</v>
      </c>
      <c r="B1815" s="24" t="str">
        <f>IFERROR(__xludf.DUMMYFUNCTION("""COMPUTED_VALUE"""),"Claire")</f>
        <v>Claire</v>
      </c>
      <c r="C1815" s="24">
        <f>IFERROR(__xludf.DUMMYFUNCTION("""COMPUTED_VALUE"""),-214.0)</f>
        <v>-214</v>
      </c>
      <c r="D1815" s="24" t="str">
        <f>IFERROR(__xludf.DUMMYFUNCTION("""COMPUTED_VALUE"""),"Produce")</f>
        <v>Produce</v>
      </c>
      <c r="F1815" s="23">
        <f>IFERROR(__xludf.DUMMYFUNCTION("""COMPUTED_VALUE"""),44804.0)</f>
        <v>44804</v>
      </c>
      <c r="G1815" s="24" t="str">
        <f>IFERROR(__xludf.DUMMYFUNCTION("""COMPUTED_VALUE"""),"Camille")</f>
        <v>Camille</v>
      </c>
      <c r="H1815" s="24">
        <f>IFERROR(__xludf.DUMMYFUNCTION("""COMPUTED_VALUE"""),1.5)</f>
        <v>1.5</v>
      </c>
      <c r="I1815" s="24"/>
    </row>
    <row r="1816">
      <c r="A1816" s="23">
        <f>IFERROR(__xludf.DUMMYFUNCTION("""COMPUTED_VALUE"""),44843.5306758912)</f>
        <v>44843.53068</v>
      </c>
      <c r="B1816" s="24" t="str">
        <f>IFERROR(__xludf.DUMMYFUNCTION("""COMPUTED_VALUE"""),"Dorja ")</f>
        <v>Dorja </v>
      </c>
      <c r="C1816" s="24">
        <f>IFERROR(__xludf.DUMMYFUNCTION("""COMPUTED_VALUE"""),230.0)</f>
        <v>230</v>
      </c>
      <c r="D1816" s="24" t="str">
        <f>IFERROR(__xludf.DUMMYFUNCTION("""COMPUTED_VALUE"""),"Produce")</f>
        <v>Produce</v>
      </c>
      <c r="F1816" s="23">
        <f>IFERROR(__xludf.DUMMYFUNCTION("""COMPUTED_VALUE"""),44804.565871770836)</f>
        <v>44804.56587</v>
      </c>
      <c r="G1816" s="24" t="str">
        <f>IFERROR(__xludf.DUMMYFUNCTION("""COMPUTED_VALUE"""),"Bud- sisson st dranks")</f>
        <v>Bud- sisson st dranks</v>
      </c>
      <c r="H1816" s="24">
        <f>IFERROR(__xludf.DUMMYFUNCTION("""COMPUTED_VALUE"""),15.0)</f>
        <v>15</v>
      </c>
      <c r="I1816" s="24"/>
    </row>
    <row r="1817">
      <c r="A1817" s="23">
        <f>IFERROR(__xludf.DUMMYFUNCTION("""COMPUTED_VALUE"""),44843.61890574074)</f>
        <v>44843.61891</v>
      </c>
      <c r="B1817" s="24" t="str">
        <f>IFERROR(__xludf.DUMMYFUNCTION("""COMPUTED_VALUE"""),"Claire")</f>
        <v>Claire</v>
      </c>
      <c r="C1817" s="24">
        <f>IFERROR(__xludf.DUMMYFUNCTION("""COMPUTED_VALUE"""),565.0)</f>
        <v>565</v>
      </c>
      <c r="D1817" s="24" t="str">
        <f>IFERROR(__xludf.DUMMYFUNCTION("""COMPUTED_VALUE"""),"Produce")</f>
        <v>Produce</v>
      </c>
      <c r="F1817" s="23">
        <f>IFERROR(__xludf.DUMMYFUNCTION("""COMPUTED_VALUE"""),44804.56622862268)</f>
        <v>44804.56623</v>
      </c>
      <c r="G1817" s="24" t="str">
        <f>IFERROR(__xludf.DUMMYFUNCTION("""COMPUTED_VALUE"""),"Bud Stracker personal ")</f>
        <v>Bud Stracker personal </v>
      </c>
      <c r="H1817" s="24">
        <f>IFERROR(__xludf.DUMMYFUNCTION("""COMPUTED_VALUE"""),11.0)</f>
        <v>11</v>
      </c>
      <c r="I1817" s="24"/>
    </row>
    <row r="1818">
      <c r="A1818" s="23">
        <f>IFERROR(__xludf.DUMMYFUNCTION("""COMPUTED_VALUE"""),44843.61919547453)</f>
        <v>44843.6192</v>
      </c>
      <c r="B1818" s="24" t="str">
        <f>IFERROR(__xludf.DUMMYFUNCTION("""COMPUTED_VALUE"""),"Claire")</f>
        <v>Claire</v>
      </c>
      <c r="C1818" s="24">
        <f>IFERROR(__xludf.DUMMYFUNCTION("""COMPUTED_VALUE"""),144.0)</f>
        <v>144</v>
      </c>
      <c r="D1818" s="24" t="str">
        <f>IFERROR(__xludf.DUMMYFUNCTION("""COMPUTED_VALUE"""),"Snacks")</f>
        <v>Snacks</v>
      </c>
      <c r="F1818" s="23">
        <f>IFERROR(__xludf.DUMMYFUNCTION("""COMPUTED_VALUE"""),44804.695282326385)</f>
        <v>44804.69528</v>
      </c>
      <c r="G1818" s="24" t="str">
        <f>IFERROR(__xludf.DUMMYFUNCTION("""COMPUTED_VALUE"""),"Claire")</f>
        <v>Claire</v>
      </c>
      <c r="H1818" s="24">
        <f>IFERROR(__xludf.DUMMYFUNCTION("""COMPUTED_VALUE"""),540.0)</f>
        <v>540</v>
      </c>
      <c r="I1818" s="24" t="str">
        <f>IFERROR(__xludf.DUMMYFUNCTION("""COMPUTED_VALUE"""),"Produce")</f>
        <v>Produce</v>
      </c>
    </row>
    <row r="1819">
      <c r="A1819" s="23">
        <f>IFERROR(__xludf.DUMMYFUNCTION("""COMPUTED_VALUE"""),44843.61953722223)</f>
        <v>44843.61954</v>
      </c>
      <c r="B1819" s="24" t="str">
        <f>IFERROR(__xludf.DUMMYFUNCTION("""COMPUTED_VALUE"""),"Claire")</f>
        <v>Claire</v>
      </c>
      <c r="C1819" s="24">
        <f>IFERROR(__xludf.DUMMYFUNCTION("""COMPUTED_VALUE"""),210.0)</f>
        <v>210</v>
      </c>
      <c r="D1819" s="24" t="str">
        <f>IFERROR(__xludf.DUMMYFUNCTION("""COMPUTED_VALUE"""),"Produce")</f>
        <v>Produce</v>
      </c>
      <c r="F1819" s="23">
        <f>IFERROR(__xludf.DUMMYFUNCTION("""COMPUTED_VALUE"""),44804.69622965278)</f>
        <v>44804.69623</v>
      </c>
      <c r="G1819" s="24" t="str">
        <f>IFERROR(__xludf.DUMMYFUNCTION("""COMPUTED_VALUE"""),"Claire")</f>
        <v>Claire</v>
      </c>
      <c r="H1819" s="24">
        <f>IFERROR(__xludf.DUMMYFUNCTION("""COMPUTED_VALUE"""),430.0)</f>
        <v>430</v>
      </c>
      <c r="I1819" s="24" t="str">
        <f>IFERROR(__xludf.DUMMYFUNCTION("""COMPUTED_VALUE"""),"Produce")</f>
        <v>Produce</v>
      </c>
    </row>
    <row r="1820">
      <c r="A1820" s="23">
        <f>IFERROR(__xludf.DUMMYFUNCTION("""COMPUTED_VALUE"""),44843.61989607639)</f>
        <v>44843.6199</v>
      </c>
      <c r="B1820" s="24" t="str">
        <f>IFERROR(__xludf.DUMMYFUNCTION("""COMPUTED_VALUE"""),"Claire")</f>
        <v>Claire</v>
      </c>
      <c r="C1820" s="24">
        <f>IFERROR(__xludf.DUMMYFUNCTION("""COMPUTED_VALUE"""),237.0)</f>
        <v>237</v>
      </c>
      <c r="D1820" s="24" t="str">
        <f>IFERROR(__xludf.DUMMYFUNCTION("""COMPUTED_VALUE"""),"Produce")</f>
        <v>Produce</v>
      </c>
      <c r="F1820" s="23">
        <f>IFERROR(__xludf.DUMMYFUNCTION("""COMPUTED_VALUE"""),44804.697192604166)</f>
        <v>44804.69719</v>
      </c>
      <c r="G1820" s="24" t="str">
        <f>IFERROR(__xludf.DUMMYFUNCTION("""COMPUTED_VALUE"""),"Claire")</f>
        <v>Claire</v>
      </c>
      <c r="H1820" s="24">
        <f>IFERROR(__xludf.DUMMYFUNCTION("""COMPUTED_VALUE"""),1024.0)</f>
        <v>1024</v>
      </c>
      <c r="I1820" s="24" t="str">
        <f>IFERROR(__xludf.DUMMYFUNCTION("""COMPUTED_VALUE"""),"First fruits farm")</f>
        <v>First fruits farm</v>
      </c>
    </row>
    <row r="1821">
      <c r="A1821" s="23">
        <f>IFERROR(__xludf.DUMMYFUNCTION("""COMPUTED_VALUE"""),44843.620179722224)</f>
        <v>44843.62018</v>
      </c>
      <c r="B1821" s="24" t="str">
        <f>IFERROR(__xludf.DUMMYFUNCTION("""COMPUTED_VALUE"""),"Claire")</f>
        <v>Claire</v>
      </c>
      <c r="C1821" s="24">
        <f>IFERROR(__xludf.DUMMYFUNCTION("""COMPUTED_VALUE"""),153.0)</f>
        <v>153</v>
      </c>
      <c r="D1821" s="24" t="str">
        <f>IFERROR(__xludf.DUMMYFUNCTION("""COMPUTED_VALUE"""),"Assorted Dry")</f>
        <v>Assorted Dry</v>
      </c>
      <c r="F1821" s="23">
        <f>IFERROR(__xludf.DUMMYFUNCTION("""COMPUTED_VALUE"""),44804.697549004624)</f>
        <v>44804.69755</v>
      </c>
      <c r="G1821" s="24" t="str">
        <f>IFERROR(__xludf.DUMMYFUNCTION("""COMPUTED_VALUE"""),"Claire")</f>
        <v>Claire</v>
      </c>
      <c r="H1821" s="24">
        <f>IFERROR(__xludf.DUMMYFUNCTION("""COMPUTED_VALUE"""),1092.0)</f>
        <v>1092</v>
      </c>
      <c r="I1821" s="24" t="str">
        <f>IFERROR(__xludf.DUMMYFUNCTION("""COMPUTED_VALUE"""),"First fruits farm")</f>
        <v>First fruits farm</v>
      </c>
    </row>
    <row r="1822">
      <c r="A1822" s="23">
        <f>IFERROR(__xludf.DUMMYFUNCTION("""COMPUTED_VALUE"""),44843.620757303244)</f>
        <v>44843.62076</v>
      </c>
      <c r="B1822" s="24" t="str">
        <f>IFERROR(__xludf.DUMMYFUNCTION("""COMPUTED_VALUE"""),"Claire")</f>
        <v>Claire</v>
      </c>
      <c r="C1822" s="24">
        <f>IFERROR(__xludf.DUMMYFUNCTION("""COMPUTED_VALUE"""),241.0)</f>
        <v>241</v>
      </c>
      <c r="D1822" s="24" t="str">
        <f>IFERROR(__xludf.DUMMYFUNCTION("""COMPUTED_VALUE"""),"Assorted Dry")</f>
        <v>Assorted Dry</v>
      </c>
      <c r="F1822" s="23">
        <f>IFERROR(__xludf.DUMMYFUNCTION("""COMPUTED_VALUE"""),44804.69784354167)</f>
        <v>44804.69784</v>
      </c>
      <c r="G1822" s="24" t="str">
        <f>IFERROR(__xludf.DUMMYFUNCTION("""COMPUTED_VALUE"""),"Claire")</f>
        <v>Claire</v>
      </c>
      <c r="H1822" s="24">
        <f>IFERROR(__xludf.DUMMYFUNCTION("""COMPUTED_VALUE"""),1039.0)</f>
        <v>1039</v>
      </c>
      <c r="I1822" s="24" t="str">
        <f>IFERROR(__xludf.DUMMYFUNCTION("""COMPUTED_VALUE"""),"First fruits farm")</f>
        <v>First fruits farm</v>
      </c>
    </row>
    <row r="1823">
      <c r="A1823" s="23">
        <f>IFERROR(__xludf.DUMMYFUNCTION("""COMPUTED_VALUE"""),44843.62117921296)</f>
        <v>44843.62118</v>
      </c>
      <c r="B1823" s="24" t="str">
        <f>IFERROR(__xludf.DUMMYFUNCTION("""COMPUTED_VALUE"""),"Claire")</f>
        <v>Claire</v>
      </c>
      <c r="C1823" s="24">
        <f>IFERROR(__xludf.DUMMYFUNCTION("""COMPUTED_VALUE"""),412.0)</f>
        <v>412</v>
      </c>
      <c r="D1823" s="24" t="str">
        <f>IFERROR(__xludf.DUMMYFUNCTION("""COMPUTED_VALUE"""),"Assorted Fridge")</f>
        <v>Assorted Fridge</v>
      </c>
      <c r="F1823" s="23">
        <f>IFERROR(__xludf.DUMMYFUNCTION("""COMPUTED_VALUE"""),44804.698312905086)</f>
        <v>44804.69831</v>
      </c>
      <c r="G1823" s="24" t="str">
        <f>IFERROR(__xludf.DUMMYFUNCTION("""COMPUTED_VALUE"""),"Claire")</f>
        <v>Claire</v>
      </c>
      <c r="H1823" s="24">
        <f>IFERROR(__xludf.DUMMYFUNCTION("""COMPUTED_VALUE"""),1046.0)</f>
        <v>1046</v>
      </c>
      <c r="I1823" s="24" t="str">
        <f>IFERROR(__xludf.DUMMYFUNCTION("""COMPUTED_VALUE"""),"First fruits farm")</f>
        <v>First fruits farm</v>
      </c>
    </row>
    <row r="1824">
      <c r="A1824" s="23">
        <f>IFERROR(__xludf.DUMMYFUNCTION("""COMPUTED_VALUE"""),44843.62140392361)</f>
        <v>44843.6214</v>
      </c>
      <c r="B1824" s="24" t="str">
        <f>IFERROR(__xludf.DUMMYFUNCTION("""COMPUTED_VALUE"""),"Claire")</f>
        <v>Claire</v>
      </c>
      <c r="C1824" s="24">
        <f>IFERROR(__xludf.DUMMYFUNCTION("""COMPUTED_VALUE"""),222.0)</f>
        <v>222</v>
      </c>
      <c r="D1824" s="24" t="str">
        <f>IFERROR(__xludf.DUMMYFUNCTION("""COMPUTED_VALUE"""),"Produce")</f>
        <v>Produce</v>
      </c>
      <c r="F1824" s="23">
        <f>IFERROR(__xludf.DUMMYFUNCTION("""COMPUTED_VALUE"""),44804.71696413194)</f>
        <v>44804.71696</v>
      </c>
      <c r="G1824" s="24" t="str">
        <f>IFERROR(__xludf.DUMMYFUNCTION("""COMPUTED_VALUE"""),"Karen")</f>
        <v>Karen</v>
      </c>
      <c r="H1824" s="24">
        <f>IFERROR(__xludf.DUMMYFUNCTION("""COMPUTED_VALUE"""),17.0)</f>
        <v>17</v>
      </c>
      <c r="I1824" s="24"/>
    </row>
    <row r="1825">
      <c r="A1825" s="23">
        <f>IFERROR(__xludf.DUMMYFUNCTION("""COMPUTED_VALUE"""),44848.66986260416)</f>
        <v>44848.66986</v>
      </c>
      <c r="B1825" s="24" t="str">
        <f>IFERROR(__xludf.DUMMYFUNCTION("""COMPUTED_VALUE"""),"Claire")</f>
        <v>Claire</v>
      </c>
      <c r="C1825" s="24">
        <f>IFERROR(__xludf.DUMMYFUNCTION("""COMPUTED_VALUE"""),241.0)</f>
        <v>241</v>
      </c>
      <c r="D1825" s="24" t="str">
        <f>IFERROR(__xludf.DUMMYFUNCTION("""COMPUTED_VALUE"""),"Snacks")</f>
        <v>Snacks</v>
      </c>
      <c r="F1825" s="23">
        <f>IFERROR(__xludf.DUMMYFUNCTION("""COMPUTED_VALUE"""),44804.717526273154)</f>
        <v>44804.71753</v>
      </c>
      <c r="G1825" s="24" t="str">
        <f>IFERROR(__xludf.DUMMYFUNCTION("""COMPUTED_VALUE"""),"Karen expired")</f>
        <v>Karen expired</v>
      </c>
      <c r="H1825" s="24">
        <f>IFERROR(__xludf.DUMMYFUNCTION("""COMPUTED_VALUE"""),23.0)</f>
        <v>23</v>
      </c>
      <c r="I1825" s="24"/>
    </row>
    <row r="1826">
      <c r="A1826" s="23">
        <f>IFERROR(__xludf.DUMMYFUNCTION("""COMPUTED_VALUE"""),44848.670316620366)</f>
        <v>44848.67032</v>
      </c>
      <c r="B1826" s="24" t="str">
        <f>IFERROR(__xludf.DUMMYFUNCTION("""COMPUTED_VALUE"""),"Claire")</f>
        <v>Claire</v>
      </c>
      <c r="C1826" s="24">
        <f>IFERROR(__xludf.DUMMYFUNCTION("""COMPUTED_VALUE"""),412.0)</f>
        <v>412</v>
      </c>
      <c r="D1826" s="24" t="str">
        <f>IFERROR(__xludf.DUMMYFUNCTION("""COMPUTED_VALUE"""),"Assorted Dry")</f>
        <v>Assorted Dry</v>
      </c>
      <c r="F1826" s="23">
        <f>IFERROR(__xludf.DUMMYFUNCTION("""COMPUTED_VALUE"""),44804.7199890625)</f>
        <v>44804.71999</v>
      </c>
      <c r="G1826" s="24" t="str">
        <f>IFERROR(__xludf.DUMMYFUNCTION("""COMPUTED_VALUE"""),"Beverly Pinn")</f>
        <v>Beverly Pinn</v>
      </c>
      <c r="H1826" s="24">
        <f>IFERROR(__xludf.DUMMYFUNCTION("""COMPUTED_VALUE"""),19.0)</f>
        <v>19</v>
      </c>
      <c r="I1826" s="24"/>
    </row>
    <row r="1827">
      <c r="A1827" s="23">
        <f>IFERROR(__xludf.DUMMYFUNCTION("""COMPUTED_VALUE"""),44848.67066082176)</f>
        <v>44848.67066</v>
      </c>
      <c r="B1827" s="24" t="str">
        <f>IFERROR(__xludf.DUMMYFUNCTION("""COMPUTED_VALUE"""),"Claire")</f>
        <v>Claire</v>
      </c>
      <c r="C1827" s="24">
        <f>IFERROR(__xludf.DUMMYFUNCTION("""COMPUTED_VALUE"""),1520.0)</f>
        <v>1520</v>
      </c>
      <c r="D1827" s="24" t="str">
        <f>IFERROR(__xludf.DUMMYFUNCTION("""COMPUTED_VALUE"""),"Produce")</f>
        <v>Produce</v>
      </c>
      <c r="F1827" s="23">
        <f>IFERROR(__xludf.DUMMYFUNCTION("""COMPUTED_VALUE"""),44804.72033315973)</f>
        <v>44804.72033</v>
      </c>
      <c r="G1827" s="24" t="str">
        <f>IFERROR(__xludf.DUMMYFUNCTION("""COMPUTED_VALUE"""),"Beverly Pinn")</f>
        <v>Beverly Pinn</v>
      </c>
      <c r="H1827" s="24">
        <f>IFERROR(__xludf.DUMMYFUNCTION("""COMPUTED_VALUE"""),11.0)</f>
        <v>11</v>
      </c>
      <c r="I1827" s="24"/>
    </row>
    <row r="1828">
      <c r="A1828" s="23">
        <f>IFERROR(__xludf.DUMMYFUNCTION("""COMPUTED_VALUE"""),44848.670975995374)</f>
        <v>44848.67098</v>
      </c>
      <c r="B1828" s="24" t="str">
        <f>IFERROR(__xludf.DUMMYFUNCTION("""COMPUTED_VALUE"""),"Claire")</f>
        <v>Claire</v>
      </c>
      <c r="C1828" s="24">
        <f>IFERROR(__xludf.DUMMYFUNCTION("""COMPUTED_VALUE"""),269.0)</f>
        <v>269</v>
      </c>
      <c r="D1828" s="24" t="str">
        <f>IFERROR(__xludf.DUMMYFUNCTION("""COMPUTED_VALUE"""),"Produce")</f>
        <v>Produce</v>
      </c>
      <c r="F1828" s="23">
        <f>IFERROR(__xludf.DUMMYFUNCTION("""COMPUTED_VALUE"""),44804.8170424537)</f>
        <v>44804.81704</v>
      </c>
      <c r="G1828" s="24" t="str">
        <f>IFERROR(__xludf.DUMMYFUNCTION("""COMPUTED_VALUE"""),"Connor Gephart")</f>
        <v>Connor Gephart</v>
      </c>
      <c r="H1828" s="24">
        <f>IFERROR(__xludf.DUMMYFUNCTION("""COMPUTED_VALUE"""),13.0)</f>
        <v>13</v>
      </c>
      <c r="I1828" s="24"/>
    </row>
    <row r="1829">
      <c r="A1829" s="23">
        <f>IFERROR(__xludf.DUMMYFUNCTION("""COMPUTED_VALUE"""),44848.671321747686)</f>
        <v>44848.67132</v>
      </c>
      <c r="B1829" s="24" t="str">
        <f>IFERROR(__xludf.DUMMYFUNCTION("""COMPUTED_VALUE"""),"Claire")</f>
        <v>Claire</v>
      </c>
      <c r="C1829" s="24">
        <f>IFERROR(__xludf.DUMMYFUNCTION("""COMPUTED_VALUE"""),520.0)</f>
        <v>520</v>
      </c>
      <c r="D1829" s="24" t="str">
        <f>IFERROR(__xludf.DUMMYFUNCTION("""COMPUTED_VALUE"""),"Produce")</f>
        <v>Produce</v>
      </c>
      <c r="F1829" s="23">
        <f>IFERROR(__xludf.DUMMYFUNCTION("""COMPUTED_VALUE"""),44804.81718019676)</f>
        <v>44804.81718</v>
      </c>
      <c r="G1829" s="24" t="str">
        <f>IFERROR(__xludf.DUMMYFUNCTION("""COMPUTED_VALUE"""),"Maddie Pardes ")</f>
        <v>Maddie Pardes </v>
      </c>
      <c r="H1829" s="24">
        <f>IFERROR(__xludf.DUMMYFUNCTION("""COMPUTED_VALUE"""),9.0)</f>
        <v>9</v>
      </c>
      <c r="I1829" s="24"/>
    </row>
    <row r="1830">
      <c r="A1830" s="23">
        <f>IFERROR(__xludf.DUMMYFUNCTION("""COMPUTED_VALUE"""),44848.67164375001)</f>
        <v>44848.67164</v>
      </c>
      <c r="B1830" s="24" t="str">
        <f>IFERROR(__xludf.DUMMYFUNCTION("""COMPUTED_VALUE"""),"Claire")</f>
        <v>Claire</v>
      </c>
      <c r="C1830" s="24">
        <f>IFERROR(__xludf.DUMMYFUNCTION("""COMPUTED_VALUE"""),100.0)</f>
        <v>100</v>
      </c>
      <c r="D1830" s="24" t="str">
        <f>IFERROR(__xludf.DUMMYFUNCTION("""COMPUTED_VALUE"""),"Assorted Dry")</f>
        <v>Assorted Dry</v>
      </c>
      <c r="F1830" s="23">
        <f>IFERROR(__xludf.DUMMYFUNCTION("""COMPUTED_VALUE"""),44804.821952893515)</f>
        <v>44804.82195</v>
      </c>
      <c r="G1830" s="24" t="str">
        <f>IFERROR(__xludf.DUMMYFUNCTION("""COMPUTED_VALUE"""),"Camille")</f>
        <v>Camille</v>
      </c>
      <c r="H1830" s="24">
        <f>IFERROR(__xludf.DUMMYFUNCTION("""COMPUTED_VALUE"""),17.0)</f>
        <v>17</v>
      </c>
      <c r="I1830" s="24"/>
    </row>
    <row r="1831">
      <c r="A1831" s="23">
        <f>IFERROR(__xludf.DUMMYFUNCTION("""COMPUTED_VALUE"""),44848.67197425926)</f>
        <v>44848.67197</v>
      </c>
      <c r="B1831" s="24" t="str">
        <f>IFERROR(__xludf.DUMMYFUNCTION("""COMPUTED_VALUE"""),"Claire")</f>
        <v>Claire</v>
      </c>
      <c r="C1831" s="24">
        <f>IFERROR(__xludf.DUMMYFUNCTION("""COMPUTED_VALUE"""),489.0)</f>
        <v>489</v>
      </c>
      <c r="D1831" s="24" t="str">
        <f>IFERROR(__xludf.DUMMYFUNCTION("""COMPUTED_VALUE"""),"Produce")</f>
        <v>Produce</v>
      </c>
      <c r="F1831" s="23">
        <f>IFERROR(__xludf.DUMMYFUNCTION("""COMPUTED_VALUE"""),44805.0)</f>
        <v>44805</v>
      </c>
      <c r="G1831" s="24" t="str">
        <f>IFERROR(__xludf.DUMMYFUNCTION("""COMPUTED_VALUE"""),"Denise Brown")</f>
        <v>Denise Brown</v>
      </c>
      <c r="H1831" s="24">
        <f>IFERROR(__xludf.DUMMYFUNCTION("""COMPUTED_VALUE"""),17.0)</f>
        <v>17</v>
      </c>
      <c r="I1831" s="24"/>
    </row>
    <row r="1832">
      <c r="A1832" s="23">
        <f>IFERROR(__xludf.DUMMYFUNCTION("""COMPUTED_VALUE"""),44848.67227313658)</f>
        <v>44848.67227</v>
      </c>
      <c r="B1832" s="24" t="str">
        <f>IFERROR(__xludf.DUMMYFUNCTION("""COMPUTED_VALUE"""),"Claire")</f>
        <v>Claire</v>
      </c>
      <c r="C1832" s="24">
        <f>IFERROR(__xludf.DUMMYFUNCTION("""COMPUTED_VALUE"""),114.0)</f>
        <v>114</v>
      </c>
      <c r="D1832" s="24" t="str">
        <f>IFERROR(__xludf.DUMMYFUNCTION("""COMPUTED_VALUE"""),"Assorted Dry")</f>
        <v>Assorted Dry</v>
      </c>
      <c r="F1832" s="23">
        <f>IFERROR(__xludf.DUMMYFUNCTION("""COMPUTED_VALUE"""),44805.0)</f>
        <v>44805</v>
      </c>
      <c r="G1832" s="24" t="str">
        <f>IFERROR(__xludf.DUMMYFUNCTION("""COMPUTED_VALUE"""),"Hong Xue")</f>
        <v>Hong Xue</v>
      </c>
      <c r="H1832" s="24">
        <f>IFERROR(__xludf.DUMMYFUNCTION("""COMPUTED_VALUE"""),19.0)</f>
        <v>19</v>
      </c>
      <c r="I1832" s="24"/>
    </row>
    <row r="1833">
      <c r="A1833" s="23">
        <f>IFERROR(__xludf.DUMMYFUNCTION("""COMPUTED_VALUE"""),44848.67253460648)</f>
        <v>44848.67253</v>
      </c>
      <c r="B1833" s="24" t="str">
        <f>IFERROR(__xludf.DUMMYFUNCTION("""COMPUTED_VALUE"""),"Claire")</f>
        <v>Claire</v>
      </c>
      <c r="C1833" s="24">
        <f>IFERROR(__xludf.DUMMYFUNCTION("""COMPUTED_VALUE"""),392.0)</f>
        <v>392</v>
      </c>
      <c r="D1833" s="24" t="str">
        <f>IFERROR(__xludf.DUMMYFUNCTION("""COMPUTED_VALUE"""),"Assorted Dry")</f>
        <v>Assorted Dry</v>
      </c>
      <c r="F1833" s="23">
        <f>IFERROR(__xludf.DUMMYFUNCTION("""COMPUTED_VALUE"""),44805.0)</f>
        <v>44805</v>
      </c>
      <c r="G1833" s="24" t="str">
        <f>IFERROR(__xludf.DUMMYFUNCTION("""COMPUTED_VALUE"""),"Hong Xue")</f>
        <v>Hong Xue</v>
      </c>
      <c r="H1833" s="24">
        <f>IFERROR(__xludf.DUMMYFUNCTION("""COMPUTED_VALUE"""),8.0)</f>
        <v>8</v>
      </c>
      <c r="I1833" s="24"/>
    </row>
    <row r="1834">
      <c r="A1834" s="23">
        <f>IFERROR(__xludf.DUMMYFUNCTION("""COMPUTED_VALUE"""),44848.679477592596)</f>
        <v>44848.67948</v>
      </c>
      <c r="B1834" s="24" t="str">
        <f>IFERROR(__xludf.DUMMYFUNCTION("""COMPUTED_VALUE"""),"Claire")</f>
        <v>Claire</v>
      </c>
      <c r="C1834" s="24">
        <f>IFERROR(__xludf.DUMMYFUNCTION("""COMPUTED_VALUE"""),659.0)</f>
        <v>659</v>
      </c>
      <c r="D1834" s="24" t="str">
        <f>IFERROR(__xludf.DUMMYFUNCTION("""COMPUTED_VALUE"""),"Drinks [Dry]")</f>
        <v>Drinks [Dry]</v>
      </c>
      <c r="F1834" s="23">
        <f>IFERROR(__xludf.DUMMYFUNCTION("""COMPUTED_VALUE"""),44805.0)</f>
        <v>44805</v>
      </c>
      <c r="G1834" s="24" t="str">
        <f>IFERROR(__xludf.DUMMYFUNCTION("""COMPUTED_VALUE"""),"Melissa Thomas")</f>
        <v>Melissa Thomas</v>
      </c>
      <c r="H1834" s="24">
        <f>IFERROR(__xludf.DUMMYFUNCTION("""COMPUTED_VALUE"""),21.0)</f>
        <v>21</v>
      </c>
      <c r="I1834" s="24"/>
    </row>
    <row r="1835">
      <c r="A1835" s="23">
        <f>IFERROR(__xludf.DUMMYFUNCTION("""COMPUTED_VALUE"""),44848.703871238424)</f>
        <v>44848.70387</v>
      </c>
      <c r="B1835" s="24" t="str">
        <f>IFERROR(__xludf.DUMMYFUNCTION("""COMPUTED_VALUE"""),"Sunita pathik")</f>
        <v>Sunita pathik</v>
      </c>
      <c r="C1835" s="24">
        <f>IFERROR(__xludf.DUMMYFUNCTION("""COMPUTED_VALUE"""),108.0)</f>
        <v>108</v>
      </c>
      <c r="D1835" s="24" t="str">
        <f>IFERROR(__xludf.DUMMYFUNCTION("""COMPUTED_VALUE"""),"Assorted Fridge")</f>
        <v>Assorted Fridge</v>
      </c>
      <c r="F1835" s="23">
        <f>IFERROR(__xludf.DUMMYFUNCTION("""COMPUTED_VALUE"""),44805.0)</f>
        <v>44805</v>
      </c>
      <c r="G1835" s="24" t="str">
        <f>IFERROR(__xludf.DUMMYFUNCTION("""COMPUTED_VALUE"""),"Kendrick Johnson")</f>
        <v>Kendrick Johnson</v>
      </c>
      <c r="H1835" s="24">
        <f>IFERROR(__xludf.DUMMYFUNCTION("""COMPUTED_VALUE"""),20.0)</f>
        <v>20</v>
      </c>
      <c r="I1835" s="24"/>
    </row>
    <row r="1836">
      <c r="A1836" s="23">
        <f>IFERROR(__xludf.DUMMYFUNCTION("""COMPUTED_VALUE"""),44852.58928748843)</f>
        <v>44852.58929</v>
      </c>
      <c r="B1836" s="24" t="str">
        <f>IFERROR(__xludf.DUMMYFUNCTION("""COMPUTED_VALUE"""),"Claire")</f>
        <v>Claire</v>
      </c>
      <c r="C1836" s="24">
        <f>IFERROR(__xludf.DUMMYFUNCTION("""COMPUTED_VALUE"""),136.0)</f>
        <v>136</v>
      </c>
      <c r="D1836" s="24" t="str">
        <f>IFERROR(__xludf.DUMMYFUNCTION("""COMPUTED_VALUE"""),"Produce")</f>
        <v>Produce</v>
      </c>
      <c r="F1836" s="23">
        <f>IFERROR(__xludf.DUMMYFUNCTION("""COMPUTED_VALUE"""),44805.0)</f>
        <v>44805</v>
      </c>
      <c r="G1836" s="24" t="str">
        <f>IFERROR(__xludf.DUMMYFUNCTION("""COMPUTED_VALUE"""),"Sheneil Black")</f>
        <v>Sheneil Black</v>
      </c>
      <c r="H1836" s="24">
        <f>IFERROR(__xludf.DUMMYFUNCTION("""COMPUTED_VALUE"""),20.0)</f>
        <v>20</v>
      </c>
      <c r="I1836" s="24"/>
    </row>
    <row r="1837">
      <c r="A1837" s="23">
        <f>IFERROR(__xludf.DUMMYFUNCTION("""COMPUTED_VALUE"""),44852.58952744213)</f>
        <v>44852.58953</v>
      </c>
      <c r="B1837" s="24" t="str">
        <f>IFERROR(__xludf.DUMMYFUNCTION("""COMPUTED_VALUE"""),"Claire")</f>
        <v>Claire</v>
      </c>
      <c r="C1837" s="24">
        <f>IFERROR(__xludf.DUMMYFUNCTION("""COMPUTED_VALUE"""),65.0)</f>
        <v>65</v>
      </c>
      <c r="D1837" s="24" t="str">
        <f>IFERROR(__xludf.DUMMYFUNCTION("""COMPUTED_VALUE"""),"Assorted Dry")</f>
        <v>Assorted Dry</v>
      </c>
      <c r="F1837" s="23">
        <f>IFERROR(__xludf.DUMMYFUNCTION("""COMPUTED_VALUE"""),44805.0)</f>
        <v>44805</v>
      </c>
      <c r="G1837" s="24" t="str">
        <f>IFERROR(__xludf.DUMMYFUNCTION("""COMPUTED_VALUE"""),"Sheneil Black")</f>
        <v>Sheneil Black</v>
      </c>
      <c r="H1837" s="24">
        <f>IFERROR(__xludf.DUMMYFUNCTION("""COMPUTED_VALUE"""),2.0)</f>
        <v>2</v>
      </c>
      <c r="I1837" s="24"/>
    </row>
    <row r="1838">
      <c r="A1838" s="23">
        <f>IFERROR(__xludf.DUMMYFUNCTION("""COMPUTED_VALUE"""),44852.589727129634)</f>
        <v>44852.58973</v>
      </c>
      <c r="B1838" s="24" t="str">
        <f>IFERROR(__xludf.DUMMYFUNCTION("""COMPUTED_VALUE"""),"Claire")</f>
        <v>Claire</v>
      </c>
      <c r="C1838" s="24">
        <f>IFERROR(__xludf.DUMMYFUNCTION("""COMPUTED_VALUE"""),43.0)</f>
        <v>43</v>
      </c>
      <c r="D1838" s="24" t="str">
        <f>IFERROR(__xludf.DUMMYFUNCTION("""COMPUTED_VALUE"""),"Produce")</f>
        <v>Produce</v>
      </c>
      <c r="F1838" s="23">
        <f>IFERROR(__xludf.DUMMYFUNCTION("""COMPUTED_VALUE"""),44805.0)</f>
        <v>44805</v>
      </c>
      <c r="G1838" s="24" t="str">
        <f>IFERROR(__xludf.DUMMYFUNCTION("""COMPUTED_VALUE"""),"Nathaniel McClean")</f>
        <v>Nathaniel McClean</v>
      </c>
      <c r="H1838" s="24">
        <f>IFERROR(__xludf.DUMMYFUNCTION("""COMPUTED_VALUE"""),18.0)</f>
        <v>18</v>
      </c>
      <c r="I1838" s="24"/>
    </row>
    <row r="1839">
      <c r="A1839" s="23">
        <f>IFERROR(__xludf.DUMMYFUNCTION("""COMPUTED_VALUE"""),44852.58998532407)</f>
        <v>44852.58999</v>
      </c>
      <c r="B1839" s="24" t="str">
        <f>IFERROR(__xludf.DUMMYFUNCTION("""COMPUTED_VALUE"""),"Claire")</f>
        <v>Claire</v>
      </c>
      <c r="C1839" s="24">
        <f>IFERROR(__xludf.DUMMYFUNCTION("""COMPUTED_VALUE"""),98.0)</f>
        <v>98</v>
      </c>
      <c r="D1839" s="24" t="str">
        <f>IFERROR(__xludf.DUMMYFUNCTION("""COMPUTED_VALUE"""),"Produce")</f>
        <v>Produce</v>
      </c>
      <c r="F1839" s="23">
        <f>IFERROR(__xludf.DUMMYFUNCTION("""COMPUTED_VALUE"""),44805.0)</f>
        <v>44805</v>
      </c>
      <c r="G1839" s="24" t="str">
        <f>IFERROR(__xludf.DUMMYFUNCTION("""COMPUTED_VALUE"""),"Vincent Faulk")</f>
        <v>Vincent Faulk</v>
      </c>
      <c r="H1839" s="24">
        <f>IFERROR(__xludf.DUMMYFUNCTION("""COMPUTED_VALUE"""),80.0)</f>
        <v>80</v>
      </c>
      <c r="I1839" s="24"/>
    </row>
    <row r="1840">
      <c r="A1840" s="23">
        <f>IFERROR(__xludf.DUMMYFUNCTION("""COMPUTED_VALUE"""),44852.5901921412)</f>
        <v>44852.59019</v>
      </c>
      <c r="B1840" s="24" t="str">
        <f>IFERROR(__xludf.DUMMYFUNCTION("""COMPUTED_VALUE"""),"Claire")</f>
        <v>Claire</v>
      </c>
      <c r="C1840" s="24">
        <f>IFERROR(__xludf.DUMMYFUNCTION("""COMPUTED_VALUE"""),16.0)</f>
        <v>16</v>
      </c>
      <c r="D1840" s="24" t="str">
        <f>IFERROR(__xludf.DUMMYFUNCTION("""COMPUTED_VALUE"""),"Produce")</f>
        <v>Produce</v>
      </c>
      <c r="F1840" s="23">
        <f>IFERROR(__xludf.DUMMYFUNCTION("""COMPUTED_VALUE"""),44805.0)</f>
        <v>44805</v>
      </c>
      <c r="G1840" s="24" t="str">
        <f>IFERROR(__xludf.DUMMYFUNCTION("""COMPUTED_VALUE"""),"Aziza")</f>
        <v>Aziza</v>
      </c>
      <c r="H1840" s="24">
        <f>IFERROR(__xludf.DUMMYFUNCTION("""COMPUTED_VALUE"""),1.0)</f>
        <v>1</v>
      </c>
      <c r="I1840" s="24"/>
    </row>
    <row r="1841">
      <c r="A1841" s="23">
        <f>IFERROR(__xludf.DUMMYFUNCTION("""COMPUTED_VALUE"""),44852.59040013889)</f>
        <v>44852.5904</v>
      </c>
      <c r="B1841" s="24" t="str">
        <f>IFERROR(__xludf.DUMMYFUNCTION("""COMPUTED_VALUE"""),"Claire")</f>
        <v>Claire</v>
      </c>
      <c r="C1841" s="24">
        <f>IFERROR(__xludf.DUMMYFUNCTION("""COMPUTED_VALUE"""),82.0)</f>
        <v>82</v>
      </c>
      <c r="D1841" s="24" t="str">
        <f>IFERROR(__xludf.DUMMYFUNCTION("""COMPUTED_VALUE"""),"Produce")</f>
        <v>Produce</v>
      </c>
      <c r="F1841" s="23">
        <f>IFERROR(__xludf.DUMMYFUNCTION("""COMPUTED_VALUE"""),44805.68370971065)</f>
        <v>44805.68371</v>
      </c>
      <c r="G1841" s="24" t="str">
        <f>IFERROR(__xludf.DUMMYFUNCTION("""COMPUTED_VALUE"""),"Norma Kriger")</f>
        <v>Norma Kriger</v>
      </c>
      <c r="H1841" s="24">
        <f>IFERROR(__xludf.DUMMYFUNCTION("""COMPUTED_VALUE"""),24.0)</f>
        <v>24</v>
      </c>
      <c r="I1841" s="24"/>
    </row>
    <row r="1842">
      <c r="A1842" s="23">
        <f>IFERROR(__xludf.DUMMYFUNCTION("""COMPUTED_VALUE"""),44852.60700498842)</f>
        <v>44852.607</v>
      </c>
      <c r="B1842" s="24" t="str">
        <f>IFERROR(__xludf.DUMMYFUNCTION("""COMPUTED_VALUE"""),"Claire")</f>
        <v>Claire</v>
      </c>
      <c r="C1842" s="24">
        <f>IFERROR(__xludf.DUMMYFUNCTION("""COMPUTED_VALUE"""),279.0)</f>
        <v>279</v>
      </c>
      <c r="D1842" s="24" t="str">
        <f>IFERROR(__xludf.DUMMYFUNCTION("""COMPUTED_VALUE"""),"Hand sanitizer ")</f>
        <v>Hand sanitizer </v>
      </c>
      <c r="F1842" s="23">
        <f>IFERROR(__xludf.DUMMYFUNCTION("""COMPUTED_VALUE"""),44805.69085517361)</f>
        <v>44805.69086</v>
      </c>
      <c r="G1842" s="24" t="str">
        <f>IFERROR(__xludf.DUMMYFUNCTION("""COMPUTED_VALUE"""),"Jean.  Extra. ")</f>
        <v>Jean.  Extra. </v>
      </c>
      <c r="H1842" s="24">
        <f>IFERROR(__xludf.DUMMYFUNCTION("""COMPUTED_VALUE"""),2.0)</f>
        <v>2</v>
      </c>
      <c r="I1842" s="24"/>
    </row>
    <row r="1843">
      <c r="A1843" s="23">
        <f>IFERROR(__xludf.DUMMYFUNCTION("""COMPUTED_VALUE"""),44852.60724020834)</f>
        <v>44852.60724</v>
      </c>
      <c r="B1843" s="24" t="str">
        <f>IFERROR(__xludf.DUMMYFUNCTION("""COMPUTED_VALUE"""),"Claire")</f>
        <v>Claire</v>
      </c>
      <c r="C1843" s="24">
        <f>IFERROR(__xludf.DUMMYFUNCTION("""COMPUTED_VALUE"""),656.0)</f>
        <v>656</v>
      </c>
      <c r="D1843" s="24" t="str">
        <f>IFERROR(__xludf.DUMMYFUNCTION("""COMPUTED_VALUE"""),"Drinks [Dry]")</f>
        <v>Drinks [Dry]</v>
      </c>
      <c r="F1843" s="23">
        <f>IFERROR(__xludf.DUMMYFUNCTION("""COMPUTED_VALUE"""),44805.691356574076)</f>
        <v>44805.69136</v>
      </c>
      <c r="G1843" s="24" t="str">
        <f>IFERROR(__xludf.DUMMYFUNCTION("""COMPUTED_VALUE"""),"Jean")</f>
        <v>Jean</v>
      </c>
      <c r="H1843" s="24">
        <f>IFERROR(__xludf.DUMMYFUNCTION("""COMPUTED_VALUE"""),6.0)</f>
        <v>6</v>
      </c>
      <c r="I1843" s="24"/>
    </row>
    <row r="1844">
      <c r="A1844" s="23">
        <f>IFERROR(__xludf.DUMMYFUNCTION("""COMPUTED_VALUE"""),44852.607507395835)</f>
        <v>44852.60751</v>
      </c>
      <c r="B1844" s="24" t="str">
        <f>IFERROR(__xludf.DUMMYFUNCTION("""COMPUTED_VALUE"""),"Claire")</f>
        <v>Claire</v>
      </c>
      <c r="C1844" s="24">
        <f>IFERROR(__xludf.DUMMYFUNCTION("""COMPUTED_VALUE"""),382.0)</f>
        <v>382</v>
      </c>
      <c r="D1844" s="24" t="str">
        <f>IFERROR(__xludf.DUMMYFUNCTION("""COMPUTED_VALUE"""),"Produce")</f>
        <v>Produce</v>
      </c>
      <c r="F1844" s="23">
        <f>IFERROR(__xludf.DUMMYFUNCTION("""COMPUTED_VALUE"""),44805.8474525)</f>
        <v>44805.84745</v>
      </c>
      <c r="G1844" s="24" t="str">
        <f>IFERROR(__xludf.DUMMYFUNCTION("""COMPUTED_VALUE"""),"Aziza ")</f>
        <v>Aziza </v>
      </c>
      <c r="H1844" s="24">
        <f>IFERROR(__xludf.DUMMYFUNCTION("""COMPUTED_VALUE"""),19.0)</f>
        <v>19</v>
      </c>
      <c r="I1844" s="24"/>
    </row>
    <row r="1845">
      <c r="A1845" s="23">
        <f>IFERROR(__xludf.DUMMYFUNCTION("""COMPUTED_VALUE"""),44852.60786289352)</f>
        <v>44852.60786</v>
      </c>
      <c r="B1845" s="24" t="str">
        <f>IFERROR(__xludf.DUMMYFUNCTION("""COMPUTED_VALUE"""),"Claire")</f>
        <v>Claire</v>
      </c>
      <c r="C1845" s="24">
        <f>IFERROR(__xludf.DUMMYFUNCTION("""COMPUTED_VALUE"""),410.0)</f>
        <v>410</v>
      </c>
      <c r="D1845" s="24" t="str">
        <f>IFERROR(__xludf.DUMMYFUNCTION("""COMPUTED_VALUE"""),"Produce")</f>
        <v>Produce</v>
      </c>
      <c r="F1845" s="23">
        <f>IFERROR(__xludf.DUMMYFUNCTION("""COMPUTED_VALUE"""),44806.0)</f>
        <v>44806</v>
      </c>
      <c r="G1845" s="24" t="str">
        <f>IFERROR(__xludf.DUMMYFUNCTION("""COMPUTED_VALUE"""),"Juanita Chandler")</f>
        <v>Juanita Chandler</v>
      </c>
      <c r="H1845" s="24">
        <f>IFERROR(__xludf.DUMMYFUNCTION("""COMPUTED_VALUE"""),8.0)</f>
        <v>8</v>
      </c>
      <c r="I1845" s="24"/>
    </row>
    <row r="1846">
      <c r="A1846" s="23">
        <f>IFERROR(__xludf.DUMMYFUNCTION("""COMPUTED_VALUE"""),44852.608079791666)</f>
        <v>44852.60808</v>
      </c>
      <c r="B1846" s="24" t="str">
        <f>IFERROR(__xludf.DUMMYFUNCTION("""COMPUTED_VALUE"""),"Claire")</f>
        <v>Claire</v>
      </c>
      <c r="C1846" s="24">
        <f>IFERROR(__xludf.DUMMYFUNCTION("""COMPUTED_VALUE"""),190.0)</f>
        <v>190</v>
      </c>
      <c r="D1846" s="24" t="str">
        <f>IFERROR(__xludf.DUMMYFUNCTION("""COMPUTED_VALUE"""),"Produce")</f>
        <v>Produce</v>
      </c>
      <c r="F1846" s="23">
        <f>IFERROR(__xludf.DUMMYFUNCTION("""COMPUTED_VALUE"""),44806.0)</f>
        <v>44806</v>
      </c>
      <c r="G1846" s="24" t="str">
        <f>IFERROR(__xludf.DUMMYFUNCTION("""COMPUTED_VALUE"""),"Juanita Chandler")</f>
        <v>Juanita Chandler</v>
      </c>
      <c r="H1846" s="24">
        <f>IFERROR(__xludf.DUMMYFUNCTION("""COMPUTED_VALUE"""),9.0)</f>
        <v>9</v>
      </c>
      <c r="I1846" s="24"/>
    </row>
    <row r="1847">
      <c r="A1847" s="23">
        <f>IFERROR(__xludf.DUMMYFUNCTION("""COMPUTED_VALUE"""),44852.608293136575)</f>
        <v>44852.60829</v>
      </c>
      <c r="B1847" s="24" t="str">
        <f>IFERROR(__xludf.DUMMYFUNCTION("""COMPUTED_VALUE"""),"Claire")</f>
        <v>Claire</v>
      </c>
      <c r="C1847" s="24">
        <f>IFERROR(__xludf.DUMMYFUNCTION("""COMPUTED_VALUE"""),131.0)</f>
        <v>131</v>
      </c>
      <c r="D1847" s="24" t="str">
        <f>IFERROR(__xludf.DUMMYFUNCTION("""COMPUTED_VALUE"""),"Assorted Dry")</f>
        <v>Assorted Dry</v>
      </c>
      <c r="F1847" s="23">
        <f>IFERROR(__xludf.DUMMYFUNCTION("""COMPUTED_VALUE"""),44806.0)</f>
        <v>44806</v>
      </c>
      <c r="G1847" s="24" t="str">
        <f>IFERROR(__xludf.DUMMYFUNCTION("""COMPUTED_VALUE"""),"Obi Nwokoro")</f>
        <v>Obi Nwokoro</v>
      </c>
      <c r="H1847" s="24">
        <f>IFERROR(__xludf.DUMMYFUNCTION("""COMPUTED_VALUE"""),20.0)</f>
        <v>20</v>
      </c>
      <c r="I1847" s="24"/>
    </row>
    <row r="1848">
      <c r="A1848" s="23">
        <f>IFERROR(__xludf.DUMMYFUNCTION("""COMPUTED_VALUE"""),44852.60858585648)</f>
        <v>44852.60859</v>
      </c>
      <c r="B1848" s="24" t="str">
        <f>IFERROR(__xludf.DUMMYFUNCTION("""COMPUTED_VALUE"""),"Claire")</f>
        <v>Claire</v>
      </c>
      <c r="C1848" s="24">
        <f>IFERROR(__xludf.DUMMYFUNCTION("""COMPUTED_VALUE"""),183.0)</f>
        <v>183</v>
      </c>
      <c r="D1848" s="24" t="str">
        <f>IFERROR(__xludf.DUMMYFUNCTION("""COMPUTED_VALUE"""),"Snacks")</f>
        <v>Snacks</v>
      </c>
      <c r="F1848" s="23">
        <f>IFERROR(__xludf.DUMMYFUNCTION("""COMPUTED_VALUE"""),44806.0)</f>
        <v>44806</v>
      </c>
      <c r="G1848" s="24" t="str">
        <f>IFERROR(__xludf.DUMMYFUNCTION("""COMPUTED_VALUE"""),"Adeola Sulaiman")</f>
        <v>Adeola Sulaiman</v>
      </c>
      <c r="H1848" s="24">
        <f>IFERROR(__xludf.DUMMYFUNCTION("""COMPUTED_VALUE"""),20.0)</f>
        <v>20</v>
      </c>
      <c r="I1848" s="24"/>
    </row>
    <row r="1849">
      <c r="A1849" s="23">
        <f>IFERROR(__xludf.DUMMYFUNCTION("""COMPUTED_VALUE"""),44852.60880983796)</f>
        <v>44852.60881</v>
      </c>
      <c r="B1849" s="24" t="str">
        <f>IFERROR(__xludf.DUMMYFUNCTION("""COMPUTED_VALUE"""),"Claire")</f>
        <v>Claire</v>
      </c>
      <c r="C1849" s="24">
        <f>IFERROR(__xludf.DUMMYFUNCTION("""COMPUTED_VALUE"""),143.0)</f>
        <v>143</v>
      </c>
      <c r="D1849" s="24" t="str">
        <f>IFERROR(__xludf.DUMMYFUNCTION("""COMPUTED_VALUE"""),"Assorted Dry")</f>
        <v>Assorted Dry</v>
      </c>
      <c r="F1849" s="23">
        <f>IFERROR(__xludf.DUMMYFUNCTION("""COMPUTED_VALUE"""),44806.0)</f>
        <v>44806</v>
      </c>
      <c r="G1849" s="24" t="str">
        <f>IFERROR(__xludf.DUMMYFUNCTION("""COMPUTED_VALUE"""),"Adeola Sulaiman")</f>
        <v>Adeola Sulaiman</v>
      </c>
      <c r="H1849" s="24">
        <f>IFERROR(__xludf.DUMMYFUNCTION("""COMPUTED_VALUE"""),17.0)</f>
        <v>17</v>
      </c>
      <c r="I1849" s="24"/>
    </row>
    <row r="1850">
      <c r="A1850" s="23">
        <f>IFERROR(__xludf.DUMMYFUNCTION("""COMPUTED_VALUE"""),44852.60909003472)</f>
        <v>44852.60909</v>
      </c>
      <c r="B1850" s="24" t="str">
        <f>IFERROR(__xludf.DUMMYFUNCTION("""COMPUTED_VALUE"""),"Claire")</f>
        <v>Claire</v>
      </c>
      <c r="C1850" s="24">
        <f>IFERROR(__xludf.DUMMYFUNCTION("""COMPUTED_VALUE"""),154.0)</f>
        <v>154</v>
      </c>
      <c r="D1850" s="24" t="str">
        <f>IFERROR(__xludf.DUMMYFUNCTION("""COMPUTED_VALUE"""),"Assorted Fridge")</f>
        <v>Assorted Fridge</v>
      </c>
      <c r="F1850" s="23">
        <f>IFERROR(__xludf.DUMMYFUNCTION("""COMPUTED_VALUE"""),44806.0)</f>
        <v>44806</v>
      </c>
      <c r="G1850" s="24" t="str">
        <f>IFERROR(__xludf.DUMMYFUNCTION("""COMPUTED_VALUE"""),"Janet Lomax")</f>
        <v>Janet Lomax</v>
      </c>
      <c r="H1850" s="24">
        <f>IFERROR(__xludf.DUMMYFUNCTION("""COMPUTED_VALUE"""),20.0)</f>
        <v>20</v>
      </c>
      <c r="I1850" s="24"/>
    </row>
    <row r="1851">
      <c r="A1851" s="23">
        <f>IFERROR(__xludf.DUMMYFUNCTION("""COMPUTED_VALUE"""),44852.60926528936)</f>
        <v>44852.60927</v>
      </c>
      <c r="B1851" s="24" t="str">
        <f>IFERROR(__xludf.DUMMYFUNCTION("""COMPUTED_VALUE"""),"Claire")</f>
        <v>Claire</v>
      </c>
      <c r="C1851" s="24">
        <f>IFERROR(__xludf.DUMMYFUNCTION("""COMPUTED_VALUE"""),71.0)</f>
        <v>71</v>
      </c>
      <c r="D1851" s="24" t="str">
        <f>IFERROR(__xludf.DUMMYFUNCTION("""COMPUTED_VALUE"""),"Assorted Dry")</f>
        <v>Assorted Dry</v>
      </c>
      <c r="F1851" s="23">
        <f>IFERROR(__xludf.DUMMYFUNCTION("""COMPUTED_VALUE"""),44806.63787452546)</f>
        <v>44806.63787</v>
      </c>
      <c r="G1851" s="24" t="str">
        <f>IFERROR(__xludf.DUMMYFUNCTION("""COMPUTED_VALUE"""),"Adeola Sulaiman")</f>
        <v>Adeola Sulaiman</v>
      </c>
      <c r="H1851" s="24">
        <f>IFERROR(__xludf.DUMMYFUNCTION("""COMPUTED_VALUE"""),198.0)</f>
        <v>198</v>
      </c>
      <c r="I1851" s="24" t="str">
        <f>IFERROR(__xludf.DUMMYFUNCTION("""COMPUTED_VALUE"""),"Household")</f>
        <v>Household</v>
      </c>
    </row>
    <row r="1852">
      <c r="A1852" s="23">
        <f>IFERROR(__xludf.DUMMYFUNCTION("""COMPUTED_VALUE"""),44853.59020402778)</f>
        <v>44853.5902</v>
      </c>
      <c r="B1852" s="24" t="str">
        <f>IFERROR(__xludf.DUMMYFUNCTION("""COMPUTED_VALUE"""),"Claire")</f>
        <v>Claire</v>
      </c>
      <c r="C1852" s="24">
        <f>IFERROR(__xludf.DUMMYFUNCTION("""COMPUTED_VALUE"""),208.0)</f>
        <v>208</v>
      </c>
      <c r="D1852" s="24" t="str">
        <f>IFERROR(__xludf.DUMMYFUNCTION("""COMPUTED_VALUE"""),"Cleaning Supplies")</f>
        <v>Cleaning Supplies</v>
      </c>
      <c r="F1852" s="23">
        <f>IFERROR(__xludf.DUMMYFUNCTION("""COMPUTED_VALUE"""),44806.638179155096)</f>
        <v>44806.63818</v>
      </c>
      <c r="G1852" s="24" t="str">
        <f>IFERROR(__xludf.DUMMYFUNCTION("""COMPUTED_VALUE"""),"Adeola Sulaiman")</f>
        <v>Adeola Sulaiman</v>
      </c>
      <c r="H1852" s="24">
        <f>IFERROR(__xludf.DUMMYFUNCTION("""COMPUTED_VALUE"""),109.0)</f>
        <v>109</v>
      </c>
      <c r="I1852" s="24" t="str">
        <f>IFERROR(__xludf.DUMMYFUNCTION("""COMPUTED_VALUE"""),"Snacks")</f>
        <v>Snacks</v>
      </c>
    </row>
    <row r="1853">
      <c r="A1853" s="23">
        <f>IFERROR(__xludf.DUMMYFUNCTION("""COMPUTED_VALUE"""),44855.5637421412)</f>
        <v>44855.56374</v>
      </c>
      <c r="B1853" s="24" t="str">
        <f>IFERROR(__xludf.DUMMYFUNCTION("""COMPUTED_VALUE"""),"Claire")</f>
        <v>Claire</v>
      </c>
      <c r="C1853" s="24">
        <f>IFERROR(__xludf.DUMMYFUNCTION("""COMPUTED_VALUE"""),240.0)</f>
        <v>240</v>
      </c>
      <c r="D1853" s="24" t="str">
        <f>IFERROR(__xludf.DUMMYFUNCTION("""COMPUTED_VALUE"""),"Hand sanitizer ")</f>
        <v>Hand sanitizer </v>
      </c>
      <c r="F1853" s="23">
        <f>IFERROR(__xludf.DUMMYFUNCTION("""COMPUTED_VALUE"""),44806.63875496528)</f>
        <v>44806.63875</v>
      </c>
      <c r="G1853" s="24" t="str">
        <f>IFERROR(__xludf.DUMMYFUNCTION("""COMPUTED_VALUE"""),"Adeola Sulaiman")</f>
        <v>Adeola Sulaiman</v>
      </c>
      <c r="H1853" s="24">
        <f>IFERROR(__xludf.DUMMYFUNCTION("""COMPUTED_VALUE"""),71.0)</f>
        <v>71</v>
      </c>
      <c r="I1853" s="24" t="str">
        <f>IFERROR(__xludf.DUMMYFUNCTION("""COMPUTED_VALUE"""),"Personal Care")</f>
        <v>Personal Care</v>
      </c>
    </row>
    <row r="1854">
      <c r="A1854" s="23">
        <f>IFERROR(__xludf.DUMMYFUNCTION("""COMPUTED_VALUE"""),44855.564345370374)</f>
        <v>44855.56435</v>
      </c>
      <c r="B1854" s="24" t="str">
        <f>IFERROR(__xludf.DUMMYFUNCTION("""COMPUTED_VALUE"""),"Claire")</f>
        <v>Claire</v>
      </c>
      <c r="C1854" s="24">
        <f>IFERROR(__xludf.DUMMYFUNCTION("""COMPUTED_VALUE"""),600.0)</f>
        <v>600</v>
      </c>
      <c r="D1854" s="24" t="str">
        <f>IFERROR(__xludf.DUMMYFUNCTION("""COMPUTED_VALUE"""),"Hand sanitizer ")</f>
        <v>Hand sanitizer </v>
      </c>
      <c r="F1854" s="23">
        <f>IFERROR(__xludf.DUMMYFUNCTION("""COMPUTED_VALUE"""),44806.678959687495)</f>
        <v>44806.67896</v>
      </c>
      <c r="G1854" s="24" t="str">
        <f>IFERROR(__xludf.DUMMYFUNCTION("""COMPUTED_VALUE"""),"Jan Kleinman ")</f>
        <v>Jan Kleinman </v>
      </c>
      <c r="H1854" s="24">
        <f>IFERROR(__xludf.DUMMYFUNCTION("""COMPUTED_VALUE"""),17.0)</f>
        <v>17</v>
      </c>
      <c r="I1854" s="24"/>
    </row>
    <row r="1855">
      <c r="A1855" s="23">
        <f>IFERROR(__xludf.DUMMYFUNCTION("""COMPUTED_VALUE"""),44855.564937627314)</f>
        <v>44855.56494</v>
      </c>
      <c r="B1855" s="24" t="str">
        <f>IFERROR(__xludf.DUMMYFUNCTION("""COMPUTED_VALUE"""),"Claire")</f>
        <v>Claire</v>
      </c>
      <c r="C1855" s="24">
        <f>IFERROR(__xludf.DUMMYFUNCTION("""COMPUTED_VALUE"""),156.0)</f>
        <v>156</v>
      </c>
      <c r="D1855" s="24" t="str">
        <f>IFERROR(__xludf.DUMMYFUNCTION("""COMPUTED_VALUE"""),"Snacks")</f>
        <v>Snacks</v>
      </c>
      <c r="F1855" s="23">
        <f>IFERROR(__xludf.DUMMYFUNCTION("""COMPUTED_VALUE"""),44806.70556809027)</f>
        <v>44806.70557</v>
      </c>
      <c r="G1855" s="24" t="str">
        <f>IFERROR(__xludf.DUMMYFUNCTION("""COMPUTED_VALUE"""),"Sunita pathik")</f>
        <v>Sunita pathik</v>
      </c>
      <c r="H1855" s="24">
        <f>IFERROR(__xludf.DUMMYFUNCTION("""COMPUTED_VALUE"""),10.0)</f>
        <v>10</v>
      </c>
      <c r="I1855" s="24"/>
    </row>
    <row r="1856">
      <c r="A1856" s="23">
        <f>IFERROR(__xludf.DUMMYFUNCTION("""COMPUTED_VALUE"""),44855.5655596875)</f>
        <v>44855.56556</v>
      </c>
      <c r="B1856" s="24" t="str">
        <f>IFERROR(__xludf.DUMMYFUNCTION("""COMPUTED_VALUE"""),"Claire")</f>
        <v>Claire</v>
      </c>
      <c r="C1856" s="24">
        <f>IFERROR(__xludf.DUMMYFUNCTION("""COMPUTED_VALUE"""),89.0)</f>
        <v>89</v>
      </c>
      <c r="D1856" s="24" t="str">
        <f>IFERROR(__xludf.DUMMYFUNCTION("""COMPUTED_VALUE"""),"Snacks")</f>
        <v>Snacks</v>
      </c>
      <c r="F1856" s="23">
        <f>IFERROR(__xludf.DUMMYFUNCTION("""COMPUTED_VALUE"""),44806.70634690972)</f>
        <v>44806.70635</v>
      </c>
      <c r="G1856" s="24" t="str">
        <f>IFERROR(__xludf.DUMMYFUNCTION("""COMPUTED_VALUE"""),"Sunita pathik ")</f>
        <v>Sunita pathik </v>
      </c>
      <c r="H1856" s="24">
        <f>IFERROR(__xludf.DUMMYFUNCTION("""COMPUTED_VALUE"""),152.0)</f>
        <v>152</v>
      </c>
      <c r="I1856" s="24" t="str">
        <f>IFERROR(__xludf.DUMMYFUNCTION("""COMPUTED_VALUE"""),"Assorted Fridge")</f>
        <v>Assorted Fridge</v>
      </c>
    </row>
    <row r="1857">
      <c r="A1857" s="23">
        <f>IFERROR(__xludf.DUMMYFUNCTION("""COMPUTED_VALUE"""),44855.566267766204)</f>
        <v>44855.56627</v>
      </c>
      <c r="B1857" s="24" t="str">
        <f>IFERROR(__xludf.DUMMYFUNCTION("""COMPUTED_VALUE"""),"Claire")</f>
        <v>Claire</v>
      </c>
      <c r="C1857" s="24">
        <f>IFERROR(__xludf.DUMMYFUNCTION("""COMPUTED_VALUE"""),192.0)</f>
        <v>192</v>
      </c>
      <c r="D1857" s="24" t="str">
        <f>IFERROR(__xludf.DUMMYFUNCTION("""COMPUTED_VALUE"""),"Hand sanitizer ")</f>
        <v>Hand sanitizer </v>
      </c>
      <c r="F1857" s="23">
        <f>IFERROR(__xludf.DUMMYFUNCTION("""COMPUTED_VALUE"""),44807.0)</f>
        <v>44807</v>
      </c>
      <c r="G1857" s="24" t="str">
        <f>IFERROR(__xludf.DUMMYFUNCTION("""COMPUTED_VALUE"""),"Denise Brown")</f>
        <v>Denise Brown</v>
      </c>
      <c r="H1857" s="24">
        <f>IFERROR(__xludf.DUMMYFUNCTION("""COMPUTED_VALUE"""),2.0)</f>
        <v>2</v>
      </c>
      <c r="I1857" s="24"/>
    </row>
    <row r="1858">
      <c r="A1858" s="23">
        <f>IFERROR(__xludf.DUMMYFUNCTION("""COMPUTED_VALUE"""),44855.56667078703)</f>
        <v>44855.56667</v>
      </c>
      <c r="B1858" s="24" t="str">
        <f>IFERROR(__xludf.DUMMYFUNCTION("""COMPUTED_VALUE"""),"Claire")</f>
        <v>Claire</v>
      </c>
      <c r="C1858" s="24">
        <f>IFERROR(__xludf.DUMMYFUNCTION("""COMPUTED_VALUE"""),105.0)</f>
        <v>105</v>
      </c>
      <c r="D1858" s="24" t="str">
        <f>IFERROR(__xludf.DUMMYFUNCTION("""COMPUTED_VALUE"""),"Fruit cups ")</f>
        <v>Fruit cups </v>
      </c>
      <c r="F1858" s="23">
        <f>IFERROR(__xludf.DUMMYFUNCTION("""COMPUTED_VALUE"""),44807.0)</f>
        <v>44807</v>
      </c>
      <c r="G1858" s="24" t="str">
        <f>IFERROR(__xludf.DUMMYFUNCTION("""COMPUTED_VALUE"""),"Dean Chien")</f>
        <v>Dean Chien</v>
      </c>
      <c r="H1858" s="24">
        <f>IFERROR(__xludf.DUMMYFUNCTION("""COMPUTED_VALUE"""),2.0)</f>
        <v>2</v>
      </c>
      <c r="I1858" s="24"/>
    </row>
    <row r="1859">
      <c r="A1859" s="23">
        <f>IFERROR(__xludf.DUMMYFUNCTION("""COMPUTED_VALUE"""),44855.56701296296)</f>
        <v>44855.56701</v>
      </c>
      <c r="B1859" s="24" t="str">
        <f>IFERROR(__xludf.DUMMYFUNCTION("""COMPUTED_VALUE"""),"Claire")</f>
        <v>Claire</v>
      </c>
      <c r="C1859" s="24">
        <f>IFERROR(__xludf.DUMMYFUNCTION("""COMPUTED_VALUE"""),36.0)</f>
        <v>36</v>
      </c>
      <c r="D1859" s="24" t="str">
        <f>IFERROR(__xludf.DUMMYFUNCTION("""COMPUTED_VALUE"""),"Snacks")</f>
        <v>Snacks</v>
      </c>
      <c r="F1859" s="23">
        <f>IFERROR(__xludf.DUMMYFUNCTION("""COMPUTED_VALUE"""),44807.72137663195)</f>
        <v>44807.72138</v>
      </c>
      <c r="G1859" s="24" t="str">
        <f>IFERROR(__xludf.DUMMYFUNCTION("""COMPUTED_VALUE"""),"Claire")</f>
        <v>Claire</v>
      </c>
      <c r="H1859" s="24">
        <f>IFERROR(__xludf.DUMMYFUNCTION("""COMPUTED_VALUE"""),67.0)</f>
        <v>67</v>
      </c>
      <c r="I1859" s="24" t="str">
        <f>IFERROR(__xludf.DUMMYFUNCTION("""COMPUTED_VALUE"""),"Assorted Dry")</f>
        <v>Assorted Dry</v>
      </c>
    </row>
    <row r="1860">
      <c r="A1860" s="23">
        <f>IFERROR(__xludf.DUMMYFUNCTION("""COMPUTED_VALUE"""),44855.5678146412)</f>
        <v>44855.56781</v>
      </c>
      <c r="B1860" s="24" t="str">
        <f>IFERROR(__xludf.DUMMYFUNCTION("""COMPUTED_VALUE"""),"Claire ")</f>
        <v>Claire </v>
      </c>
      <c r="C1860" s="24">
        <f>IFERROR(__xludf.DUMMYFUNCTION("""COMPUTED_VALUE"""),756.0)</f>
        <v>756</v>
      </c>
      <c r="D1860" s="24" t="str">
        <f>IFERROR(__xludf.DUMMYFUNCTION("""COMPUTED_VALUE"""),"Boxes")</f>
        <v>Boxes</v>
      </c>
      <c r="F1860" s="23">
        <f>IFERROR(__xludf.DUMMYFUNCTION("""COMPUTED_VALUE"""),44807.72164733796)</f>
        <v>44807.72165</v>
      </c>
      <c r="G1860" s="24" t="str">
        <f>IFERROR(__xludf.DUMMYFUNCTION("""COMPUTED_VALUE"""),"Claire")</f>
        <v>Claire</v>
      </c>
      <c r="H1860" s="24">
        <f>IFERROR(__xludf.DUMMYFUNCTION("""COMPUTED_VALUE"""),77.0)</f>
        <v>77</v>
      </c>
      <c r="I1860" s="24" t="str">
        <f>IFERROR(__xludf.DUMMYFUNCTION("""COMPUTED_VALUE"""),"Household")</f>
        <v>Household</v>
      </c>
    </row>
    <row r="1861">
      <c r="A1861" s="23">
        <f>IFERROR(__xludf.DUMMYFUNCTION("""COMPUTED_VALUE"""),44855.56827474537)</f>
        <v>44855.56827</v>
      </c>
      <c r="B1861" s="24" t="str">
        <f>IFERROR(__xludf.DUMMYFUNCTION("""COMPUTED_VALUE"""),"Claire ")</f>
        <v>Claire </v>
      </c>
      <c r="C1861" s="24">
        <f>IFERROR(__xludf.DUMMYFUNCTION("""COMPUTED_VALUE"""),791.0)</f>
        <v>791</v>
      </c>
      <c r="D1861" s="24" t="str">
        <f>IFERROR(__xludf.DUMMYFUNCTION("""COMPUTED_VALUE"""),"Boxes")</f>
        <v>Boxes</v>
      </c>
      <c r="F1861" s="23">
        <f>IFERROR(__xludf.DUMMYFUNCTION("""COMPUTED_VALUE"""),44807.721994907406)</f>
        <v>44807.72199</v>
      </c>
      <c r="G1861" s="24" t="str">
        <f>IFERROR(__xludf.DUMMYFUNCTION("""COMPUTED_VALUE"""),"Claire")</f>
        <v>Claire</v>
      </c>
      <c r="H1861" s="24">
        <f>IFERROR(__xludf.DUMMYFUNCTION("""COMPUTED_VALUE"""),275.0)</f>
        <v>275</v>
      </c>
      <c r="I1861" s="24" t="str">
        <f>IFERROR(__xludf.DUMMYFUNCTION("""COMPUTED_VALUE"""),"Cleaning Supplies")</f>
        <v>Cleaning Supplies</v>
      </c>
    </row>
    <row r="1862">
      <c r="A1862" s="23">
        <f>IFERROR(__xludf.DUMMYFUNCTION("""COMPUTED_VALUE"""),44855.56876084491)</f>
        <v>44855.56876</v>
      </c>
      <c r="B1862" s="24" t="str">
        <f>IFERROR(__xludf.DUMMYFUNCTION("""COMPUTED_VALUE"""),"Claire ")</f>
        <v>Claire </v>
      </c>
      <c r="C1862" s="24">
        <f>IFERROR(__xludf.DUMMYFUNCTION("""COMPUTED_VALUE"""),1414.0)</f>
        <v>1414</v>
      </c>
      <c r="D1862" s="24" t="str">
        <f>IFERROR(__xludf.DUMMYFUNCTION("""COMPUTED_VALUE"""),"Produce")</f>
        <v>Produce</v>
      </c>
      <c r="F1862" s="23">
        <f>IFERROR(__xludf.DUMMYFUNCTION("""COMPUTED_VALUE"""),44807.72265689815)</f>
        <v>44807.72266</v>
      </c>
      <c r="G1862" s="24" t="str">
        <f>IFERROR(__xludf.DUMMYFUNCTION("""COMPUTED_VALUE"""),"Claire")</f>
        <v>Claire</v>
      </c>
      <c r="H1862" s="24">
        <f>IFERROR(__xludf.DUMMYFUNCTION("""COMPUTED_VALUE"""),542.0)</f>
        <v>542</v>
      </c>
      <c r="I1862" s="24" t="str">
        <f>IFERROR(__xludf.DUMMYFUNCTION("""COMPUTED_VALUE"""),"Snacks")</f>
        <v>Snacks</v>
      </c>
    </row>
    <row r="1863">
      <c r="A1863" s="23">
        <f>IFERROR(__xludf.DUMMYFUNCTION("""COMPUTED_VALUE"""),44855.569200046295)</f>
        <v>44855.5692</v>
      </c>
      <c r="B1863" s="24" t="str">
        <f>IFERROR(__xludf.DUMMYFUNCTION("""COMPUTED_VALUE"""),"Claire ")</f>
        <v>Claire </v>
      </c>
      <c r="C1863" s="24">
        <f>IFERROR(__xludf.DUMMYFUNCTION("""COMPUTED_VALUE"""),804.0)</f>
        <v>804</v>
      </c>
      <c r="D1863" s="24" t="str">
        <f>IFERROR(__xludf.DUMMYFUNCTION("""COMPUTED_VALUE"""),"Boxes")</f>
        <v>Boxes</v>
      </c>
      <c r="F1863" s="23">
        <f>IFERROR(__xludf.DUMMYFUNCTION("""COMPUTED_VALUE"""),44807.722964062494)</f>
        <v>44807.72296</v>
      </c>
      <c r="G1863" s="24" t="str">
        <f>IFERROR(__xludf.DUMMYFUNCTION("""COMPUTED_VALUE"""),"Claire")</f>
        <v>Claire</v>
      </c>
      <c r="H1863" s="24">
        <f>IFERROR(__xludf.DUMMYFUNCTION("""COMPUTED_VALUE"""),69.0)</f>
        <v>69</v>
      </c>
      <c r="I1863" s="24" t="str">
        <f>IFERROR(__xludf.DUMMYFUNCTION("""COMPUTED_VALUE"""),"Snacks")</f>
        <v>Snacks</v>
      </c>
    </row>
    <row r="1864">
      <c r="A1864" s="23">
        <f>IFERROR(__xludf.DUMMYFUNCTION("""COMPUTED_VALUE"""),44855.569638472225)</f>
        <v>44855.56964</v>
      </c>
      <c r="B1864" s="24" t="str">
        <f>IFERROR(__xludf.DUMMYFUNCTION("""COMPUTED_VALUE"""),"Claire ")</f>
        <v>Claire </v>
      </c>
      <c r="C1864" s="24">
        <f>IFERROR(__xludf.DUMMYFUNCTION("""COMPUTED_VALUE"""),781.0)</f>
        <v>781</v>
      </c>
      <c r="D1864" s="24" t="str">
        <f>IFERROR(__xludf.DUMMYFUNCTION("""COMPUTED_VALUE"""),"Boxes")</f>
        <v>Boxes</v>
      </c>
      <c r="F1864" s="23">
        <f>IFERROR(__xludf.DUMMYFUNCTION("""COMPUTED_VALUE"""),44807.72364266204)</f>
        <v>44807.72364</v>
      </c>
      <c r="G1864" s="24" t="str">
        <f>IFERROR(__xludf.DUMMYFUNCTION("""COMPUTED_VALUE"""),"Claire")</f>
        <v>Claire</v>
      </c>
      <c r="H1864" s="24">
        <f>IFERROR(__xludf.DUMMYFUNCTION("""COMPUTED_VALUE"""),953.0)</f>
        <v>953</v>
      </c>
      <c r="I1864" s="24" t="str">
        <f>IFERROR(__xludf.DUMMYFUNCTION("""COMPUTED_VALUE"""),"Produce")</f>
        <v>Produce</v>
      </c>
    </row>
    <row r="1865">
      <c r="A1865" s="23">
        <f>IFERROR(__xludf.DUMMYFUNCTION("""COMPUTED_VALUE"""),44855.570063692125)</f>
        <v>44855.57006</v>
      </c>
      <c r="B1865" s="24" t="str">
        <f>IFERROR(__xludf.DUMMYFUNCTION("""COMPUTED_VALUE"""),"Claire ")</f>
        <v>Claire </v>
      </c>
      <c r="C1865" s="24">
        <f>IFERROR(__xludf.DUMMYFUNCTION("""COMPUTED_VALUE"""),129.0)</f>
        <v>129</v>
      </c>
      <c r="D1865" s="24" t="str">
        <f>IFERROR(__xludf.DUMMYFUNCTION("""COMPUTED_VALUE"""),"Produce")</f>
        <v>Produce</v>
      </c>
      <c r="F1865" s="23">
        <f>IFERROR(__xludf.DUMMYFUNCTION("""COMPUTED_VALUE"""),44807.72404434028)</f>
        <v>44807.72404</v>
      </c>
      <c r="G1865" s="24" t="str">
        <f>IFERROR(__xludf.DUMMYFUNCTION("""COMPUTED_VALUE"""),"Claire")</f>
        <v>Claire</v>
      </c>
      <c r="H1865" s="24">
        <f>IFERROR(__xludf.DUMMYFUNCTION("""COMPUTED_VALUE"""),955.0)</f>
        <v>955</v>
      </c>
      <c r="I1865" s="24" t="str">
        <f>IFERROR(__xludf.DUMMYFUNCTION("""COMPUTED_VALUE"""),"Produce")</f>
        <v>Produce</v>
      </c>
    </row>
    <row r="1866">
      <c r="A1866" s="23">
        <f>IFERROR(__xludf.DUMMYFUNCTION("""COMPUTED_VALUE"""),44855.57052543982)</f>
        <v>44855.57053</v>
      </c>
      <c r="B1866" s="24" t="str">
        <f>IFERROR(__xludf.DUMMYFUNCTION("""COMPUTED_VALUE"""),"Claire ")</f>
        <v>Claire </v>
      </c>
      <c r="C1866" s="24">
        <f>IFERROR(__xludf.DUMMYFUNCTION("""COMPUTED_VALUE"""),1312.0)</f>
        <v>1312</v>
      </c>
      <c r="D1866" s="24" t="str">
        <f>IFERROR(__xludf.DUMMYFUNCTION("""COMPUTED_VALUE"""),"Drinks [Dry]")</f>
        <v>Drinks [Dry]</v>
      </c>
      <c r="F1866" s="23">
        <f>IFERROR(__xludf.DUMMYFUNCTION("""COMPUTED_VALUE"""),44807.72424642361)</f>
        <v>44807.72425</v>
      </c>
      <c r="G1866" s="24" t="str">
        <f>IFERROR(__xludf.DUMMYFUNCTION("""COMPUTED_VALUE"""),"Claire")</f>
        <v>Claire</v>
      </c>
      <c r="H1866" s="24">
        <f>IFERROR(__xludf.DUMMYFUNCTION("""COMPUTED_VALUE"""),1038.0)</f>
        <v>1038</v>
      </c>
      <c r="I1866" s="24" t="str">
        <f>IFERROR(__xludf.DUMMYFUNCTION("""COMPUTED_VALUE"""),"Drinks [Dry]")</f>
        <v>Drinks [Dry]</v>
      </c>
    </row>
    <row r="1867">
      <c r="A1867" s="23">
        <f>IFERROR(__xludf.DUMMYFUNCTION("""COMPUTED_VALUE"""),44855.67014693287)</f>
        <v>44855.67015</v>
      </c>
      <c r="B1867" s="24" t="str">
        <f>IFERROR(__xludf.DUMMYFUNCTION("""COMPUTED_VALUE"""),"Claire")</f>
        <v>Claire</v>
      </c>
      <c r="C1867" s="24">
        <f>IFERROR(__xludf.DUMMYFUNCTION("""COMPUTED_VALUE"""),1309.0)</f>
        <v>1309</v>
      </c>
      <c r="D1867" s="24" t="str">
        <f>IFERROR(__xludf.DUMMYFUNCTION("""COMPUTED_VALUE"""),"Drinks [Dry]")</f>
        <v>Drinks [Dry]</v>
      </c>
      <c r="F1867" s="23">
        <f>IFERROR(__xludf.DUMMYFUNCTION("""COMPUTED_VALUE"""),44807.7245580324)</f>
        <v>44807.72456</v>
      </c>
      <c r="G1867" s="24" t="str">
        <f>IFERROR(__xludf.DUMMYFUNCTION("""COMPUTED_VALUE"""),"Claire")</f>
        <v>Claire</v>
      </c>
      <c r="H1867" s="24">
        <f>IFERROR(__xludf.DUMMYFUNCTION("""COMPUTED_VALUE"""),938.0)</f>
        <v>938</v>
      </c>
      <c r="I1867" s="24" t="str">
        <f>IFERROR(__xludf.DUMMYFUNCTION("""COMPUTED_VALUE"""),"Drinks [Fridge]")</f>
        <v>Drinks [Fridge]</v>
      </c>
    </row>
    <row r="1868">
      <c r="A1868" s="23">
        <f>IFERROR(__xludf.DUMMYFUNCTION("""COMPUTED_VALUE"""),44855.67052712962)</f>
        <v>44855.67053</v>
      </c>
      <c r="B1868" s="24" t="str">
        <f>IFERROR(__xludf.DUMMYFUNCTION("""COMPUTED_VALUE"""),"Claire")</f>
        <v>Claire</v>
      </c>
      <c r="C1868" s="24">
        <f>IFERROR(__xludf.DUMMYFUNCTION("""COMPUTED_VALUE"""),1448.0)</f>
        <v>1448</v>
      </c>
      <c r="D1868" s="24" t="str">
        <f>IFERROR(__xludf.DUMMYFUNCTION("""COMPUTED_VALUE"""),"Fruit cups")</f>
        <v>Fruit cups</v>
      </c>
      <c r="F1868" s="23">
        <f>IFERROR(__xludf.DUMMYFUNCTION("""COMPUTED_VALUE"""),44807.72485704861)</f>
        <v>44807.72486</v>
      </c>
      <c r="G1868" s="24" t="str">
        <f>IFERROR(__xludf.DUMMYFUNCTION("""COMPUTED_VALUE"""),"Claire")</f>
        <v>Claire</v>
      </c>
      <c r="H1868" s="24">
        <f>IFERROR(__xludf.DUMMYFUNCTION("""COMPUTED_VALUE"""),926.0)</f>
        <v>926</v>
      </c>
      <c r="I1868" s="24" t="str">
        <f>IFERROR(__xludf.DUMMYFUNCTION("""COMPUTED_VALUE"""),"Produce")</f>
        <v>Produce</v>
      </c>
    </row>
    <row r="1869">
      <c r="A1869" s="23">
        <f>IFERROR(__xludf.DUMMYFUNCTION("""COMPUTED_VALUE"""),44855.67094225694)</f>
        <v>44855.67094</v>
      </c>
      <c r="B1869" s="24" t="str">
        <f>IFERROR(__xludf.DUMMYFUNCTION("""COMPUTED_VALUE"""),"Claire")</f>
        <v>Claire</v>
      </c>
      <c r="C1869" s="24">
        <f>IFERROR(__xludf.DUMMYFUNCTION("""COMPUTED_VALUE"""),954.0)</f>
        <v>954</v>
      </c>
      <c r="D1869" s="24" t="str">
        <f>IFERROR(__xludf.DUMMYFUNCTION("""COMPUTED_VALUE"""),"Fruit cups")</f>
        <v>Fruit cups</v>
      </c>
      <c r="F1869" s="23">
        <f>IFERROR(__xludf.DUMMYFUNCTION("""COMPUTED_VALUE"""),44807.72540009259)</f>
        <v>44807.7254</v>
      </c>
      <c r="G1869" s="24" t="str">
        <f>IFERROR(__xludf.DUMMYFUNCTION("""COMPUTED_VALUE"""),"Claire")</f>
        <v>Claire</v>
      </c>
      <c r="H1869" s="24">
        <f>IFERROR(__xludf.DUMMYFUNCTION("""COMPUTED_VALUE"""),376.0)</f>
        <v>376</v>
      </c>
      <c r="I1869" s="24" t="str">
        <f>IFERROR(__xludf.DUMMYFUNCTION("""COMPUTED_VALUE"""),"Cleaning Supplies")</f>
        <v>Cleaning Supplies</v>
      </c>
    </row>
    <row r="1870">
      <c r="A1870" s="23">
        <f>IFERROR(__xludf.DUMMYFUNCTION("""COMPUTED_VALUE"""),44855.67128209491)</f>
        <v>44855.67128</v>
      </c>
      <c r="B1870" s="24" t="str">
        <f>IFERROR(__xludf.DUMMYFUNCTION("""COMPUTED_VALUE"""),"Claire")</f>
        <v>Claire</v>
      </c>
      <c r="C1870" s="24">
        <f>IFERROR(__xludf.DUMMYFUNCTION("""COMPUTED_VALUE"""),1498.0)</f>
        <v>1498</v>
      </c>
      <c r="D1870" s="24" t="str">
        <f>IFERROR(__xludf.DUMMYFUNCTION("""COMPUTED_VALUE"""),"Hand sanitizer")</f>
        <v>Hand sanitizer</v>
      </c>
      <c r="F1870" s="23">
        <f>IFERROR(__xludf.DUMMYFUNCTION("""COMPUTED_VALUE"""),44807.72568741898)</f>
        <v>44807.72569</v>
      </c>
      <c r="G1870" s="24" t="str">
        <f>IFERROR(__xludf.DUMMYFUNCTION("""COMPUTED_VALUE"""),"Claire")</f>
        <v>Claire</v>
      </c>
      <c r="H1870" s="24">
        <f>IFERROR(__xludf.DUMMYFUNCTION("""COMPUTED_VALUE"""),605.0)</f>
        <v>605</v>
      </c>
      <c r="I1870" s="24" t="str">
        <f>IFERROR(__xludf.DUMMYFUNCTION("""COMPUTED_VALUE"""),"Pet Supplies")</f>
        <v>Pet Supplies</v>
      </c>
    </row>
    <row r="1871">
      <c r="A1871" s="23">
        <f>IFERROR(__xludf.DUMMYFUNCTION("""COMPUTED_VALUE"""),44855.671754849536)</f>
        <v>44855.67175</v>
      </c>
      <c r="B1871" s="24" t="str">
        <f>IFERROR(__xludf.DUMMYFUNCTION("""COMPUTED_VALUE"""),"Claire")</f>
        <v>Claire</v>
      </c>
      <c r="C1871" s="24">
        <f>IFERROR(__xludf.DUMMYFUNCTION("""COMPUTED_VALUE"""),136.0)</f>
        <v>136</v>
      </c>
      <c r="D1871" s="24" t="str">
        <f>IFERROR(__xludf.DUMMYFUNCTION("""COMPUTED_VALUE"""),"Snacks")</f>
        <v>Snacks</v>
      </c>
      <c r="F1871" s="23">
        <f>IFERROR(__xludf.DUMMYFUNCTION("""COMPUTED_VALUE"""),44807.7285446875)</f>
        <v>44807.72854</v>
      </c>
      <c r="G1871" s="24" t="str">
        <f>IFERROR(__xludf.DUMMYFUNCTION("""COMPUTED_VALUE"""),"Angeles Cortes")</f>
        <v>Angeles Cortes</v>
      </c>
      <c r="H1871" s="24">
        <f>IFERROR(__xludf.DUMMYFUNCTION("""COMPUTED_VALUE"""),17.0)</f>
        <v>17</v>
      </c>
      <c r="I1871" s="24"/>
    </row>
    <row r="1872">
      <c r="A1872" s="23">
        <f>IFERROR(__xludf.DUMMYFUNCTION("""COMPUTED_VALUE"""),44855.67216922454)</f>
        <v>44855.67217</v>
      </c>
      <c r="B1872" s="24" t="str">
        <f>IFERROR(__xludf.DUMMYFUNCTION("""COMPUTED_VALUE"""),"Claire")</f>
        <v>Claire</v>
      </c>
      <c r="C1872" s="24">
        <f>IFERROR(__xludf.DUMMYFUNCTION("""COMPUTED_VALUE"""),1157.0)</f>
        <v>1157</v>
      </c>
      <c r="D1872" s="24" t="str">
        <f>IFERROR(__xludf.DUMMYFUNCTION("""COMPUTED_VALUE"""),"Fruit cups")</f>
        <v>Fruit cups</v>
      </c>
      <c r="F1872" s="23">
        <f>IFERROR(__xludf.DUMMYFUNCTION("""COMPUTED_VALUE"""),44807.729353912044)</f>
        <v>44807.72935</v>
      </c>
      <c r="G1872" s="24" t="str">
        <f>IFERROR(__xludf.DUMMYFUNCTION("""COMPUTED_VALUE"""),"Evelyn jiang ")</f>
        <v>Evelyn jiang </v>
      </c>
      <c r="H1872" s="24">
        <f>IFERROR(__xludf.DUMMYFUNCTION("""COMPUTED_VALUE"""),13.0)</f>
        <v>13</v>
      </c>
      <c r="I1872" s="24"/>
    </row>
    <row r="1873">
      <c r="A1873" s="23">
        <f>IFERROR(__xludf.DUMMYFUNCTION("""COMPUTED_VALUE"""),44855.672488391196)</f>
        <v>44855.67249</v>
      </c>
      <c r="B1873" s="24" t="str">
        <f>IFERROR(__xludf.DUMMYFUNCTION("""COMPUTED_VALUE"""),"Claire")</f>
        <v>Claire</v>
      </c>
      <c r="C1873" s="24">
        <f>IFERROR(__xludf.DUMMYFUNCTION("""COMPUTED_VALUE"""),368.0)</f>
        <v>368</v>
      </c>
      <c r="D1873" s="24" t="str">
        <f>IFERROR(__xludf.DUMMYFUNCTION("""COMPUTED_VALUE"""),"Assorted Dry")</f>
        <v>Assorted Dry</v>
      </c>
      <c r="F1873" s="23">
        <f>IFERROR(__xludf.DUMMYFUNCTION("""COMPUTED_VALUE"""),44807.73010163195)</f>
        <v>44807.7301</v>
      </c>
      <c r="G1873" s="24" t="str">
        <f>IFERROR(__xludf.DUMMYFUNCTION("""COMPUTED_VALUE"""),"Claire")</f>
        <v>Claire</v>
      </c>
      <c r="H1873" s="24">
        <f>IFERROR(__xludf.DUMMYFUNCTION("""COMPUTED_VALUE"""),256.0)</f>
        <v>256</v>
      </c>
      <c r="I1873" s="24" t="str">
        <f>IFERROR(__xludf.DUMMYFUNCTION("""COMPUTED_VALUE"""),"Assorted Dry")</f>
        <v>Assorted Dry</v>
      </c>
    </row>
    <row r="1874">
      <c r="A1874" s="23">
        <f>IFERROR(__xludf.DUMMYFUNCTION("""COMPUTED_VALUE"""),44855.672799699074)</f>
        <v>44855.6728</v>
      </c>
      <c r="B1874" s="24" t="str">
        <f>IFERROR(__xludf.DUMMYFUNCTION("""COMPUTED_VALUE"""),"Claire")</f>
        <v>Claire</v>
      </c>
      <c r="C1874" s="24">
        <f>IFERROR(__xludf.DUMMYFUNCTION("""COMPUTED_VALUE"""),354.0)</f>
        <v>354</v>
      </c>
      <c r="D1874" s="24" t="str">
        <f>IFERROR(__xludf.DUMMYFUNCTION("""COMPUTED_VALUE"""),"Produce")</f>
        <v>Produce</v>
      </c>
      <c r="F1874" s="23">
        <f>IFERROR(__xludf.DUMMYFUNCTION("""COMPUTED_VALUE"""),44807.73029765046)</f>
        <v>44807.7303</v>
      </c>
      <c r="G1874" s="24" t="str">
        <f>IFERROR(__xludf.DUMMYFUNCTION("""COMPUTED_VALUE"""),"Claire")</f>
        <v>Claire</v>
      </c>
      <c r="H1874" s="24">
        <f>IFERROR(__xludf.DUMMYFUNCTION("""COMPUTED_VALUE"""),508.0)</f>
        <v>508</v>
      </c>
      <c r="I1874" s="24" t="str">
        <f>IFERROR(__xludf.DUMMYFUNCTION("""COMPUTED_VALUE"""),"Meat [Raw]")</f>
        <v>Meat [Raw]</v>
      </c>
    </row>
    <row r="1875">
      <c r="A1875" s="23">
        <f>IFERROR(__xludf.DUMMYFUNCTION("""COMPUTED_VALUE"""),44855.67333050926)</f>
        <v>44855.67333</v>
      </c>
      <c r="B1875" s="24" t="str">
        <f>IFERROR(__xludf.DUMMYFUNCTION("""COMPUTED_VALUE"""),"Claire")</f>
        <v>Claire</v>
      </c>
      <c r="C1875" s="24">
        <f>IFERROR(__xludf.DUMMYFUNCTION("""COMPUTED_VALUE"""),371.0)</f>
        <v>371</v>
      </c>
      <c r="D1875" s="24" t="str">
        <f>IFERROR(__xludf.DUMMYFUNCTION("""COMPUTED_VALUE"""),"Assorted Dry")</f>
        <v>Assorted Dry</v>
      </c>
      <c r="F1875" s="23">
        <f>IFERROR(__xludf.DUMMYFUNCTION("""COMPUTED_VALUE"""),44807.731198043984)</f>
        <v>44807.7312</v>
      </c>
      <c r="G1875" s="24" t="str">
        <f>IFERROR(__xludf.DUMMYFUNCTION("""COMPUTED_VALUE"""),"Claire")</f>
        <v>Claire</v>
      </c>
      <c r="H1875" s="24">
        <f>IFERROR(__xludf.DUMMYFUNCTION("""COMPUTED_VALUE"""),527.0)</f>
        <v>527</v>
      </c>
      <c r="I1875" s="24" t="str">
        <f>IFERROR(__xludf.DUMMYFUNCTION("""COMPUTED_VALUE"""),"Assorted Dry")</f>
        <v>Assorted Dry</v>
      </c>
    </row>
    <row r="1876">
      <c r="A1876" s="23">
        <f>IFERROR(__xludf.DUMMYFUNCTION("""COMPUTED_VALUE"""),44855.680596516206)</f>
        <v>44855.6806</v>
      </c>
      <c r="B1876" s="24" t="str">
        <f>IFERROR(__xludf.DUMMYFUNCTION("""COMPUTED_VALUE"""),"Claire")</f>
        <v>Claire</v>
      </c>
      <c r="C1876" s="24">
        <f>IFERROR(__xludf.DUMMYFUNCTION("""COMPUTED_VALUE"""),1054.0)</f>
        <v>1054</v>
      </c>
      <c r="D1876" s="24" t="str">
        <f>IFERROR(__xludf.DUMMYFUNCTION("""COMPUTED_VALUE"""),"Fruit cups")</f>
        <v>Fruit cups</v>
      </c>
      <c r="F1876" s="23">
        <f>IFERROR(__xludf.DUMMYFUNCTION("""COMPUTED_VALUE"""),44807.7313096412)</f>
        <v>44807.73131</v>
      </c>
      <c r="G1876" s="24" t="str">
        <f>IFERROR(__xludf.DUMMYFUNCTION("""COMPUTED_VALUE"""),"Adriana Hill")</f>
        <v>Adriana Hill</v>
      </c>
      <c r="H1876" s="24">
        <f>IFERROR(__xludf.DUMMYFUNCTION("""COMPUTED_VALUE"""),14.0)</f>
        <v>14</v>
      </c>
      <c r="I1876" s="24"/>
    </row>
    <row r="1877">
      <c r="A1877" s="23">
        <f>IFERROR(__xludf.DUMMYFUNCTION("""COMPUTED_VALUE"""),44855.68082179398)</f>
        <v>44855.68082</v>
      </c>
      <c r="B1877" s="24" t="str">
        <f>IFERROR(__xludf.DUMMYFUNCTION("""COMPUTED_VALUE"""),"Claire")</f>
        <v>Claire</v>
      </c>
      <c r="C1877" s="24">
        <f>IFERROR(__xludf.DUMMYFUNCTION("""COMPUTED_VALUE"""),149.0)</f>
        <v>149</v>
      </c>
      <c r="D1877" s="24" t="str">
        <f>IFERROR(__xludf.DUMMYFUNCTION("""COMPUTED_VALUE"""),"Snacks")</f>
        <v>Snacks</v>
      </c>
      <c r="F1877" s="23">
        <f>IFERROR(__xludf.DUMMYFUNCTION("""COMPUTED_VALUE"""),44807.73184202546)</f>
        <v>44807.73184</v>
      </c>
      <c r="G1877" s="24" t="str">
        <f>IFERROR(__xludf.DUMMYFUNCTION("""COMPUTED_VALUE"""),"Claire")</f>
        <v>Claire</v>
      </c>
      <c r="H1877" s="24">
        <f>IFERROR(__xludf.DUMMYFUNCTION("""COMPUTED_VALUE"""),-99.0)</f>
        <v>-99</v>
      </c>
      <c r="I1877" s="24" t="str">
        <f>IFERROR(__xludf.DUMMYFUNCTION("""COMPUTED_VALUE"""),"Assorted Dry")</f>
        <v>Assorted Dry</v>
      </c>
    </row>
    <row r="1878">
      <c r="A1878" s="23">
        <f>IFERROR(__xludf.DUMMYFUNCTION("""COMPUTED_VALUE"""),44855.701146064814)</f>
        <v>44855.70115</v>
      </c>
      <c r="B1878" s="24" t="str">
        <f>IFERROR(__xludf.DUMMYFUNCTION("""COMPUTED_VALUE"""),"Sunita pathik")</f>
        <v>Sunita pathik</v>
      </c>
      <c r="C1878" s="24">
        <f>IFERROR(__xludf.DUMMYFUNCTION("""COMPUTED_VALUE"""),138.0)</f>
        <v>138</v>
      </c>
      <c r="D1878" s="24" t="str">
        <f>IFERROR(__xludf.DUMMYFUNCTION("""COMPUTED_VALUE"""),"Assorted Fridge")</f>
        <v>Assorted Fridge</v>
      </c>
      <c r="F1878" s="23">
        <f>IFERROR(__xludf.DUMMYFUNCTION("""COMPUTED_VALUE"""),44807.731982743055)</f>
        <v>44807.73198</v>
      </c>
      <c r="G1878" s="24" t="str">
        <f>IFERROR(__xludf.DUMMYFUNCTION("""COMPUTED_VALUE"""),"Dinez Urquhart ")</f>
        <v>Dinez Urquhart </v>
      </c>
      <c r="H1878" s="24">
        <f>IFERROR(__xludf.DUMMYFUNCTION("""COMPUTED_VALUE"""),20.0)</f>
        <v>20</v>
      </c>
      <c r="I1878" s="24"/>
    </row>
    <row r="1879">
      <c r="A1879" s="23">
        <f>IFERROR(__xludf.DUMMYFUNCTION("""COMPUTED_VALUE"""),44855.0)</f>
        <v>44855</v>
      </c>
      <c r="B1879" s="24" t="str">
        <f>IFERROR(__xludf.DUMMYFUNCTION("""COMPUTED_VALUE"""),"Claire")</f>
        <v>Claire</v>
      </c>
      <c r="C1879" s="24">
        <f>IFERROR(__xludf.DUMMYFUNCTION("""COMPUTED_VALUE"""),-789.0)</f>
        <v>-789</v>
      </c>
      <c r="D1879" s="24" t="str">
        <f>IFERROR(__xludf.DUMMYFUNCTION("""COMPUTED_VALUE"""),"Boxes")</f>
        <v>Boxes</v>
      </c>
      <c r="F1879" s="23">
        <f>IFERROR(__xludf.DUMMYFUNCTION("""COMPUTED_VALUE"""),44807.732000405085)</f>
        <v>44807.732</v>
      </c>
      <c r="G1879" s="24" t="str">
        <f>IFERROR(__xludf.DUMMYFUNCTION("""COMPUTED_VALUE"""),"Kye Toussaint ")</f>
        <v>Kye Toussaint </v>
      </c>
      <c r="H1879" s="24">
        <f>IFERROR(__xludf.DUMMYFUNCTION("""COMPUTED_VALUE"""),13.0)</f>
        <v>13</v>
      </c>
      <c r="I1879" s="24"/>
    </row>
    <row r="1880">
      <c r="A1880" s="23">
        <f>IFERROR(__xludf.DUMMYFUNCTION("""COMPUTED_VALUE"""),44855.0)</f>
        <v>44855</v>
      </c>
      <c r="B1880" s="24" t="str">
        <f>IFERROR(__xludf.DUMMYFUNCTION("""COMPUTED_VALUE"""),"Claire")</f>
        <v>Claire</v>
      </c>
      <c r="C1880" s="24">
        <f>IFERROR(__xludf.DUMMYFUNCTION("""COMPUTED_VALUE"""),-795.0)</f>
        <v>-795</v>
      </c>
      <c r="D1880" s="24" t="str">
        <f>IFERROR(__xludf.DUMMYFUNCTION("""COMPUTED_VALUE"""),"Boxes")</f>
        <v>Boxes</v>
      </c>
      <c r="F1880" s="23">
        <f>IFERROR(__xludf.DUMMYFUNCTION("""COMPUTED_VALUE"""),44807.7321165625)</f>
        <v>44807.73212</v>
      </c>
      <c r="G1880" s="24" t="str">
        <f>IFERROR(__xludf.DUMMYFUNCTION("""COMPUTED_VALUE"""),"Claire")</f>
        <v>Claire</v>
      </c>
      <c r="H1880" s="24">
        <f>IFERROR(__xludf.DUMMYFUNCTION("""COMPUTED_VALUE"""),-121.0)</f>
        <v>-121</v>
      </c>
      <c r="I1880" s="24" t="str">
        <f>IFERROR(__xludf.DUMMYFUNCTION("""COMPUTED_VALUE"""),"Assorted Dry")</f>
        <v>Assorted Dry</v>
      </c>
    </row>
    <row r="1881">
      <c r="A1881" s="23">
        <f>IFERROR(__xludf.DUMMYFUNCTION("""COMPUTED_VALUE"""),44856.46143208333)</f>
        <v>44856.46143</v>
      </c>
      <c r="B1881" s="24" t="str">
        <f>IFERROR(__xludf.DUMMYFUNCTION("""COMPUTED_VALUE"""),"Jc")</f>
        <v>Jc</v>
      </c>
      <c r="C1881" s="24">
        <f>IFERROR(__xludf.DUMMYFUNCTION("""COMPUTED_VALUE"""),546.0)</f>
        <v>546</v>
      </c>
      <c r="D1881" s="24" t="str">
        <f>IFERROR(__xludf.DUMMYFUNCTION("""COMPUTED_VALUE"""),"Assorted Dry")</f>
        <v>Assorted Dry</v>
      </c>
      <c r="F1881" s="23">
        <f>IFERROR(__xludf.DUMMYFUNCTION("""COMPUTED_VALUE"""),44807.73246482639)</f>
        <v>44807.73246</v>
      </c>
      <c r="G1881" s="24" t="str">
        <f>IFERROR(__xludf.DUMMYFUNCTION("""COMPUTED_VALUE"""),"Claire ")</f>
        <v>Claire </v>
      </c>
      <c r="H1881" s="24">
        <f>IFERROR(__xludf.DUMMYFUNCTION("""COMPUTED_VALUE"""),-589.0)</f>
        <v>-589</v>
      </c>
      <c r="I1881" s="24" t="str">
        <f>IFERROR(__xludf.DUMMYFUNCTION("""COMPUTED_VALUE"""),"Drinks [Dry]")</f>
        <v>Drinks [Dry]</v>
      </c>
    </row>
    <row r="1882">
      <c r="A1882" s="23">
        <f>IFERROR(__xludf.DUMMYFUNCTION("""COMPUTED_VALUE"""),44856.59222280092)</f>
        <v>44856.59222</v>
      </c>
      <c r="B1882" s="24" t="str">
        <f>IFERROR(__xludf.DUMMYFUNCTION("""COMPUTED_VALUE"""),"Dean Chien")</f>
        <v>Dean Chien</v>
      </c>
      <c r="C1882" s="24">
        <f>IFERROR(__xludf.DUMMYFUNCTION("""COMPUTED_VALUE"""),75.0)</f>
        <v>75</v>
      </c>
      <c r="D1882" s="24" t="str">
        <f>IFERROR(__xludf.DUMMYFUNCTION("""COMPUTED_VALUE"""),"Meat [Raw]")</f>
        <v>Meat [Raw]</v>
      </c>
      <c r="F1882" s="23">
        <f>IFERROR(__xludf.DUMMYFUNCTION("""COMPUTED_VALUE"""),44807.73287876157)</f>
        <v>44807.73288</v>
      </c>
      <c r="G1882" s="24" t="str">
        <f>IFERROR(__xludf.DUMMYFUNCTION("""COMPUTED_VALUE"""),"nathan")</f>
        <v>nathan</v>
      </c>
      <c r="H1882" s="24">
        <f>IFERROR(__xludf.DUMMYFUNCTION("""COMPUTED_VALUE"""),13.0)</f>
        <v>13</v>
      </c>
      <c r="I1882" s="24"/>
    </row>
    <row r="1883">
      <c r="A1883" s="23">
        <f>IFERROR(__xludf.DUMMYFUNCTION("""COMPUTED_VALUE"""),44856.0)</f>
        <v>44856</v>
      </c>
      <c r="B1883" s="24" t="str">
        <f>IFERROR(__xludf.DUMMYFUNCTION("""COMPUTED_VALUE"""),"Claire")</f>
        <v>Claire</v>
      </c>
      <c r="C1883" s="24">
        <f>IFERROR(__xludf.DUMMYFUNCTION("""COMPUTED_VALUE"""),151.0)</f>
        <v>151</v>
      </c>
      <c r="D1883" s="24" t="str">
        <f>IFERROR(__xludf.DUMMYFUNCTION("""COMPUTED_VALUE"""),"Dairy")</f>
        <v>Dairy</v>
      </c>
      <c r="F1883" s="23">
        <f>IFERROR(__xludf.DUMMYFUNCTION("""COMPUTED_VALUE"""),44807.73397303241)</f>
        <v>44807.73397</v>
      </c>
      <c r="G1883" s="24" t="str">
        <f>IFERROR(__xludf.DUMMYFUNCTION("""COMPUTED_VALUE"""),"Tiffany Jiang")</f>
        <v>Tiffany Jiang</v>
      </c>
      <c r="H1883" s="24">
        <f>IFERROR(__xludf.DUMMYFUNCTION("""COMPUTED_VALUE"""),11.0)</f>
        <v>11</v>
      </c>
      <c r="I1883" s="24"/>
    </row>
    <row r="1884">
      <c r="A1884" s="23">
        <f>IFERROR(__xludf.DUMMYFUNCTION("""COMPUTED_VALUE"""),44856.0)</f>
        <v>44856</v>
      </c>
      <c r="B1884" s="24" t="str">
        <f>IFERROR(__xludf.DUMMYFUNCTION("""COMPUTED_VALUE"""),"Claire")</f>
        <v>Claire</v>
      </c>
      <c r="C1884" s="24">
        <f>IFERROR(__xludf.DUMMYFUNCTION("""COMPUTED_VALUE"""),191.0)</f>
        <v>191</v>
      </c>
      <c r="D1884" s="24" t="str">
        <f>IFERROR(__xludf.DUMMYFUNCTION("""COMPUTED_VALUE"""),"Paper Supplies")</f>
        <v>Paper Supplies</v>
      </c>
      <c r="F1884" s="23">
        <f>IFERROR(__xludf.DUMMYFUNCTION("""COMPUTED_VALUE"""),44807.73468689815)</f>
        <v>44807.73469</v>
      </c>
      <c r="G1884" s="24" t="str">
        <f>IFERROR(__xludf.DUMMYFUNCTION("""COMPUTED_VALUE"""),"Claire")</f>
        <v>Claire</v>
      </c>
      <c r="H1884" s="24">
        <f>IFERROR(__xludf.DUMMYFUNCTION("""COMPUTED_VALUE"""),-175.0)</f>
        <v>-175</v>
      </c>
      <c r="I1884" s="24" t="str">
        <f>IFERROR(__xludf.DUMMYFUNCTION("""COMPUTED_VALUE"""),"Pet Supplies")</f>
        <v>Pet Supplies</v>
      </c>
    </row>
    <row r="1885">
      <c r="A1885" s="23">
        <f>IFERROR(__xludf.DUMMYFUNCTION("""COMPUTED_VALUE"""),44856.0)</f>
        <v>44856</v>
      </c>
      <c r="B1885" s="24" t="str">
        <f>IFERROR(__xludf.DUMMYFUNCTION("""COMPUTED_VALUE"""),"Claire")</f>
        <v>Claire</v>
      </c>
      <c r="C1885" s="24">
        <f>IFERROR(__xludf.DUMMYFUNCTION("""COMPUTED_VALUE"""),90.0)</f>
        <v>90</v>
      </c>
      <c r="D1885" s="24" t="str">
        <f>IFERROR(__xludf.DUMMYFUNCTION("""COMPUTED_VALUE"""),"Household")</f>
        <v>Household</v>
      </c>
      <c r="F1885" s="23">
        <f>IFERROR(__xludf.DUMMYFUNCTION("""COMPUTED_VALUE"""),44807.734905185185)</f>
        <v>44807.73491</v>
      </c>
      <c r="G1885" s="24" t="str">
        <f>IFERROR(__xludf.DUMMYFUNCTION("""COMPUTED_VALUE"""),"Claire")</f>
        <v>Claire</v>
      </c>
      <c r="H1885" s="24">
        <f>IFERROR(__xludf.DUMMYFUNCTION("""COMPUTED_VALUE"""),-33.0)</f>
        <v>-33</v>
      </c>
      <c r="I1885" s="24" t="str">
        <f>IFERROR(__xludf.DUMMYFUNCTION("""COMPUTED_VALUE"""),"Cleaning Supplies")</f>
        <v>Cleaning Supplies</v>
      </c>
    </row>
    <row r="1886">
      <c r="A1886" s="23">
        <f>IFERROR(__xludf.DUMMYFUNCTION("""COMPUTED_VALUE"""),44856.0)</f>
        <v>44856</v>
      </c>
      <c r="B1886" s="24" t="str">
        <f>IFERROR(__xludf.DUMMYFUNCTION("""COMPUTED_VALUE"""),"Claire")</f>
        <v>Claire</v>
      </c>
      <c r="C1886" s="24">
        <f>IFERROR(__xludf.DUMMYFUNCTION("""COMPUTED_VALUE"""),143.0)</f>
        <v>143</v>
      </c>
      <c r="D1886" s="24" t="str">
        <f>IFERROR(__xludf.DUMMYFUNCTION("""COMPUTED_VALUE"""),"Snacks")</f>
        <v>Snacks</v>
      </c>
      <c r="F1886" s="23">
        <f>IFERROR(__xludf.DUMMYFUNCTION("""COMPUTED_VALUE"""),44807.74188271991)</f>
        <v>44807.74188</v>
      </c>
      <c r="G1886" s="24" t="str">
        <f>IFERROR(__xludf.DUMMYFUNCTION("""COMPUTED_VALUE"""),"Dean Chien")</f>
        <v>Dean Chien</v>
      </c>
      <c r="H1886" s="24">
        <f>IFERROR(__xludf.DUMMYFUNCTION("""COMPUTED_VALUE"""),20.0)</f>
        <v>20</v>
      </c>
      <c r="I1886" s="24"/>
    </row>
    <row r="1887">
      <c r="A1887" s="23">
        <f>IFERROR(__xludf.DUMMYFUNCTION("""COMPUTED_VALUE"""),44856.0)</f>
        <v>44856</v>
      </c>
      <c r="B1887" s="24" t="str">
        <f>IFERROR(__xludf.DUMMYFUNCTION("""COMPUTED_VALUE"""),"Claire")</f>
        <v>Claire</v>
      </c>
      <c r="C1887" s="24">
        <f>IFERROR(__xludf.DUMMYFUNCTION("""COMPUTED_VALUE"""),914.0)</f>
        <v>914</v>
      </c>
      <c r="D1887" s="24" t="str">
        <f>IFERROR(__xludf.DUMMYFUNCTION("""COMPUTED_VALUE"""),"Fruit cups")</f>
        <v>Fruit cups</v>
      </c>
      <c r="F1887" s="23">
        <f>IFERROR(__xludf.DUMMYFUNCTION("""COMPUTED_VALUE"""),44807.74452569445)</f>
        <v>44807.74453</v>
      </c>
      <c r="G1887" s="24" t="str">
        <f>IFERROR(__xludf.DUMMYFUNCTION("""COMPUTED_VALUE"""),"Beverly Pinn")</f>
        <v>Beverly Pinn</v>
      </c>
      <c r="H1887" s="24">
        <f>IFERROR(__xludf.DUMMYFUNCTION("""COMPUTED_VALUE"""),15.0)</f>
        <v>15</v>
      </c>
      <c r="I1887" s="24"/>
    </row>
    <row r="1888">
      <c r="A1888" s="23">
        <f>IFERROR(__xludf.DUMMYFUNCTION("""COMPUTED_VALUE"""),44856.0)</f>
        <v>44856</v>
      </c>
      <c r="B1888" s="24" t="str">
        <f>IFERROR(__xludf.DUMMYFUNCTION("""COMPUTED_VALUE"""),"Claire")</f>
        <v>Claire</v>
      </c>
      <c r="C1888" s="24">
        <f>IFERROR(__xludf.DUMMYFUNCTION("""COMPUTED_VALUE"""),241.0)</f>
        <v>241</v>
      </c>
      <c r="D1888" s="24" t="str">
        <f>IFERROR(__xludf.DUMMYFUNCTION("""COMPUTED_VALUE"""),"Paper Supplies")</f>
        <v>Paper Supplies</v>
      </c>
      <c r="F1888" s="23">
        <f>IFERROR(__xludf.DUMMYFUNCTION("""COMPUTED_VALUE"""),44807.7463859838)</f>
        <v>44807.74639</v>
      </c>
      <c r="G1888" s="24" t="str">
        <f>IFERROR(__xludf.DUMMYFUNCTION("""COMPUTED_VALUE"""),"Lynnette")</f>
        <v>Lynnette</v>
      </c>
      <c r="H1888" s="24">
        <f>IFERROR(__xludf.DUMMYFUNCTION("""COMPUTED_VALUE"""),14.0)</f>
        <v>14</v>
      </c>
      <c r="I1888" s="24"/>
    </row>
    <row r="1889">
      <c r="A1889" s="23">
        <f>IFERROR(__xludf.DUMMYFUNCTION("""COMPUTED_VALUE"""),44856.0)</f>
        <v>44856</v>
      </c>
      <c r="B1889" s="24" t="str">
        <f>IFERROR(__xludf.DUMMYFUNCTION("""COMPUTED_VALUE"""),"Claire")</f>
        <v>Claire</v>
      </c>
      <c r="C1889" s="24">
        <f>IFERROR(__xludf.DUMMYFUNCTION("""COMPUTED_VALUE"""),1395.0)</f>
        <v>1395</v>
      </c>
      <c r="D1889" s="24" t="str">
        <f>IFERROR(__xludf.DUMMYFUNCTION("""COMPUTED_VALUE"""),"Drinks [Dry]")</f>
        <v>Drinks [Dry]</v>
      </c>
      <c r="F1889" s="23">
        <f>IFERROR(__xludf.DUMMYFUNCTION("""COMPUTED_VALUE"""),44808.0)</f>
        <v>44808</v>
      </c>
      <c r="G1889" s="24" t="str">
        <f>IFERROR(__xludf.DUMMYFUNCTION("""COMPUTED_VALUE"""),"Alex Wang")</f>
        <v>Alex Wang</v>
      </c>
      <c r="H1889" s="24">
        <f>IFERROR(__xludf.DUMMYFUNCTION("""COMPUTED_VALUE"""),20.0)</f>
        <v>20</v>
      </c>
      <c r="I1889" s="24"/>
    </row>
    <row r="1890">
      <c r="A1890" s="23">
        <f>IFERROR(__xludf.DUMMYFUNCTION("""COMPUTED_VALUE"""),44856.0)</f>
        <v>44856</v>
      </c>
      <c r="B1890" s="24" t="str">
        <f>IFERROR(__xludf.DUMMYFUNCTION("""COMPUTED_VALUE"""),"Claire")</f>
        <v>Claire</v>
      </c>
      <c r="C1890" s="24">
        <f>IFERROR(__xludf.DUMMYFUNCTION("""COMPUTED_VALUE"""),1312.0)</f>
        <v>1312</v>
      </c>
      <c r="D1890" s="24" t="str">
        <f>IFERROR(__xludf.DUMMYFUNCTION("""COMPUTED_VALUE"""),"Drinks [Dry]")</f>
        <v>Drinks [Dry]</v>
      </c>
      <c r="F1890" s="23">
        <f>IFERROR(__xludf.DUMMYFUNCTION("""COMPUTED_VALUE"""),44808.0)</f>
        <v>44808</v>
      </c>
      <c r="G1890" s="24" t="str">
        <f>IFERROR(__xludf.DUMMYFUNCTION("""COMPUTED_VALUE"""),"Kate Weeks")</f>
        <v>Kate Weeks</v>
      </c>
      <c r="H1890" s="24">
        <f>IFERROR(__xludf.DUMMYFUNCTION("""COMPUTED_VALUE"""),20.0)</f>
        <v>20</v>
      </c>
      <c r="I1890" s="24"/>
    </row>
    <row r="1891">
      <c r="A1891" s="23">
        <f>IFERROR(__xludf.DUMMYFUNCTION("""COMPUTED_VALUE"""),44856.0)</f>
        <v>44856</v>
      </c>
      <c r="B1891" s="24" t="str">
        <f>IFERROR(__xludf.DUMMYFUNCTION("""COMPUTED_VALUE"""),"Claire")</f>
        <v>Claire</v>
      </c>
      <c r="C1891" s="24">
        <f>IFERROR(__xludf.DUMMYFUNCTION("""COMPUTED_VALUE"""),614.0)</f>
        <v>614</v>
      </c>
      <c r="D1891" s="24" t="str">
        <f>IFERROR(__xludf.DUMMYFUNCTION("""COMPUTED_VALUE"""),"Fruit cups")</f>
        <v>Fruit cups</v>
      </c>
      <c r="F1891" s="23">
        <f>IFERROR(__xludf.DUMMYFUNCTION("""COMPUTED_VALUE"""),44808.0)</f>
        <v>44808</v>
      </c>
      <c r="G1891" s="24" t="str">
        <f>IFERROR(__xludf.DUMMYFUNCTION("""COMPUTED_VALUE"""),"Kate Weeks")</f>
        <v>Kate Weeks</v>
      </c>
      <c r="H1891" s="24">
        <f>IFERROR(__xludf.DUMMYFUNCTION("""COMPUTED_VALUE"""),9.0)</f>
        <v>9</v>
      </c>
      <c r="I1891" s="24"/>
    </row>
    <row r="1892">
      <c r="A1892" s="23">
        <f>IFERROR(__xludf.DUMMYFUNCTION("""COMPUTED_VALUE"""),44856.0)</f>
        <v>44856</v>
      </c>
      <c r="B1892" s="24" t="str">
        <f>IFERROR(__xludf.DUMMYFUNCTION("""COMPUTED_VALUE"""),"Claire")</f>
        <v>Claire</v>
      </c>
      <c r="C1892" s="24">
        <f>IFERROR(__xludf.DUMMYFUNCTION("""COMPUTED_VALUE"""),757.0)</f>
        <v>757</v>
      </c>
      <c r="D1892" s="24" t="str">
        <f>IFERROR(__xludf.DUMMYFUNCTION("""COMPUTED_VALUE"""),"Produce")</f>
        <v>Produce</v>
      </c>
      <c r="F1892" s="23">
        <f>IFERROR(__xludf.DUMMYFUNCTION("""COMPUTED_VALUE"""),44808.5666800463)</f>
        <v>44808.56668</v>
      </c>
      <c r="G1892" s="24" t="str">
        <f>IFERROR(__xludf.DUMMYFUNCTION("""COMPUTED_VALUE"""),"Alex")</f>
        <v>Alex</v>
      </c>
      <c r="H1892" s="24">
        <f>IFERROR(__xludf.DUMMYFUNCTION("""COMPUTED_VALUE"""),452.0)</f>
        <v>452</v>
      </c>
      <c r="I1892" s="24" t="str">
        <f>IFERROR(__xludf.DUMMYFUNCTION("""COMPUTED_VALUE"""),"Amazon")</f>
        <v>Amazon</v>
      </c>
    </row>
    <row r="1893">
      <c r="A1893" s="23">
        <f>IFERROR(__xludf.DUMMYFUNCTION("""COMPUTED_VALUE"""),44856.0)</f>
        <v>44856</v>
      </c>
      <c r="B1893" s="24" t="str">
        <f>IFERROR(__xludf.DUMMYFUNCTION("""COMPUTED_VALUE"""),"Claire")</f>
        <v>Claire</v>
      </c>
      <c r="C1893" s="24">
        <f>IFERROR(__xludf.DUMMYFUNCTION("""COMPUTED_VALUE"""),299.0)</f>
        <v>299</v>
      </c>
      <c r="D1893" s="24" t="str">
        <f>IFERROR(__xludf.DUMMYFUNCTION("""COMPUTED_VALUE"""),"Produce")</f>
        <v>Produce</v>
      </c>
      <c r="F1893" s="23">
        <f>IFERROR(__xludf.DUMMYFUNCTION("""COMPUTED_VALUE"""),44808.61032119213)</f>
        <v>44808.61032</v>
      </c>
      <c r="G1893" s="24" t="str">
        <f>IFERROR(__xludf.DUMMYFUNCTION("""COMPUTED_VALUE"""),"JC")</f>
        <v>JC</v>
      </c>
      <c r="H1893" s="24">
        <f>IFERROR(__xludf.DUMMYFUNCTION("""COMPUTED_VALUE"""),955.0)</f>
        <v>955</v>
      </c>
      <c r="I1893" s="24" t="str">
        <f>IFERROR(__xludf.DUMMYFUNCTION("""COMPUTED_VALUE"""),"Amazon")</f>
        <v>Amazon</v>
      </c>
    </row>
    <row r="1894">
      <c r="A1894" s="23">
        <f>IFERROR(__xludf.DUMMYFUNCTION("""COMPUTED_VALUE"""),44856.0)</f>
        <v>44856</v>
      </c>
      <c r="B1894" s="24" t="str">
        <f>IFERROR(__xludf.DUMMYFUNCTION("""COMPUTED_VALUE"""),"Claire")</f>
        <v>Claire</v>
      </c>
      <c r="C1894" s="24">
        <f>IFERROR(__xludf.DUMMYFUNCTION("""COMPUTED_VALUE"""),781.0)</f>
        <v>781</v>
      </c>
      <c r="D1894" s="24" t="str">
        <f>IFERROR(__xludf.DUMMYFUNCTION("""COMPUTED_VALUE"""),"Boxes")</f>
        <v>Boxes</v>
      </c>
      <c r="F1894" s="23">
        <f>IFERROR(__xludf.DUMMYFUNCTION("""COMPUTED_VALUE"""),44808.61064881944)</f>
        <v>44808.61065</v>
      </c>
      <c r="G1894" s="24" t="str">
        <f>IFERROR(__xludf.DUMMYFUNCTION("""COMPUTED_VALUE"""),"JC")</f>
        <v>JC</v>
      </c>
      <c r="H1894" s="24">
        <f>IFERROR(__xludf.DUMMYFUNCTION("""COMPUTED_VALUE"""),921.0)</f>
        <v>921</v>
      </c>
      <c r="I1894" s="24" t="str">
        <f>IFERROR(__xludf.DUMMYFUNCTION("""COMPUTED_VALUE"""),"Amazon")</f>
        <v>Amazon</v>
      </c>
    </row>
    <row r="1895">
      <c r="A1895" s="23">
        <f>IFERROR(__xludf.DUMMYFUNCTION("""COMPUTED_VALUE"""),44856.0)</f>
        <v>44856</v>
      </c>
      <c r="B1895" s="24" t="str">
        <f>IFERROR(__xludf.DUMMYFUNCTION("""COMPUTED_VALUE"""),"Claire")</f>
        <v>Claire</v>
      </c>
      <c r="C1895" s="24">
        <f>IFERROR(__xludf.DUMMYFUNCTION("""COMPUTED_VALUE"""),788.0)</f>
        <v>788</v>
      </c>
      <c r="D1895" s="24" t="str">
        <f>IFERROR(__xludf.DUMMYFUNCTION("""COMPUTED_VALUE"""),"Boxes")</f>
        <v>Boxes</v>
      </c>
      <c r="F1895" s="23">
        <f>IFERROR(__xludf.DUMMYFUNCTION("""COMPUTED_VALUE"""),44808.61096658565)</f>
        <v>44808.61097</v>
      </c>
      <c r="G1895" s="24" t="str">
        <f>IFERROR(__xludf.DUMMYFUNCTION("""COMPUTED_VALUE"""),"JC")</f>
        <v>JC</v>
      </c>
      <c r="H1895" s="24">
        <f>IFERROR(__xludf.DUMMYFUNCTION("""COMPUTED_VALUE"""),724.0)</f>
        <v>724</v>
      </c>
      <c r="I1895" s="24" t="str">
        <f>IFERROR(__xludf.DUMMYFUNCTION("""COMPUTED_VALUE"""),"Amazon")</f>
        <v>Amazon</v>
      </c>
    </row>
    <row r="1896">
      <c r="A1896" s="23">
        <f>IFERROR(__xludf.DUMMYFUNCTION("""COMPUTED_VALUE"""),44856.0)</f>
        <v>44856</v>
      </c>
      <c r="B1896" s="24" t="str">
        <f>IFERROR(__xludf.DUMMYFUNCTION("""COMPUTED_VALUE"""),"Claire")</f>
        <v>Claire</v>
      </c>
      <c r="C1896" s="24">
        <f>IFERROR(__xludf.DUMMYFUNCTION("""COMPUTED_VALUE"""),1224.0)</f>
        <v>1224</v>
      </c>
      <c r="D1896" s="24" t="str">
        <f>IFERROR(__xludf.DUMMYFUNCTION("""COMPUTED_VALUE"""),"Drinks [Dry]")</f>
        <v>Drinks [Dry]</v>
      </c>
      <c r="F1896" s="23">
        <f>IFERROR(__xludf.DUMMYFUNCTION("""COMPUTED_VALUE"""),44808.61151892361)</f>
        <v>44808.61152</v>
      </c>
      <c r="G1896" s="24" t="str">
        <f>IFERROR(__xludf.DUMMYFUNCTION("""COMPUTED_VALUE"""),"JC")</f>
        <v>JC</v>
      </c>
      <c r="H1896" s="24">
        <f>IFERROR(__xludf.DUMMYFUNCTION("""COMPUTED_VALUE"""),674.0)</f>
        <v>674</v>
      </c>
      <c r="I1896" s="24" t="str">
        <f>IFERROR(__xludf.DUMMYFUNCTION("""COMPUTED_VALUE"""),"Amazon")</f>
        <v>Amazon</v>
      </c>
    </row>
    <row r="1897">
      <c r="A1897" s="23">
        <f>IFERROR(__xludf.DUMMYFUNCTION("""COMPUTED_VALUE"""),44856.0)</f>
        <v>44856</v>
      </c>
      <c r="B1897" s="24" t="str">
        <f>IFERROR(__xludf.DUMMYFUNCTION("""COMPUTED_VALUE"""),"Claire")</f>
        <v>Claire</v>
      </c>
      <c r="C1897" s="24">
        <f>IFERROR(__xludf.DUMMYFUNCTION("""COMPUTED_VALUE"""),200.0)</f>
        <v>200</v>
      </c>
      <c r="D1897" s="24" t="str">
        <f>IFERROR(__xludf.DUMMYFUNCTION("""COMPUTED_VALUE"""),"Produce")</f>
        <v>Produce</v>
      </c>
      <c r="F1897" s="23">
        <f>IFERROR(__xludf.DUMMYFUNCTION("""COMPUTED_VALUE"""),44808.61183986111)</f>
        <v>44808.61184</v>
      </c>
      <c r="G1897" s="24" t="str">
        <f>IFERROR(__xludf.DUMMYFUNCTION("""COMPUTED_VALUE"""),"JC")</f>
        <v>JC</v>
      </c>
      <c r="H1897" s="24">
        <f>IFERROR(__xludf.DUMMYFUNCTION("""COMPUTED_VALUE"""),739.0)</f>
        <v>739</v>
      </c>
      <c r="I1897" s="24" t="str">
        <f>IFERROR(__xludf.DUMMYFUNCTION("""COMPUTED_VALUE"""),"Amazon")</f>
        <v>Amazon</v>
      </c>
    </row>
    <row r="1898">
      <c r="A1898" s="23">
        <f>IFERROR(__xludf.DUMMYFUNCTION("""COMPUTED_VALUE"""),44856.0)</f>
        <v>44856</v>
      </c>
      <c r="B1898" s="24" t="str">
        <f>IFERROR(__xludf.DUMMYFUNCTION("""COMPUTED_VALUE"""),"Claire")</f>
        <v>Claire</v>
      </c>
      <c r="C1898" s="24">
        <f>IFERROR(__xludf.DUMMYFUNCTION("""COMPUTED_VALUE"""),870.0)</f>
        <v>870</v>
      </c>
      <c r="D1898" s="24" t="str">
        <f>IFERROR(__xludf.DUMMYFUNCTION("""COMPUTED_VALUE"""),"Fruit cups")</f>
        <v>Fruit cups</v>
      </c>
      <c r="F1898" s="23">
        <f>IFERROR(__xludf.DUMMYFUNCTION("""COMPUTED_VALUE"""),44808.613411388884)</f>
        <v>44808.61341</v>
      </c>
      <c r="G1898" s="24" t="str">
        <f>IFERROR(__xludf.DUMMYFUNCTION("""COMPUTED_VALUE"""),"JC")</f>
        <v>JC</v>
      </c>
      <c r="H1898" s="24">
        <f>IFERROR(__xludf.DUMMYFUNCTION("""COMPUTED_VALUE"""),693.0)</f>
        <v>693</v>
      </c>
      <c r="I1898" s="24" t="str">
        <f>IFERROR(__xludf.DUMMYFUNCTION("""COMPUTED_VALUE"""),"Produce")</f>
        <v>Produce</v>
      </c>
    </row>
    <row r="1899">
      <c r="A1899" s="23">
        <f>IFERROR(__xludf.DUMMYFUNCTION("""COMPUTED_VALUE"""),44856.0)</f>
        <v>44856</v>
      </c>
      <c r="B1899" s="24" t="str">
        <f>IFERROR(__xludf.DUMMYFUNCTION("""COMPUTED_VALUE"""),"Claire")</f>
        <v>Claire</v>
      </c>
      <c r="C1899" s="24">
        <f>IFERROR(__xludf.DUMMYFUNCTION("""COMPUTED_VALUE"""),312.0)</f>
        <v>312</v>
      </c>
      <c r="D1899" s="24" t="str">
        <f>IFERROR(__xludf.DUMMYFUNCTION("""COMPUTED_VALUE"""),"Produce")</f>
        <v>Produce</v>
      </c>
      <c r="F1899" s="23">
        <f>IFERROR(__xludf.DUMMYFUNCTION("""COMPUTED_VALUE"""),44808.61469267361)</f>
        <v>44808.61469</v>
      </c>
      <c r="G1899" s="24" t="str">
        <f>IFERROR(__xludf.DUMMYFUNCTION("""COMPUTED_VALUE"""),"JC")</f>
        <v>JC</v>
      </c>
      <c r="H1899" s="24">
        <f>IFERROR(__xludf.DUMMYFUNCTION("""COMPUTED_VALUE"""),356.0)</f>
        <v>356</v>
      </c>
      <c r="I1899" s="24" t="str">
        <f>IFERROR(__xludf.DUMMYFUNCTION("""COMPUTED_VALUE"""),"Cereal")</f>
        <v>Cereal</v>
      </c>
    </row>
    <row r="1900">
      <c r="A1900" s="23">
        <f>IFERROR(__xludf.DUMMYFUNCTION("""COMPUTED_VALUE"""),44856.0)</f>
        <v>44856</v>
      </c>
      <c r="B1900" s="24" t="str">
        <f>IFERROR(__xludf.DUMMYFUNCTION("""COMPUTED_VALUE"""),"Claire")</f>
        <v>Claire</v>
      </c>
      <c r="C1900" s="24">
        <f>IFERROR(__xludf.DUMMYFUNCTION("""COMPUTED_VALUE"""),126.0)</f>
        <v>126</v>
      </c>
      <c r="D1900" s="24" t="str">
        <f>IFERROR(__xludf.DUMMYFUNCTION("""COMPUTED_VALUE"""),"Snacks")</f>
        <v>Snacks</v>
      </c>
      <c r="F1900" s="23">
        <f>IFERROR(__xludf.DUMMYFUNCTION("""COMPUTED_VALUE"""),44808.61516119213)</f>
        <v>44808.61516</v>
      </c>
      <c r="G1900" s="24" t="str">
        <f>IFERROR(__xludf.DUMMYFUNCTION("""COMPUTED_VALUE"""),"JC")</f>
        <v>JC</v>
      </c>
      <c r="H1900" s="24">
        <f>IFERROR(__xludf.DUMMYFUNCTION("""COMPUTED_VALUE"""),147.0)</f>
        <v>147</v>
      </c>
      <c r="I1900" s="24" t="str">
        <f>IFERROR(__xludf.DUMMYFUNCTION("""COMPUTED_VALUE"""),"Paper Supplies")</f>
        <v>Paper Supplies</v>
      </c>
    </row>
    <row r="1901">
      <c r="A1901" s="23">
        <f>IFERROR(__xludf.DUMMYFUNCTION("""COMPUTED_VALUE"""),44856.0)</f>
        <v>44856</v>
      </c>
      <c r="B1901" s="24" t="str">
        <f>IFERROR(__xludf.DUMMYFUNCTION("""COMPUTED_VALUE"""),"Claire")</f>
        <v>Claire</v>
      </c>
      <c r="C1901" s="24">
        <f>IFERROR(__xludf.DUMMYFUNCTION("""COMPUTED_VALUE"""),-186.0)</f>
        <v>-186</v>
      </c>
      <c r="D1901" s="24" t="str">
        <f>IFERROR(__xludf.DUMMYFUNCTION("""COMPUTED_VALUE"""),"Produce")</f>
        <v>Produce</v>
      </c>
      <c r="F1901" s="23">
        <f>IFERROR(__xludf.DUMMYFUNCTION("""COMPUTED_VALUE"""),44808.615489456024)</f>
        <v>44808.61549</v>
      </c>
      <c r="G1901" s="24" t="str">
        <f>IFERROR(__xludf.DUMMYFUNCTION("""COMPUTED_VALUE"""),"JC")</f>
        <v>JC</v>
      </c>
      <c r="H1901" s="24">
        <f>IFERROR(__xludf.DUMMYFUNCTION("""COMPUTED_VALUE"""),121.0)</f>
        <v>121</v>
      </c>
      <c r="I1901" s="24" t="str">
        <f>IFERROR(__xludf.DUMMYFUNCTION("""COMPUTED_VALUE"""),"Drinks [Dry]")</f>
        <v>Drinks [Dry]</v>
      </c>
    </row>
    <row r="1902">
      <c r="A1902" s="23">
        <f>IFERROR(__xludf.DUMMYFUNCTION("""COMPUTED_VALUE"""),44856.0)</f>
        <v>44856</v>
      </c>
      <c r="B1902" s="24" t="str">
        <f>IFERROR(__xludf.DUMMYFUNCTION("""COMPUTED_VALUE"""),"Claire")</f>
        <v>Claire</v>
      </c>
      <c r="C1902" s="24">
        <f>IFERROR(__xludf.DUMMYFUNCTION("""COMPUTED_VALUE"""),-811.0)</f>
        <v>-811</v>
      </c>
      <c r="D1902" s="24" t="str">
        <f>IFERROR(__xludf.DUMMYFUNCTION("""COMPUTED_VALUE"""),"Drinks [Dry]")</f>
        <v>Drinks [Dry]</v>
      </c>
      <c r="F1902" s="23">
        <f>IFERROR(__xludf.DUMMYFUNCTION("""COMPUTED_VALUE"""),44808.61613152778)</f>
        <v>44808.61613</v>
      </c>
      <c r="G1902" s="24" t="str">
        <f>IFERROR(__xludf.DUMMYFUNCTION("""COMPUTED_VALUE"""),"JC")</f>
        <v>JC</v>
      </c>
      <c r="H1902" s="24">
        <f>IFERROR(__xludf.DUMMYFUNCTION("""COMPUTED_VALUE"""),728.0)</f>
        <v>728</v>
      </c>
      <c r="I1902" s="24" t="str">
        <f>IFERROR(__xludf.DUMMYFUNCTION("""COMPUTED_VALUE"""),"Drinks [Dry]")</f>
        <v>Drinks [Dry]</v>
      </c>
    </row>
    <row r="1903">
      <c r="A1903" s="23">
        <f>IFERROR(__xludf.DUMMYFUNCTION("""COMPUTED_VALUE"""),44856.0)</f>
        <v>44856</v>
      </c>
      <c r="B1903" s="24" t="str">
        <f>IFERROR(__xludf.DUMMYFUNCTION("""COMPUTED_VALUE"""),"Claire")</f>
        <v>Claire</v>
      </c>
      <c r="C1903" s="24">
        <f>IFERROR(__xludf.DUMMYFUNCTION("""COMPUTED_VALUE"""),-33.0)</f>
        <v>-33</v>
      </c>
      <c r="D1903" s="24" t="str">
        <f>IFERROR(__xludf.DUMMYFUNCTION("""COMPUTED_VALUE"""),"Paper Supplies")</f>
        <v>Paper Supplies</v>
      </c>
      <c r="F1903" s="23">
        <f>IFERROR(__xludf.DUMMYFUNCTION("""COMPUTED_VALUE"""),44808.61668515046)</f>
        <v>44808.61669</v>
      </c>
      <c r="G1903" s="24" t="str">
        <f>IFERROR(__xludf.DUMMYFUNCTION("""COMPUTED_VALUE"""),"JC")</f>
        <v>JC</v>
      </c>
      <c r="H1903" s="24">
        <f>IFERROR(__xludf.DUMMYFUNCTION("""COMPUTED_VALUE"""),321.0)</f>
        <v>321</v>
      </c>
      <c r="I1903" s="24" t="str">
        <f>IFERROR(__xludf.DUMMYFUNCTION("""COMPUTED_VALUE"""),"Drinks [Fridge]")</f>
        <v>Drinks [Fridge]</v>
      </c>
    </row>
    <row r="1904">
      <c r="A1904" s="23">
        <f>IFERROR(__xludf.DUMMYFUNCTION("""COMPUTED_VALUE"""),44856.0)</f>
        <v>44856</v>
      </c>
      <c r="B1904" s="24" t="str">
        <f>IFERROR(__xludf.DUMMYFUNCTION("""COMPUTED_VALUE"""),"Claire")</f>
        <v>Claire</v>
      </c>
      <c r="C1904" s="24">
        <f>IFERROR(__xludf.DUMMYFUNCTION("""COMPUTED_VALUE"""),-664.0)</f>
        <v>-664</v>
      </c>
      <c r="D1904" s="24" t="str">
        <f>IFERROR(__xludf.DUMMYFUNCTION("""COMPUTED_VALUE"""),"Fruit cups")</f>
        <v>Fruit cups</v>
      </c>
      <c r="F1904" s="23">
        <f>IFERROR(__xludf.DUMMYFUNCTION("""COMPUTED_VALUE"""),44808.61706773148)</f>
        <v>44808.61707</v>
      </c>
      <c r="G1904" s="24" t="str">
        <f>IFERROR(__xludf.DUMMYFUNCTION("""COMPUTED_VALUE"""),"JC")</f>
        <v>JC</v>
      </c>
      <c r="H1904" s="24">
        <f>IFERROR(__xludf.DUMMYFUNCTION("""COMPUTED_VALUE"""),322.0)</f>
        <v>322</v>
      </c>
      <c r="I1904" s="24" t="str">
        <f>IFERROR(__xludf.DUMMYFUNCTION("""COMPUTED_VALUE"""),"Oil")</f>
        <v>Oil</v>
      </c>
    </row>
    <row r="1905">
      <c r="A1905" s="23">
        <f>IFERROR(__xludf.DUMMYFUNCTION("""COMPUTED_VALUE"""),44856.0)</f>
        <v>44856</v>
      </c>
      <c r="B1905" s="24" t="str">
        <f>IFERROR(__xludf.DUMMYFUNCTION("""COMPUTED_VALUE"""),"Claire")</f>
        <v>Claire</v>
      </c>
      <c r="C1905" s="24">
        <f>IFERROR(__xludf.DUMMYFUNCTION("""COMPUTED_VALUE"""),-456.0)</f>
        <v>-456</v>
      </c>
      <c r="D1905" s="24" t="str">
        <f>IFERROR(__xludf.DUMMYFUNCTION("""COMPUTED_VALUE"""),"Fruit cups")</f>
        <v>Fruit cups</v>
      </c>
      <c r="F1905" s="23">
        <f>IFERROR(__xludf.DUMMYFUNCTION("""COMPUTED_VALUE"""),44808.64736278936)</f>
        <v>44808.64736</v>
      </c>
      <c r="G1905" s="24" t="str">
        <f>IFERROR(__xludf.DUMMYFUNCTION("""COMPUTED_VALUE"""),"Zoe")</f>
        <v>Zoe</v>
      </c>
      <c r="H1905" s="24">
        <f>IFERROR(__xludf.DUMMYFUNCTION("""COMPUTED_VALUE"""),670.0)</f>
        <v>670</v>
      </c>
      <c r="I1905" s="24" t="str">
        <f>IFERROR(__xludf.DUMMYFUNCTION("""COMPUTED_VALUE"""),"Assorted Fridge")</f>
        <v>Assorted Fridge</v>
      </c>
    </row>
    <row r="1906">
      <c r="A1906" s="23">
        <f>IFERROR(__xludf.DUMMYFUNCTION("""COMPUTED_VALUE"""),44856.0)</f>
        <v>44856</v>
      </c>
      <c r="B1906" s="24" t="str">
        <f>IFERROR(__xludf.DUMMYFUNCTION("""COMPUTED_VALUE"""),"Claire")</f>
        <v>Claire</v>
      </c>
      <c r="C1906" s="24">
        <f>IFERROR(__xludf.DUMMYFUNCTION("""COMPUTED_VALUE"""),-216.0)</f>
        <v>-216</v>
      </c>
      <c r="D1906" s="24" t="str">
        <f>IFERROR(__xludf.DUMMYFUNCTION("""COMPUTED_VALUE"""),"Assorted Dry")</f>
        <v>Assorted Dry</v>
      </c>
      <c r="F1906" s="23">
        <f>IFERROR(__xludf.DUMMYFUNCTION("""COMPUTED_VALUE"""),44808.671264293975)</f>
        <v>44808.67126</v>
      </c>
      <c r="G1906" s="24" t="str">
        <f>IFERROR(__xludf.DUMMYFUNCTION("""COMPUTED_VALUE"""),"Carla")</f>
        <v>Carla</v>
      </c>
      <c r="H1906" s="24">
        <f>IFERROR(__xludf.DUMMYFUNCTION("""COMPUTED_VALUE"""),13.0)</f>
        <v>13</v>
      </c>
      <c r="I1906" s="24"/>
    </row>
    <row r="1907">
      <c r="A1907" s="23">
        <f>IFERROR(__xludf.DUMMYFUNCTION("""COMPUTED_VALUE"""),44856.0)</f>
        <v>44856</v>
      </c>
      <c r="B1907" s="24" t="str">
        <f>IFERROR(__xludf.DUMMYFUNCTION("""COMPUTED_VALUE"""),"Claire")</f>
        <v>Claire</v>
      </c>
      <c r="C1907" s="24">
        <f>IFERROR(__xludf.DUMMYFUNCTION("""COMPUTED_VALUE"""),-136.0)</f>
        <v>-136</v>
      </c>
      <c r="D1907" s="24" t="str">
        <f>IFERROR(__xludf.DUMMYFUNCTION("""COMPUTED_VALUE"""),"Produce")</f>
        <v>Produce</v>
      </c>
      <c r="F1907" s="23">
        <f>IFERROR(__xludf.DUMMYFUNCTION("""COMPUTED_VALUE"""),44808.67283142362)</f>
        <v>44808.67283</v>
      </c>
      <c r="G1907" s="24" t="str">
        <f>IFERROR(__xludf.DUMMYFUNCTION("""COMPUTED_VALUE"""),"Dorja ")</f>
        <v>Dorja </v>
      </c>
      <c r="H1907" s="24">
        <f>IFERROR(__xludf.DUMMYFUNCTION("""COMPUTED_VALUE"""),26.0)</f>
        <v>26</v>
      </c>
      <c r="I1907" s="24"/>
    </row>
    <row r="1908">
      <c r="A1908" s="23">
        <f>IFERROR(__xludf.DUMMYFUNCTION("""COMPUTED_VALUE"""),44856.0)</f>
        <v>44856</v>
      </c>
      <c r="B1908" s="24" t="str">
        <f>IFERROR(__xludf.DUMMYFUNCTION("""COMPUTED_VALUE"""),"Claire")</f>
        <v>Claire</v>
      </c>
      <c r="C1908" s="24">
        <f>IFERROR(__xludf.DUMMYFUNCTION("""COMPUTED_VALUE"""),-108.0)</f>
        <v>-108</v>
      </c>
      <c r="D1908" s="24" t="str">
        <f>IFERROR(__xludf.DUMMYFUNCTION("""COMPUTED_VALUE"""),"Snacks")</f>
        <v>Snacks</v>
      </c>
      <c r="F1908" s="23">
        <f>IFERROR(__xludf.DUMMYFUNCTION("""COMPUTED_VALUE"""),44808.69772787036)</f>
        <v>44808.69773</v>
      </c>
      <c r="G1908" s="24" t="str">
        <f>IFERROR(__xludf.DUMMYFUNCTION("""COMPUTED_VALUE"""),"Opey")</f>
        <v>Opey</v>
      </c>
      <c r="H1908" s="24">
        <f>IFERROR(__xludf.DUMMYFUNCTION("""COMPUTED_VALUE"""),20.0)</f>
        <v>20</v>
      </c>
      <c r="I1908" s="24"/>
    </row>
    <row r="1909">
      <c r="A1909" s="23">
        <f>IFERROR(__xludf.DUMMYFUNCTION("""COMPUTED_VALUE"""),44857.651300844904)</f>
        <v>44857.6513</v>
      </c>
      <c r="B1909" s="24" t="str">
        <f>IFERROR(__xludf.DUMMYFUNCTION("""COMPUTED_VALUE"""),"Claire")</f>
        <v>Claire</v>
      </c>
      <c r="C1909" s="24">
        <f>IFERROR(__xludf.DUMMYFUNCTION("""COMPUTED_VALUE"""),170.0)</f>
        <v>170</v>
      </c>
      <c r="D1909" s="24" t="str">
        <f>IFERROR(__xludf.DUMMYFUNCTION("""COMPUTED_VALUE"""),"Assorted Dry")</f>
        <v>Assorted Dry</v>
      </c>
      <c r="F1909" s="23">
        <f>IFERROR(__xludf.DUMMYFUNCTION("""COMPUTED_VALUE"""),44808.69803417824)</f>
        <v>44808.69803</v>
      </c>
      <c r="G1909" s="24" t="str">
        <f>IFERROR(__xludf.DUMMYFUNCTION("""COMPUTED_VALUE"""),"Zoe")</f>
        <v>Zoe</v>
      </c>
      <c r="H1909" s="24">
        <f>IFERROR(__xludf.DUMMYFUNCTION("""COMPUTED_VALUE"""),20.0)</f>
        <v>20</v>
      </c>
      <c r="I1909" s="24"/>
    </row>
    <row r="1910">
      <c r="A1910" s="23">
        <f>IFERROR(__xludf.DUMMYFUNCTION("""COMPUTED_VALUE"""),44857.65287225694)</f>
        <v>44857.65287</v>
      </c>
      <c r="B1910" s="24" t="str">
        <f>IFERROR(__xludf.DUMMYFUNCTION("""COMPUTED_VALUE"""),"Claire")</f>
        <v>Claire</v>
      </c>
      <c r="C1910" s="24">
        <f>IFERROR(__xludf.DUMMYFUNCTION("""COMPUTED_VALUE"""),114.0)</f>
        <v>114</v>
      </c>
      <c r="D1910" s="24" t="str">
        <f>IFERROR(__xludf.DUMMYFUNCTION("""COMPUTED_VALUE"""),"Drinks [Dry]")</f>
        <v>Drinks [Dry]</v>
      </c>
      <c r="F1910" s="23">
        <f>IFERROR(__xludf.DUMMYFUNCTION("""COMPUTED_VALUE"""),44810.0)</f>
        <v>44810</v>
      </c>
      <c r="G1910" s="24" t="str">
        <f>IFERROR(__xludf.DUMMYFUNCTION("""COMPUTED_VALUE"""),"Hong Xue")</f>
        <v>Hong Xue</v>
      </c>
      <c r="H1910" s="24">
        <f>IFERROR(__xludf.DUMMYFUNCTION("""COMPUTED_VALUE"""),21.0)</f>
        <v>21</v>
      </c>
      <c r="I1910" s="24"/>
    </row>
    <row r="1911">
      <c r="A1911" s="23">
        <f>IFERROR(__xludf.DUMMYFUNCTION("""COMPUTED_VALUE"""),44857.65312571759)</f>
        <v>44857.65313</v>
      </c>
      <c r="B1911" s="24" t="str">
        <f>IFERROR(__xludf.DUMMYFUNCTION("""COMPUTED_VALUE"""),"Claire")</f>
        <v>Claire</v>
      </c>
      <c r="C1911" s="24">
        <f>IFERROR(__xludf.DUMMYFUNCTION("""COMPUTED_VALUE"""),172.0)</f>
        <v>172</v>
      </c>
      <c r="D1911" s="24" t="str">
        <f>IFERROR(__xludf.DUMMYFUNCTION("""COMPUTED_VALUE"""),"Assorted Dry")</f>
        <v>Assorted Dry</v>
      </c>
      <c r="F1911" s="23">
        <f>IFERROR(__xludf.DUMMYFUNCTION("""COMPUTED_VALUE"""),44810.0)</f>
        <v>44810</v>
      </c>
      <c r="G1911" s="24" t="str">
        <f>IFERROR(__xludf.DUMMYFUNCTION("""COMPUTED_VALUE"""),"Hong Xue")</f>
        <v>Hong Xue</v>
      </c>
      <c r="H1911" s="24">
        <f>IFERROR(__xludf.DUMMYFUNCTION("""COMPUTED_VALUE"""),40.0)</f>
        <v>40</v>
      </c>
      <c r="I1911" s="24"/>
    </row>
    <row r="1912">
      <c r="A1912" s="23">
        <f>IFERROR(__xludf.DUMMYFUNCTION("""COMPUTED_VALUE"""),44857.653518611114)</f>
        <v>44857.65352</v>
      </c>
      <c r="B1912" s="24" t="str">
        <f>IFERROR(__xludf.DUMMYFUNCTION("""COMPUTED_VALUE"""),"Claire")</f>
        <v>Claire</v>
      </c>
      <c r="C1912" s="24">
        <f>IFERROR(__xludf.DUMMYFUNCTION("""COMPUTED_VALUE"""),619.0)</f>
        <v>619</v>
      </c>
      <c r="D1912" s="24" t="str">
        <f>IFERROR(__xludf.DUMMYFUNCTION("""COMPUTED_VALUE"""),"Drinks [Dry]")</f>
        <v>Drinks [Dry]</v>
      </c>
      <c r="F1912" s="23">
        <f>IFERROR(__xludf.DUMMYFUNCTION("""COMPUTED_VALUE"""),44810.0)</f>
        <v>44810</v>
      </c>
      <c r="G1912" s="24" t="str">
        <f>IFERROR(__xludf.DUMMYFUNCTION("""COMPUTED_VALUE"""),"Marci")</f>
        <v>Marci</v>
      </c>
      <c r="H1912" s="24">
        <f>IFERROR(__xludf.DUMMYFUNCTION("""COMPUTED_VALUE"""),10.0)</f>
        <v>10</v>
      </c>
      <c r="I1912" s="24"/>
    </row>
    <row r="1913">
      <c r="A1913" s="23">
        <f>IFERROR(__xludf.DUMMYFUNCTION("""COMPUTED_VALUE"""),44857.65401534722)</f>
        <v>44857.65402</v>
      </c>
      <c r="B1913" s="24" t="str">
        <f>IFERROR(__xludf.DUMMYFUNCTION("""COMPUTED_VALUE"""),"Claire ")</f>
        <v>Claire </v>
      </c>
      <c r="C1913" s="24">
        <f>IFERROR(__xludf.DUMMYFUNCTION("""COMPUTED_VALUE"""),417.0)</f>
        <v>417</v>
      </c>
      <c r="D1913" s="24" t="str">
        <f>IFERROR(__xludf.DUMMYFUNCTION("""COMPUTED_VALUE"""),"Fruit cups")</f>
        <v>Fruit cups</v>
      </c>
      <c r="F1913" s="23">
        <f>IFERROR(__xludf.DUMMYFUNCTION("""COMPUTED_VALUE"""),44810.0)</f>
        <v>44810</v>
      </c>
      <c r="G1913" s="24" t="str">
        <f>IFERROR(__xludf.DUMMYFUNCTION("""COMPUTED_VALUE"""),"Marci")</f>
        <v>Marci</v>
      </c>
      <c r="H1913" s="24">
        <f>IFERROR(__xludf.DUMMYFUNCTION("""COMPUTED_VALUE"""),84.0)</f>
        <v>84</v>
      </c>
      <c r="I1913" s="24"/>
    </row>
    <row r="1914">
      <c r="A1914" s="23">
        <f>IFERROR(__xludf.DUMMYFUNCTION("""COMPUTED_VALUE"""),44857.654762673614)</f>
        <v>44857.65476</v>
      </c>
      <c r="B1914" s="24" t="str">
        <f>IFERROR(__xludf.DUMMYFUNCTION("""COMPUTED_VALUE"""),"Claire ")</f>
        <v>Claire </v>
      </c>
      <c r="C1914" s="24">
        <f>IFERROR(__xludf.DUMMYFUNCTION("""COMPUTED_VALUE"""),115.0)</f>
        <v>115</v>
      </c>
      <c r="D1914" s="24" t="str">
        <f>IFERROR(__xludf.DUMMYFUNCTION("""COMPUTED_VALUE"""),"Assorted Dry")</f>
        <v>Assorted Dry</v>
      </c>
      <c r="F1914" s="23">
        <f>IFERROR(__xludf.DUMMYFUNCTION("""COMPUTED_VALUE"""),44810.698604548605)</f>
        <v>44810.6986</v>
      </c>
      <c r="G1914" s="24" t="str">
        <f>IFERROR(__xludf.DUMMYFUNCTION("""COMPUTED_VALUE"""),"Barbara")</f>
        <v>Barbara</v>
      </c>
      <c r="H1914" s="24">
        <f>IFERROR(__xludf.DUMMYFUNCTION("""COMPUTED_VALUE"""),15.0)</f>
        <v>15</v>
      </c>
      <c r="I1914" s="24"/>
    </row>
    <row r="1915">
      <c r="A1915" s="23">
        <f>IFERROR(__xludf.DUMMYFUNCTION("""COMPUTED_VALUE"""),44857.65565929399)</f>
        <v>44857.65566</v>
      </c>
      <c r="B1915" s="24" t="str">
        <f>IFERROR(__xludf.DUMMYFUNCTION("""COMPUTED_VALUE"""),"Claire ")</f>
        <v>Claire </v>
      </c>
      <c r="C1915" s="24">
        <f>IFERROR(__xludf.DUMMYFUNCTION("""COMPUTED_VALUE"""),92.0)</f>
        <v>92</v>
      </c>
      <c r="D1915" s="24" t="str">
        <f>IFERROR(__xludf.DUMMYFUNCTION("""COMPUTED_VALUE"""),"Assorted Dry")</f>
        <v>Assorted Dry</v>
      </c>
      <c r="F1915" s="23">
        <f>IFERROR(__xludf.DUMMYFUNCTION("""COMPUTED_VALUE"""),44810.698852615744)</f>
        <v>44810.69885</v>
      </c>
      <c r="G1915" s="24" t="str">
        <f>IFERROR(__xludf.DUMMYFUNCTION("""COMPUTED_VALUE"""),"Babara")</f>
        <v>Babara</v>
      </c>
      <c r="H1915" s="24">
        <f>IFERROR(__xludf.DUMMYFUNCTION("""COMPUTED_VALUE"""),19.0)</f>
        <v>19</v>
      </c>
      <c r="I1915" s="24"/>
    </row>
    <row r="1916">
      <c r="A1916" s="23">
        <f>IFERROR(__xludf.DUMMYFUNCTION("""COMPUTED_VALUE"""),44857.65618479167)</f>
        <v>44857.65618</v>
      </c>
      <c r="B1916" s="24" t="str">
        <f>IFERROR(__xludf.DUMMYFUNCTION("""COMPUTED_VALUE"""),"Claire ")</f>
        <v>Claire </v>
      </c>
      <c r="C1916" s="24">
        <f>IFERROR(__xludf.DUMMYFUNCTION("""COMPUTED_VALUE"""),410.0)</f>
        <v>410</v>
      </c>
      <c r="D1916" s="24" t="str">
        <f>IFERROR(__xludf.DUMMYFUNCTION("""COMPUTED_VALUE"""),"Assorted Dry")</f>
        <v>Assorted Dry</v>
      </c>
      <c r="F1916" s="23">
        <f>IFERROR(__xludf.DUMMYFUNCTION("""COMPUTED_VALUE"""),44810.700949375)</f>
        <v>44810.70095</v>
      </c>
      <c r="G1916" s="24" t="str">
        <f>IFERROR(__xludf.DUMMYFUNCTION("""COMPUTED_VALUE"""),"Jean")</f>
        <v>Jean</v>
      </c>
      <c r="H1916" s="24">
        <f>IFERROR(__xludf.DUMMYFUNCTION("""COMPUTED_VALUE"""),51.0)</f>
        <v>51</v>
      </c>
      <c r="I1916" s="24"/>
    </row>
    <row r="1917">
      <c r="A1917" s="23">
        <f>IFERROR(__xludf.DUMMYFUNCTION("""COMPUTED_VALUE"""),44860.69485341435)</f>
        <v>44860.69485</v>
      </c>
      <c r="B1917" s="24" t="str">
        <f>IFERROR(__xludf.DUMMYFUNCTION("""COMPUTED_VALUE"""),"Claire")</f>
        <v>Claire</v>
      </c>
      <c r="C1917" s="24">
        <f>IFERROR(__xludf.DUMMYFUNCTION("""COMPUTED_VALUE"""),1312.0)</f>
        <v>1312</v>
      </c>
      <c r="D1917" s="24" t="str">
        <f>IFERROR(__xludf.DUMMYFUNCTION("""COMPUTED_VALUE"""),"Drinks [Dry]")</f>
        <v>Drinks [Dry]</v>
      </c>
      <c r="F1917" s="23">
        <f>IFERROR(__xludf.DUMMYFUNCTION("""COMPUTED_VALUE"""),44810.70146768519)</f>
        <v>44810.70147</v>
      </c>
      <c r="G1917" s="24" t="str">
        <f>IFERROR(__xludf.DUMMYFUNCTION("""COMPUTED_VALUE"""),"Jean")</f>
        <v>Jean</v>
      </c>
      <c r="H1917" s="24">
        <f>IFERROR(__xludf.DUMMYFUNCTION("""COMPUTED_VALUE"""),32.0)</f>
        <v>32</v>
      </c>
      <c r="I1917" s="24"/>
    </row>
    <row r="1918">
      <c r="A1918" s="23">
        <f>IFERROR(__xludf.DUMMYFUNCTION("""COMPUTED_VALUE"""),44860.6951046412)</f>
        <v>44860.6951</v>
      </c>
      <c r="B1918" s="24" t="str">
        <f>IFERROR(__xludf.DUMMYFUNCTION("""COMPUTED_VALUE"""),"Claire")</f>
        <v>Claire</v>
      </c>
      <c r="C1918" s="24">
        <f>IFERROR(__xludf.DUMMYFUNCTION("""COMPUTED_VALUE"""),1007.0)</f>
        <v>1007</v>
      </c>
      <c r="D1918" s="24" t="str">
        <f>IFERROR(__xludf.DUMMYFUNCTION("""COMPUTED_VALUE"""),"Fruit cups")</f>
        <v>Fruit cups</v>
      </c>
      <c r="F1918" s="23">
        <f>IFERROR(__xludf.DUMMYFUNCTION("""COMPUTED_VALUE"""),44810.70451394677)</f>
        <v>44810.70451</v>
      </c>
      <c r="G1918" s="24" t="str">
        <f>IFERROR(__xludf.DUMMYFUNCTION("""COMPUTED_VALUE"""),"Kaneesha")</f>
        <v>Kaneesha</v>
      </c>
      <c r="H1918" s="24">
        <f>IFERROR(__xludf.DUMMYFUNCTION("""COMPUTED_VALUE"""),20.0)</f>
        <v>20</v>
      </c>
      <c r="I1918" s="24"/>
    </row>
    <row r="1919">
      <c r="A1919" s="23">
        <f>IFERROR(__xludf.DUMMYFUNCTION("""COMPUTED_VALUE"""),44860.69537004629)</f>
        <v>44860.69537</v>
      </c>
      <c r="B1919" s="24" t="str">
        <f>IFERROR(__xludf.DUMMYFUNCTION("""COMPUTED_VALUE"""),"Claire")</f>
        <v>Claire</v>
      </c>
      <c r="C1919" s="24">
        <f>IFERROR(__xludf.DUMMYFUNCTION("""COMPUTED_VALUE"""),1008.0)</f>
        <v>1008</v>
      </c>
      <c r="D1919" s="24" t="str">
        <f>IFERROR(__xludf.DUMMYFUNCTION("""COMPUTED_VALUE"""),"Fruit cups")</f>
        <v>Fruit cups</v>
      </c>
      <c r="F1919" s="23">
        <f>IFERROR(__xludf.DUMMYFUNCTION("""COMPUTED_VALUE"""),44810.704870567126)</f>
        <v>44810.70487</v>
      </c>
      <c r="G1919" s="24" t="str">
        <f>IFERROR(__xludf.DUMMYFUNCTION("""COMPUTED_VALUE"""),"Kaneesha ")</f>
        <v>Kaneesha </v>
      </c>
      <c r="H1919" s="24">
        <f>IFERROR(__xludf.DUMMYFUNCTION("""COMPUTED_VALUE"""),31.0)</f>
        <v>31</v>
      </c>
      <c r="I1919" s="24"/>
    </row>
    <row r="1920">
      <c r="A1920" s="23">
        <f>IFERROR(__xludf.DUMMYFUNCTION("""COMPUTED_VALUE"""),44860.69561559027)</f>
        <v>44860.69562</v>
      </c>
      <c r="B1920" s="24" t="str">
        <f>IFERROR(__xludf.DUMMYFUNCTION("""COMPUTED_VALUE"""),"Claire")</f>
        <v>Claire</v>
      </c>
      <c r="C1920" s="24">
        <f>IFERROR(__xludf.DUMMYFUNCTION("""COMPUTED_VALUE"""),217.0)</f>
        <v>217</v>
      </c>
      <c r="D1920" s="24" t="str">
        <f>IFERROR(__xludf.DUMMYFUNCTION("""COMPUTED_VALUE"""),"Snacks")</f>
        <v>Snacks</v>
      </c>
      <c r="F1920" s="23">
        <f>IFERROR(__xludf.DUMMYFUNCTION("""COMPUTED_VALUE"""),44810.70590226852)</f>
        <v>44810.7059</v>
      </c>
      <c r="G1920" s="24" t="str">
        <f>IFERROR(__xludf.DUMMYFUNCTION("""COMPUTED_VALUE"""),"Beverly Pinn")</f>
        <v>Beverly Pinn</v>
      </c>
      <c r="H1920" s="24">
        <f>IFERROR(__xludf.DUMMYFUNCTION("""COMPUTED_VALUE"""),18.0)</f>
        <v>18</v>
      </c>
      <c r="I1920" s="24"/>
    </row>
    <row r="1921">
      <c r="A1921" s="23">
        <f>IFERROR(__xludf.DUMMYFUNCTION("""COMPUTED_VALUE"""),44860.69582832176)</f>
        <v>44860.69583</v>
      </c>
      <c r="B1921" s="24" t="str">
        <f>IFERROR(__xludf.DUMMYFUNCTION("""COMPUTED_VALUE"""),"Claire")</f>
        <v>Claire</v>
      </c>
      <c r="C1921" s="24">
        <f>IFERROR(__xludf.DUMMYFUNCTION("""COMPUTED_VALUE"""),212.0)</f>
        <v>212</v>
      </c>
      <c r="D1921" s="24" t="str">
        <f>IFERROR(__xludf.DUMMYFUNCTION("""COMPUTED_VALUE"""),"Snacks")</f>
        <v>Snacks</v>
      </c>
      <c r="F1921" s="23">
        <f>IFERROR(__xludf.DUMMYFUNCTION("""COMPUTED_VALUE"""),44810.70595246528)</f>
        <v>44810.70595</v>
      </c>
      <c r="G1921" s="24" t="str">
        <f>IFERROR(__xludf.DUMMYFUNCTION("""COMPUTED_VALUE"""),"Romaine Bouldin ")</f>
        <v>Romaine Bouldin </v>
      </c>
      <c r="H1921" s="24">
        <f>IFERROR(__xludf.DUMMYFUNCTION("""COMPUTED_VALUE"""),17.0)</f>
        <v>17</v>
      </c>
      <c r="I1921" s="24"/>
    </row>
    <row r="1922">
      <c r="A1922" s="23">
        <f>IFERROR(__xludf.DUMMYFUNCTION("""COMPUTED_VALUE"""),44860.6961017824)</f>
        <v>44860.6961</v>
      </c>
      <c r="B1922" s="24" t="str">
        <f>IFERROR(__xludf.DUMMYFUNCTION("""COMPUTED_VALUE"""),"Claire")</f>
        <v>Claire</v>
      </c>
      <c r="C1922" s="24">
        <f>IFERROR(__xludf.DUMMYFUNCTION("""COMPUTED_VALUE"""),1069.0)</f>
        <v>1069</v>
      </c>
      <c r="D1922" s="24" t="str">
        <f>IFERROR(__xludf.DUMMYFUNCTION("""COMPUTED_VALUE"""),"Fruit cups")</f>
        <v>Fruit cups</v>
      </c>
      <c r="F1922" s="23">
        <f>IFERROR(__xludf.DUMMYFUNCTION("""COMPUTED_VALUE"""),44810.70595840278)</f>
        <v>44810.70596</v>
      </c>
      <c r="G1922" s="24" t="str">
        <f>IFERROR(__xludf.DUMMYFUNCTION("""COMPUTED_VALUE"""),"Beverly Graham")</f>
        <v>Beverly Graham</v>
      </c>
      <c r="H1922" s="24">
        <f>IFERROR(__xludf.DUMMYFUNCTION("""COMPUTED_VALUE"""),16.0)</f>
        <v>16</v>
      </c>
      <c r="I1922" s="24"/>
    </row>
    <row r="1923">
      <c r="A1923" s="23">
        <f>IFERROR(__xludf.DUMMYFUNCTION("""COMPUTED_VALUE"""),44861.58749304398)</f>
        <v>44861.58749</v>
      </c>
      <c r="B1923" s="24" t="str">
        <f>IFERROR(__xludf.DUMMYFUNCTION("""COMPUTED_VALUE"""),"Jean")</f>
        <v>Jean</v>
      </c>
      <c r="C1923" s="24">
        <f>IFERROR(__xludf.DUMMYFUNCTION("""COMPUTED_VALUE"""),378.0)</f>
        <v>378</v>
      </c>
      <c r="D1923" s="24" t="str">
        <f>IFERROR(__xludf.DUMMYFUNCTION("""COMPUTED_VALUE"""),"Toys")</f>
        <v>Toys</v>
      </c>
      <c r="F1923" s="23">
        <f>IFERROR(__xludf.DUMMYFUNCTION("""COMPUTED_VALUE"""),44810.70625805556)</f>
        <v>44810.70626</v>
      </c>
      <c r="G1923" s="24" t="str">
        <f>IFERROR(__xludf.DUMMYFUNCTION("""COMPUTED_VALUE"""),"Beverly Pinn")</f>
        <v>Beverly Pinn</v>
      </c>
      <c r="H1923" s="24">
        <f>IFERROR(__xludf.DUMMYFUNCTION("""COMPUTED_VALUE"""),29.0)</f>
        <v>29</v>
      </c>
      <c r="I1923" s="24"/>
    </row>
    <row r="1924">
      <c r="A1924" s="23">
        <f>IFERROR(__xludf.DUMMYFUNCTION("""COMPUTED_VALUE"""),44861.58861535879)</f>
        <v>44861.58862</v>
      </c>
      <c r="B1924" s="24" t="str">
        <f>IFERROR(__xludf.DUMMYFUNCTION("""COMPUTED_VALUE"""),"Jean")</f>
        <v>Jean</v>
      </c>
      <c r="C1924" s="24">
        <f>IFERROR(__xludf.DUMMYFUNCTION("""COMPUTED_VALUE"""),112.0)</f>
        <v>112</v>
      </c>
      <c r="D1924" s="24" t="str">
        <f>IFERROR(__xludf.DUMMYFUNCTION("""COMPUTED_VALUE"""),"Toys")</f>
        <v>Toys</v>
      </c>
      <c r="F1924" s="23">
        <f>IFERROR(__xludf.DUMMYFUNCTION("""COMPUTED_VALUE"""),44810.70630636574)</f>
        <v>44810.70631</v>
      </c>
      <c r="G1924" s="24" t="str">
        <f>IFERROR(__xludf.DUMMYFUNCTION("""COMPUTED_VALUE"""),"Romaine Bouldin ")</f>
        <v>Romaine Bouldin </v>
      </c>
      <c r="H1924" s="24">
        <f>IFERROR(__xludf.DUMMYFUNCTION("""COMPUTED_VALUE"""),18.0)</f>
        <v>18</v>
      </c>
      <c r="I1924" s="24"/>
    </row>
    <row r="1925">
      <c r="A1925" s="23">
        <f>IFERROR(__xludf.DUMMYFUNCTION("""COMPUTED_VALUE"""),44861.612612013894)</f>
        <v>44861.61261</v>
      </c>
      <c r="B1925" s="24" t="str">
        <f>IFERROR(__xludf.DUMMYFUNCTION("""COMPUTED_VALUE"""),"J.C.")</f>
        <v>J.C.</v>
      </c>
      <c r="C1925" s="24">
        <f>IFERROR(__xludf.DUMMYFUNCTION("""COMPUTED_VALUE"""),81.0)</f>
        <v>81</v>
      </c>
      <c r="D1925" s="24" t="str">
        <f>IFERROR(__xludf.DUMMYFUNCTION("""COMPUTED_VALUE"""),"Assorted Dry")</f>
        <v>Assorted Dry</v>
      </c>
      <c r="F1925" s="23">
        <f>IFERROR(__xludf.DUMMYFUNCTION("""COMPUTED_VALUE"""),44810.70657236111)</f>
        <v>44810.70657</v>
      </c>
      <c r="G1925" s="24" t="str">
        <f>IFERROR(__xludf.DUMMYFUNCTION("""COMPUTED_VALUE"""),"Beverly Graham")</f>
        <v>Beverly Graham</v>
      </c>
      <c r="H1925" s="24">
        <f>IFERROR(__xludf.DUMMYFUNCTION("""COMPUTED_VALUE"""),21.0)</f>
        <v>21</v>
      </c>
      <c r="I1925" s="24"/>
    </row>
    <row r="1926">
      <c r="A1926" s="23">
        <f>IFERROR(__xludf.DUMMYFUNCTION("""COMPUTED_VALUE"""),44862.588746828704)</f>
        <v>44862.58875</v>
      </c>
      <c r="B1926" s="24" t="str">
        <f>IFERROR(__xludf.DUMMYFUNCTION("""COMPUTED_VALUE"""),"Jean")</f>
        <v>Jean</v>
      </c>
      <c r="C1926" s="24">
        <f>IFERROR(__xludf.DUMMYFUNCTION("""COMPUTED_VALUE"""),146.0)</f>
        <v>146</v>
      </c>
      <c r="D1926" s="24" t="str">
        <f>IFERROR(__xludf.DUMMYFUNCTION("""COMPUTED_VALUE"""),"Snacks")</f>
        <v>Snacks</v>
      </c>
      <c r="F1926" s="23">
        <f>IFERROR(__xludf.DUMMYFUNCTION("""COMPUTED_VALUE"""),44811.0)</f>
        <v>44811</v>
      </c>
      <c r="G1926" s="24" t="str">
        <f>IFERROR(__xludf.DUMMYFUNCTION("""COMPUTED_VALUE"""),"Juanita Chandler")</f>
        <v>Juanita Chandler</v>
      </c>
      <c r="H1926" s="24">
        <f>IFERROR(__xludf.DUMMYFUNCTION("""COMPUTED_VALUE"""),4.0)</f>
        <v>4</v>
      </c>
      <c r="I1926" s="24"/>
    </row>
    <row r="1927">
      <c r="A1927" s="23">
        <f>IFERROR(__xludf.DUMMYFUNCTION("""COMPUTED_VALUE"""),44862.58998858796)</f>
        <v>44862.58999</v>
      </c>
      <c r="B1927" s="24" t="str">
        <f>IFERROR(__xludf.DUMMYFUNCTION("""COMPUTED_VALUE"""),"Jean")</f>
        <v>Jean</v>
      </c>
      <c r="C1927" s="24">
        <f>IFERROR(__xludf.DUMMYFUNCTION("""COMPUTED_VALUE"""),429.0)</f>
        <v>429</v>
      </c>
      <c r="D1927" s="24" t="str">
        <f>IFERROR(__xludf.DUMMYFUNCTION("""COMPUTED_VALUE"""),"Drinks [Dry]")</f>
        <v>Drinks [Dry]</v>
      </c>
      <c r="F1927" s="23">
        <f>IFERROR(__xludf.DUMMYFUNCTION("""COMPUTED_VALUE"""),44811.0)</f>
        <v>44811</v>
      </c>
      <c r="G1927" s="24" t="str">
        <f>IFERROR(__xludf.DUMMYFUNCTION("""COMPUTED_VALUE"""),"Juanita Chandler")</f>
        <v>Juanita Chandler</v>
      </c>
      <c r="H1927" s="24">
        <f>IFERROR(__xludf.DUMMYFUNCTION("""COMPUTED_VALUE"""),9.0)</f>
        <v>9</v>
      </c>
      <c r="I1927" s="24"/>
    </row>
    <row r="1928">
      <c r="A1928" s="23">
        <f>IFERROR(__xludf.DUMMYFUNCTION("""COMPUTED_VALUE"""),44862.59135048612)</f>
        <v>44862.59135</v>
      </c>
      <c r="B1928" s="24" t="str">
        <f>IFERROR(__xludf.DUMMYFUNCTION("""COMPUTED_VALUE"""),"Jean")</f>
        <v>Jean</v>
      </c>
      <c r="C1928" s="24">
        <f>IFERROR(__xludf.DUMMYFUNCTION("""COMPUTED_VALUE"""),468.0)</f>
        <v>468</v>
      </c>
      <c r="D1928" s="24" t="str">
        <f>IFERROR(__xludf.DUMMYFUNCTION("""COMPUTED_VALUE"""),"Assorted Dry")</f>
        <v>Assorted Dry</v>
      </c>
      <c r="F1928" s="23">
        <f>IFERROR(__xludf.DUMMYFUNCTION("""COMPUTED_VALUE"""),44811.0)</f>
        <v>44811</v>
      </c>
      <c r="G1928" s="24" t="str">
        <f>IFERROR(__xludf.DUMMYFUNCTION("""COMPUTED_VALUE"""),"Doris Parker Tuggle")</f>
        <v>Doris Parker Tuggle</v>
      </c>
      <c r="H1928" s="24">
        <f>IFERROR(__xludf.DUMMYFUNCTION("""COMPUTED_VALUE"""),19.0)</f>
        <v>19</v>
      </c>
      <c r="I1928" s="24"/>
    </row>
    <row r="1929">
      <c r="A1929" s="23">
        <f>IFERROR(__xludf.DUMMYFUNCTION("""COMPUTED_VALUE"""),44862.59211827547)</f>
        <v>44862.59212</v>
      </c>
      <c r="B1929" s="24" t="str">
        <f>IFERROR(__xludf.DUMMYFUNCTION("""COMPUTED_VALUE"""),"Jean")</f>
        <v>Jean</v>
      </c>
      <c r="C1929" s="24">
        <f>IFERROR(__xludf.DUMMYFUNCTION("""COMPUTED_VALUE"""),354.0)</f>
        <v>354</v>
      </c>
      <c r="D1929" s="24" t="str">
        <f>IFERROR(__xludf.DUMMYFUNCTION("""COMPUTED_VALUE"""),"Produce")</f>
        <v>Produce</v>
      </c>
      <c r="F1929" s="23">
        <f>IFERROR(__xludf.DUMMYFUNCTION("""COMPUTED_VALUE"""),44811.0)</f>
        <v>44811</v>
      </c>
      <c r="G1929" s="24" t="str">
        <f>IFERROR(__xludf.DUMMYFUNCTION("""COMPUTED_VALUE"""),"Sharron Robinson")</f>
        <v>Sharron Robinson</v>
      </c>
      <c r="H1929" s="24">
        <f>IFERROR(__xludf.DUMMYFUNCTION("""COMPUTED_VALUE"""),20.0)</f>
        <v>20</v>
      </c>
      <c r="I1929" s="24"/>
    </row>
    <row r="1930">
      <c r="A1930" s="23">
        <f>IFERROR(__xludf.DUMMYFUNCTION("""COMPUTED_VALUE"""),44862.59352847223)</f>
        <v>44862.59353</v>
      </c>
      <c r="B1930" s="24" t="str">
        <f>IFERROR(__xludf.DUMMYFUNCTION("""COMPUTED_VALUE"""),"Jean")</f>
        <v>Jean</v>
      </c>
      <c r="C1930" s="24">
        <f>IFERROR(__xludf.DUMMYFUNCTION("""COMPUTED_VALUE"""),383.0)</f>
        <v>383</v>
      </c>
      <c r="D1930" s="24" t="str">
        <f>IFERROR(__xludf.DUMMYFUNCTION("""COMPUTED_VALUE"""),"Produce")</f>
        <v>Produce</v>
      </c>
      <c r="F1930" s="23">
        <f>IFERROR(__xludf.DUMMYFUNCTION("""COMPUTED_VALUE"""),44811.0)</f>
        <v>44811</v>
      </c>
      <c r="G1930" s="24" t="str">
        <f>IFERROR(__xludf.DUMMYFUNCTION("""COMPUTED_VALUE"""),"Sharron Robinson")</f>
        <v>Sharron Robinson</v>
      </c>
      <c r="H1930" s="24">
        <f>IFERROR(__xludf.DUMMYFUNCTION("""COMPUTED_VALUE"""),10.0)</f>
        <v>10</v>
      </c>
      <c r="I1930" s="24"/>
    </row>
    <row r="1931">
      <c r="A1931" s="23">
        <f>IFERROR(__xludf.DUMMYFUNCTION("""COMPUTED_VALUE"""),44862.594075486115)</f>
        <v>44862.59408</v>
      </c>
      <c r="B1931" s="24" t="str">
        <f>IFERROR(__xludf.DUMMYFUNCTION("""COMPUTED_VALUE"""),"Jean")</f>
        <v>Jean</v>
      </c>
      <c r="C1931" s="24">
        <f>IFERROR(__xludf.DUMMYFUNCTION("""COMPUTED_VALUE"""),231.0)</f>
        <v>231</v>
      </c>
      <c r="D1931" s="24" t="str">
        <f>IFERROR(__xludf.DUMMYFUNCTION("""COMPUTED_VALUE"""),"Produce")</f>
        <v>Produce</v>
      </c>
      <c r="F1931" s="23">
        <f>IFERROR(__xludf.DUMMYFUNCTION("""COMPUTED_VALUE"""),44811.0)</f>
        <v>44811</v>
      </c>
      <c r="G1931" s="24" t="str">
        <f>IFERROR(__xludf.DUMMYFUNCTION("""COMPUTED_VALUE"""),"Alana Thomas")</f>
        <v>Alana Thomas</v>
      </c>
      <c r="H1931" s="24">
        <f>IFERROR(__xludf.DUMMYFUNCTION("""COMPUTED_VALUE"""),20.0)</f>
        <v>20</v>
      </c>
      <c r="I1931" s="24"/>
    </row>
    <row r="1932">
      <c r="A1932" s="23">
        <f>IFERROR(__xludf.DUMMYFUNCTION("""COMPUTED_VALUE"""),44862.59494916666)</f>
        <v>44862.59495</v>
      </c>
      <c r="B1932" s="24" t="str">
        <f>IFERROR(__xludf.DUMMYFUNCTION("""COMPUTED_VALUE"""),"Jean")</f>
        <v>Jean</v>
      </c>
      <c r="C1932" s="24">
        <f>IFERROR(__xludf.DUMMYFUNCTION("""COMPUTED_VALUE"""),113.0)</f>
        <v>113</v>
      </c>
      <c r="D1932" s="24" t="str">
        <f>IFERROR(__xludf.DUMMYFUNCTION("""COMPUTED_VALUE"""),"Snacks")</f>
        <v>Snacks</v>
      </c>
      <c r="F1932" s="23">
        <f>IFERROR(__xludf.DUMMYFUNCTION("""COMPUTED_VALUE"""),44811.0)</f>
        <v>44811</v>
      </c>
      <c r="G1932" s="24" t="str">
        <f>IFERROR(__xludf.DUMMYFUNCTION("""COMPUTED_VALUE"""),"Alana Thomas")</f>
        <v>Alana Thomas</v>
      </c>
      <c r="H1932" s="24">
        <f>IFERROR(__xludf.DUMMYFUNCTION("""COMPUTED_VALUE"""),18.0)</f>
        <v>18</v>
      </c>
      <c r="I1932" s="24"/>
    </row>
    <row r="1933">
      <c r="A1933" s="23">
        <f>IFERROR(__xludf.DUMMYFUNCTION("""COMPUTED_VALUE"""),44862.59568761574)</f>
        <v>44862.59569</v>
      </c>
      <c r="B1933" s="24" t="str">
        <f>IFERROR(__xludf.DUMMYFUNCTION("""COMPUTED_VALUE"""),"Jean")</f>
        <v>Jean</v>
      </c>
      <c r="C1933" s="24">
        <f>IFERROR(__xludf.DUMMYFUNCTION("""COMPUTED_VALUE"""),390.0)</f>
        <v>390</v>
      </c>
      <c r="D1933" s="24" t="str">
        <f>IFERROR(__xludf.DUMMYFUNCTION("""COMPUTED_VALUE"""),"Drinks [Dry]")</f>
        <v>Drinks [Dry]</v>
      </c>
      <c r="F1933" s="23">
        <f>IFERROR(__xludf.DUMMYFUNCTION("""COMPUTED_VALUE"""),44811.0)</f>
        <v>44811</v>
      </c>
      <c r="G1933" s="24" t="str">
        <f>IFERROR(__xludf.DUMMYFUNCTION("""COMPUTED_VALUE"""),"Dee Satterfield")</f>
        <v>Dee Satterfield</v>
      </c>
      <c r="H1933" s="24">
        <f>IFERROR(__xludf.DUMMYFUNCTION("""COMPUTED_VALUE"""),20.0)</f>
        <v>20</v>
      </c>
      <c r="I1933" s="24"/>
    </row>
    <row r="1934">
      <c r="A1934" s="23">
        <f>IFERROR(__xludf.DUMMYFUNCTION("""COMPUTED_VALUE"""),44862.59664628472)</f>
        <v>44862.59665</v>
      </c>
      <c r="B1934" s="24" t="str">
        <f>IFERROR(__xludf.DUMMYFUNCTION("""COMPUTED_VALUE"""),"Jean")</f>
        <v>Jean</v>
      </c>
      <c r="C1934" s="24">
        <f>IFERROR(__xludf.DUMMYFUNCTION("""COMPUTED_VALUE"""),448.0)</f>
        <v>448</v>
      </c>
      <c r="D1934" s="24" t="str">
        <f>IFERROR(__xludf.DUMMYFUNCTION("""COMPUTED_VALUE"""),"Snacks")</f>
        <v>Snacks</v>
      </c>
      <c r="F1934" s="23">
        <f>IFERROR(__xludf.DUMMYFUNCTION("""COMPUTED_VALUE"""),44811.0)</f>
        <v>44811</v>
      </c>
      <c r="G1934" s="24" t="str">
        <f>IFERROR(__xludf.DUMMYFUNCTION("""COMPUTED_VALUE"""),"Worthy Charles")</f>
        <v>Worthy Charles</v>
      </c>
      <c r="H1934" s="24">
        <f>IFERROR(__xludf.DUMMYFUNCTION("""COMPUTED_VALUE"""),20.0)</f>
        <v>20</v>
      </c>
      <c r="I1934" s="24"/>
    </row>
    <row r="1935">
      <c r="A1935" s="23">
        <f>IFERROR(__xludf.DUMMYFUNCTION("""COMPUTED_VALUE"""),44862.59726318287)</f>
        <v>44862.59726</v>
      </c>
      <c r="B1935" s="24" t="str">
        <f>IFERROR(__xludf.DUMMYFUNCTION("""COMPUTED_VALUE"""),"Jean")</f>
        <v>Jean</v>
      </c>
      <c r="C1935" s="24">
        <f>IFERROR(__xludf.DUMMYFUNCTION("""COMPUTED_VALUE"""),359.0)</f>
        <v>359</v>
      </c>
      <c r="D1935" s="24" t="str">
        <f>IFERROR(__xludf.DUMMYFUNCTION("""COMPUTED_VALUE"""),"Produce")</f>
        <v>Produce</v>
      </c>
      <c r="F1935" s="23">
        <f>IFERROR(__xludf.DUMMYFUNCTION("""COMPUTED_VALUE"""),44811.0)</f>
        <v>44811</v>
      </c>
      <c r="G1935" s="24" t="str">
        <f>IFERROR(__xludf.DUMMYFUNCTION("""COMPUTED_VALUE"""),"Denise R")</f>
        <v>Denise R</v>
      </c>
      <c r="H1935" s="24">
        <f>IFERROR(__xludf.DUMMYFUNCTION("""COMPUTED_VALUE"""),17.0)</f>
        <v>17</v>
      </c>
      <c r="I1935" s="24"/>
    </row>
    <row r="1936">
      <c r="A1936" s="23">
        <f>IFERROR(__xludf.DUMMYFUNCTION("""COMPUTED_VALUE"""),44862.59850884259)</f>
        <v>44862.59851</v>
      </c>
      <c r="B1936" s="24" t="str">
        <f>IFERROR(__xludf.DUMMYFUNCTION("""COMPUTED_VALUE"""),"Jean")</f>
        <v>Jean</v>
      </c>
      <c r="C1936" s="24">
        <f>IFERROR(__xludf.DUMMYFUNCTION("""COMPUTED_VALUE"""),126.0)</f>
        <v>126</v>
      </c>
      <c r="D1936" s="24" t="str">
        <f>IFERROR(__xludf.DUMMYFUNCTION("""COMPUTED_VALUE"""),"Assorted Fridge")</f>
        <v>Assorted Fridge</v>
      </c>
      <c r="F1936" s="23">
        <f>IFERROR(__xludf.DUMMYFUNCTION("""COMPUTED_VALUE"""),44811.0)</f>
        <v>44811</v>
      </c>
      <c r="G1936" s="24" t="str">
        <f>IFERROR(__xludf.DUMMYFUNCTION("""COMPUTED_VALUE"""),"Denise R")</f>
        <v>Denise R</v>
      </c>
      <c r="H1936" s="24">
        <f>IFERROR(__xludf.DUMMYFUNCTION("""COMPUTED_VALUE"""),9.0)</f>
        <v>9</v>
      </c>
      <c r="I1936" s="24"/>
    </row>
    <row r="1937">
      <c r="A1937" s="23">
        <f>IFERROR(__xludf.DUMMYFUNCTION("""COMPUTED_VALUE"""),44862.59929994213)</f>
        <v>44862.5993</v>
      </c>
      <c r="B1937" s="24" t="str">
        <f>IFERROR(__xludf.DUMMYFUNCTION("""COMPUTED_VALUE"""),"Jean")</f>
        <v>Jean</v>
      </c>
      <c r="C1937" s="24">
        <f>IFERROR(__xludf.DUMMYFUNCTION("""COMPUTED_VALUE"""),352.0)</f>
        <v>352</v>
      </c>
      <c r="D1937" s="24" t="str">
        <f>IFERROR(__xludf.DUMMYFUNCTION("""COMPUTED_VALUE"""),"Produce")</f>
        <v>Produce</v>
      </c>
      <c r="F1937" s="23">
        <f>IFERROR(__xludf.DUMMYFUNCTION("""COMPUTED_VALUE"""),44811.0)</f>
        <v>44811</v>
      </c>
      <c r="G1937" s="24" t="str">
        <f>IFERROR(__xludf.DUMMYFUNCTION("""COMPUTED_VALUE"""),"Josiah Richardson")</f>
        <v>Josiah Richardson</v>
      </c>
      <c r="H1937" s="24">
        <f>IFERROR(__xludf.DUMMYFUNCTION("""COMPUTED_VALUE"""),20.0)</f>
        <v>20</v>
      </c>
      <c r="I1937" s="24"/>
    </row>
    <row r="1938">
      <c r="A1938" s="23">
        <f>IFERROR(__xludf.DUMMYFUNCTION("""COMPUTED_VALUE"""),44863.0)</f>
        <v>44863</v>
      </c>
      <c r="B1938" s="24" t="str">
        <f>IFERROR(__xludf.DUMMYFUNCTION("""COMPUTED_VALUE"""),"Claire")</f>
        <v>Claire</v>
      </c>
      <c r="C1938" s="24">
        <f>IFERROR(__xludf.DUMMYFUNCTION("""COMPUTED_VALUE"""),556.0)</f>
        <v>556</v>
      </c>
      <c r="D1938" s="24" t="str">
        <f>IFERROR(__xludf.DUMMYFUNCTION("""COMPUTED_VALUE"""),"Produce")</f>
        <v>Produce</v>
      </c>
      <c r="F1938" s="23">
        <f>IFERROR(__xludf.DUMMYFUNCTION("""COMPUTED_VALUE"""),44811.716868298616)</f>
        <v>44811.71687</v>
      </c>
      <c r="G1938" s="24" t="str">
        <f>IFERROR(__xludf.DUMMYFUNCTION("""COMPUTED_VALUE"""),"Luke mayhew ")</f>
        <v>Luke mayhew </v>
      </c>
      <c r="H1938" s="24">
        <f>IFERROR(__xludf.DUMMYFUNCTION("""COMPUTED_VALUE"""),19.0)</f>
        <v>19</v>
      </c>
      <c r="I1938" s="24"/>
    </row>
    <row r="1939">
      <c r="A1939" s="23">
        <f>IFERROR(__xludf.DUMMYFUNCTION("""COMPUTED_VALUE"""),44863.0)</f>
        <v>44863</v>
      </c>
      <c r="B1939" s="24" t="str">
        <f>IFERROR(__xludf.DUMMYFUNCTION("""COMPUTED_VALUE"""),"Claire")</f>
        <v>Claire</v>
      </c>
      <c r="C1939" s="24">
        <f>IFERROR(__xludf.DUMMYFUNCTION("""COMPUTED_VALUE"""),188.0)</f>
        <v>188</v>
      </c>
      <c r="D1939" s="24" t="str">
        <f>IFERROR(__xludf.DUMMYFUNCTION("""COMPUTED_VALUE"""),"Household")</f>
        <v>Household</v>
      </c>
      <c r="F1939" s="23">
        <f>IFERROR(__xludf.DUMMYFUNCTION("""COMPUTED_VALUE"""),44811.716960300924)</f>
        <v>44811.71696</v>
      </c>
      <c r="G1939" s="24" t="str">
        <f>IFERROR(__xludf.DUMMYFUNCTION("""COMPUTED_VALUE"""),"Expired ")</f>
        <v>Expired </v>
      </c>
      <c r="H1939" s="24">
        <f>IFERROR(__xludf.DUMMYFUNCTION("""COMPUTED_VALUE"""),20.0)</f>
        <v>20</v>
      </c>
      <c r="I1939" s="24"/>
    </row>
    <row r="1940">
      <c r="A1940" s="23">
        <f>IFERROR(__xludf.DUMMYFUNCTION("""COMPUTED_VALUE"""),44863.0)</f>
        <v>44863</v>
      </c>
      <c r="B1940" s="24" t="str">
        <f>IFERROR(__xludf.DUMMYFUNCTION("""COMPUTED_VALUE"""),"Claire")</f>
        <v>Claire</v>
      </c>
      <c r="C1940" s="24">
        <f>IFERROR(__xludf.DUMMYFUNCTION("""COMPUTED_VALUE"""),115.0)</f>
        <v>115</v>
      </c>
      <c r="D1940" s="24" t="str">
        <f>IFERROR(__xludf.DUMMYFUNCTION("""COMPUTED_VALUE"""),"Paper Supplies")</f>
        <v>Paper Supplies</v>
      </c>
      <c r="F1940" s="23">
        <f>IFERROR(__xludf.DUMMYFUNCTION("""COMPUTED_VALUE"""),44811.8667456713)</f>
        <v>44811.86675</v>
      </c>
      <c r="G1940" s="24" t="str">
        <f>IFERROR(__xludf.DUMMYFUNCTION("""COMPUTED_VALUE"""),"Maddie ")</f>
        <v>Maddie </v>
      </c>
      <c r="H1940" s="24"/>
      <c r="I1940" s="24"/>
    </row>
    <row r="1941">
      <c r="A1941" s="23">
        <f>IFERROR(__xludf.DUMMYFUNCTION("""COMPUTED_VALUE"""),44863.0)</f>
        <v>44863</v>
      </c>
      <c r="B1941" s="24" t="str">
        <f>IFERROR(__xludf.DUMMYFUNCTION("""COMPUTED_VALUE"""),"Claire")</f>
        <v>Claire</v>
      </c>
      <c r="C1941" s="24">
        <f>IFERROR(__xludf.DUMMYFUNCTION("""COMPUTED_VALUE"""),193.0)</f>
        <v>193</v>
      </c>
      <c r="D1941" s="24" t="str">
        <f>IFERROR(__xludf.DUMMYFUNCTION("""COMPUTED_VALUE"""),"Produce")</f>
        <v>Produce</v>
      </c>
      <c r="F1941" s="23">
        <f>IFERROR(__xludf.DUMMYFUNCTION("""COMPUTED_VALUE"""),44812.0)</f>
        <v>44812</v>
      </c>
      <c r="G1941" s="24" t="str">
        <f>IFERROR(__xludf.DUMMYFUNCTION("""COMPUTED_VALUE"""),"Denise Brown")</f>
        <v>Denise Brown</v>
      </c>
      <c r="H1941" s="24">
        <f>IFERROR(__xludf.DUMMYFUNCTION("""COMPUTED_VALUE"""),15.0)</f>
        <v>15</v>
      </c>
      <c r="I1941" s="24"/>
    </row>
    <row r="1942">
      <c r="A1942" s="23">
        <f>IFERROR(__xludf.DUMMYFUNCTION("""COMPUTED_VALUE"""),44863.0)</f>
        <v>44863</v>
      </c>
      <c r="B1942" s="24" t="str">
        <f>IFERROR(__xludf.DUMMYFUNCTION("""COMPUTED_VALUE"""),"Claire")</f>
        <v>Claire</v>
      </c>
      <c r="C1942" s="24">
        <f>IFERROR(__xludf.DUMMYFUNCTION("""COMPUTED_VALUE"""),750.0)</f>
        <v>750</v>
      </c>
      <c r="D1942" s="24" t="str">
        <f>IFERROR(__xludf.DUMMYFUNCTION("""COMPUTED_VALUE"""),"Fruit cups")</f>
        <v>Fruit cups</v>
      </c>
      <c r="F1942" s="23">
        <f>IFERROR(__xludf.DUMMYFUNCTION("""COMPUTED_VALUE"""),44812.0)</f>
        <v>44812</v>
      </c>
      <c r="G1942" s="24" t="str">
        <f>IFERROR(__xludf.DUMMYFUNCTION("""COMPUTED_VALUE"""),"Hong Xue")</f>
        <v>Hong Xue</v>
      </c>
      <c r="H1942" s="24">
        <f>IFERROR(__xludf.DUMMYFUNCTION("""COMPUTED_VALUE"""),20.0)</f>
        <v>20</v>
      </c>
      <c r="I1942" s="24"/>
    </row>
    <row r="1943">
      <c r="A1943" s="23">
        <f>IFERROR(__xludf.DUMMYFUNCTION("""COMPUTED_VALUE"""),44863.0)</f>
        <v>44863</v>
      </c>
      <c r="B1943" s="24" t="str">
        <f>IFERROR(__xludf.DUMMYFUNCTION("""COMPUTED_VALUE"""),"Claire")</f>
        <v>Claire</v>
      </c>
      <c r="C1943" s="24">
        <f>IFERROR(__xludf.DUMMYFUNCTION("""COMPUTED_VALUE"""),1012.0)</f>
        <v>1012</v>
      </c>
      <c r="D1943" s="24" t="str">
        <f>IFERROR(__xludf.DUMMYFUNCTION("""COMPUTED_VALUE"""),"Fruit cups")</f>
        <v>Fruit cups</v>
      </c>
      <c r="F1943" s="23">
        <f>IFERROR(__xludf.DUMMYFUNCTION("""COMPUTED_VALUE"""),44812.0)</f>
        <v>44812</v>
      </c>
      <c r="G1943" s="24" t="str">
        <f>IFERROR(__xludf.DUMMYFUNCTION("""COMPUTED_VALUE"""),"Hong Xue")</f>
        <v>Hong Xue</v>
      </c>
      <c r="H1943" s="24">
        <f>IFERROR(__xludf.DUMMYFUNCTION("""COMPUTED_VALUE"""),14.0)</f>
        <v>14</v>
      </c>
      <c r="I1943" s="24"/>
    </row>
    <row r="1944">
      <c r="A1944" s="23">
        <f>IFERROR(__xludf.DUMMYFUNCTION("""COMPUTED_VALUE"""),44863.0)</f>
        <v>44863</v>
      </c>
      <c r="B1944" s="24" t="str">
        <f>IFERROR(__xludf.DUMMYFUNCTION("""COMPUTED_VALUE"""),"Claire")</f>
        <v>Claire</v>
      </c>
      <c r="C1944" s="24">
        <f>IFERROR(__xludf.DUMMYFUNCTION("""COMPUTED_VALUE"""),1263.0)</f>
        <v>1263</v>
      </c>
      <c r="D1944" s="24" t="str">
        <f>IFERROR(__xludf.DUMMYFUNCTION("""COMPUTED_VALUE"""),"Fruit cups")</f>
        <v>Fruit cups</v>
      </c>
      <c r="F1944" s="23">
        <f>IFERROR(__xludf.DUMMYFUNCTION("""COMPUTED_VALUE"""),44812.0)</f>
        <v>44812</v>
      </c>
      <c r="G1944" s="24" t="str">
        <f>IFERROR(__xludf.DUMMYFUNCTION("""COMPUTED_VALUE"""),"Raquel Bailey")</f>
        <v>Raquel Bailey</v>
      </c>
      <c r="H1944" s="24">
        <f>IFERROR(__xludf.DUMMYFUNCTION("""COMPUTED_VALUE"""),20.0)</f>
        <v>20</v>
      </c>
      <c r="I1944" s="24"/>
    </row>
    <row r="1945">
      <c r="A1945" s="23">
        <f>IFERROR(__xludf.DUMMYFUNCTION("""COMPUTED_VALUE"""),44863.0)</f>
        <v>44863</v>
      </c>
      <c r="B1945" s="24" t="str">
        <f>IFERROR(__xludf.DUMMYFUNCTION("""COMPUTED_VALUE"""),"Claire")</f>
        <v>Claire</v>
      </c>
      <c r="C1945" s="24">
        <f>IFERROR(__xludf.DUMMYFUNCTION("""COMPUTED_VALUE"""),1405.0)</f>
        <v>1405</v>
      </c>
      <c r="D1945" s="24" t="str">
        <f>IFERROR(__xludf.DUMMYFUNCTION("""COMPUTED_VALUE"""),"Drinks [Dry]")</f>
        <v>Drinks [Dry]</v>
      </c>
      <c r="F1945" s="23">
        <f>IFERROR(__xludf.DUMMYFUNCTION("""COMPUTED_VALUE"""),44812.0)</f>
        <v>44812</v>
      </c>
      <c r="G1945" s="24" t="str">
        <f>IFERROR(__xludf.DUMMYFUNCTION("""COMPUTED_VALUE"""),"Kendrick Johnson")</f>
        <v>Kendrick Johnson</v>
      </c>
      <c r="H1945" s="24">
        <f>IFERROR(__xludf.DUMMYFUNCTION("""COMPUTED_VALUE"""),20.0)</f>
        <v>20</v>
      </c>
      <c r="I1945" s="24"/>
    </row>
    <row r="1946">
      <c r="A1946" s="23">
        <f>IFERROR(__xludf.DUMMYFUNCTION("""COMPUTED_VALUE"""),44863.0)</f>
        <v>44863</v>
      </c>
      <c r="B1946" s="24" t="str">
        <f>IFERROR(__xludf.DUMMYFUNCTION("""COMPUTED_VALUE"""),"Claire")</f>
        <v>Claire</v>
      </c>
      <c r="C1946" s="24">
        <f>IFERROR(__xludf.DUMMYFUNCTION("""COMPUTED_VALUE"""),537.0)</f>
        <v>537</v>
      </c>
      <c r="D1946" s="24" t="str">
        <f>IFERROR(__xludf.DUMMYFUNCTION("""COMPUTED_VALUE"""),"Drinks [Dry]")</f>
        <v>Drinks [Dry]</v>
      </c>
      <c r="F1946" s="23">
        <f>IFERROR(__xludf.DUMMYFUNCTION("""COMPUTED_VALUE"""),44812.0)</f>
        <v>44812</v>
      </c>
      <c r="G1946" s="24" t="str">
        <f>IFERROR(__xludf.DUMMYFUNCTION("""COMPUTED_VALUE"""),"Aziza Frank")</f>
        <v>Aziza Frank</v>
      </c>
      <c r="H1946" s="24">
        <f>IFERROR(__xludf.DUMMYFUNCTION("""COMPUTED_VALUE"""),8.0)</f>
        <v>8</v>
      </c>
      <c r="I1946" s="24"/>
    </row>
    <row r="1947">
      <c r="A1947" s="23">
        <f>IFERROR(__xludf.DUMMYFUNCTION("""COMPUTED_VALUE"""),44863.66019730324)</f>
        <v>44863.6602</v>
      </c>
      <c r="B1947" s="24" t="str">
        <f>IFERROR(__xludf.DUMMYFUNCTION("""COMPUTED_VALUE"""),"Beverly")</f>
        <v>Beverly</v>
      </c>
      <c r="C1947" s="24">
        <f>IFERROR(__xludf.DUMMYFUNCTION("""COMPUTED_VALUE"""),80.0)</f>
        <v>80</v>
      </c>
      <c r="D1947" s="24" t="str">
        <f>IFERROR(__xludf.DUMMYFUNCTION("""COMPUTED_VALUE"""),"OXO")</f>
        <v>OXO</v>
      </c>
      <c r="F1947" s="23">
        <f>IFERROR(__xludf.DUMMYFUNCTION("""COMPUTED_VALUE"""),44812.0)</f>
        <v>44812</v>
      </c>
      <c r="G1947" s="24" t="str">
        <f>IFERROR(__xludf.DUMMYFUNCTION("""COMPUTED_VALUE"""),"Nathaniel McClean")</f>
        <v>Nathaniel McClean</v>
      </c>
      <c r="H1947" s="24">
        <f>IFERROR(__xludf.DUMMYFUNCTION("""COMPUTED_VALUE"""),12.0)</f>
        <v>12</v>
      </c>
      <c r="I1947" s="24"/>
    </row>
    <row r="1948">
      <c r="A1948" s="23">
        <f>IFERROR(__xludf.DUMMYFUNCTION("""COMPUTED_VALUE"""),44863.661080185186)</f>
        <v>44863.66108</v>
      </c>
      <c r="B1948" s="24" t="str">
        <f>IFERROR(__xludf.DUMMYFUNCTION("""COMPUTED_VALUE"""),"Beverly")</f>
        <v>Beverly</v>
      </c>
      <c r="C1948" s="24">
        <f>IFERROR(__xludf.DUMMYFUNCTION("""COMPUTED_VALUE"""),320.0)</f>
        <v>320</v>
      </c>
      <c r="D1948" s="24" t="str">
        <f>IFERROR(__xludf.DUMMYFUNCTION("""COMPUTED_VALUE"""),"Produce")</f>
        <v>Produce</v>
      </c>
      <c r="F1948" s="23">
        <f>IFERROR(__xludf.DUMMYFUNCTION("""COMPUTED_VALUE"""),44812.55818204861)</f>
        <v>44812.55818</v>
      </c>
      <c r="G1948" s="24" t="str">
        <f>IFERROR(__xludf.DUMMYFUNCTION("""COMPUTED_VALUE"""),"Claire")</f>
        <v>Claire</v>
      </c>
      <c r="H1948" s="24">
        <f>IFERROR(__xludf.DUMMYFUNCTION("""COMPUTED_VALUE"""),360.0)</f>
        <v>360</v>
      </c>
      <c r="I1948" s="24" t="str">
        <f>IFERROR(__xludf.DUMMYFUNCTION("""COMPUTED_VALUE"""),"Produce")</f>
        <v>Produce</v>
      </c>
    </row>
    <row r="1949">
      <c r="A1949" s="23">
        <f>IFERROR(__xludf.DUMMYFUNCTION("""COMPUTED_VALUE"""),44863.66172137731)</f>
        <v>44863.66172</v>
      </c>
      <c r="B1949" s="24" t="str">
        <f>IFERROR(__xludf.DUMMYFUNCTION("""COMPUTED_VALUE"""),"Beverly")</f>
        <v>Beverly</v>
      </c>
      <c r="C1949" s="24">
        <f>IFERROR(__xludf.DUMMYFUNCTION("""COMPUTED_VALUE"""),290.0)</f>
        <v>290</v>
      </c>
      <c r="D1949" s="24" t="str">
        <f>IFERROR(__xludf.DUMMYFUNCTION("""COMPUTED_VALUE"""),"Paper Supplies")</f>
        <v>Paper Supplies</v>
      </c>
      <c r="F1949" s="23">
        <f>IFERROR(__xludf.DUMMYFUNCTION("""COMPUTED_VALUE"""),44812.55880112269)</f>
        <v>44812.5588</v>
      </c>
      <c r="G1949" s="24" t="str">
        <f>IFERROR(__xludf.DUMMYFUNCTION("""COMPUTED_VALUE"""),"Claire")</f>
        <v>Claire</v>
      </c>
      <c r="H1949" s="24">
        <f>IFERROR(__xludf.DUMMYFUNCTION("""COMPUTED_VALUE"""),412.0)</f>
        <v>412</v>
      </c>
      <c r="I1949" s="24" t="str">
        <f>IFERROR(__xludf.DUMMYFUNCTION("""COMPUTED_VALUE"""),"Assorted Fridge")</f>
        <v>Assorted Fridge</v>
      </c>
    </row>
    <row r="1950">
      <c r="A1950" s="23">
        <f>IFERROR(__xludf.DUMMYFUNCTION("""COMPUTED_VALUE"""),44863.66224546297)</f>
        <v>44863.66225</v>
      </c>
      <c r="B1950" s="24" t="str">
        <f>IFERROR(__xludf.DUMMYFUNCTION("""COMPUTED_VALUE"""),"Beverly")</f>
        <v>Beverly</v>
      </c>
      <c r="C1950" s="24">
        <f>IFERROR(__xludf.DUMMYFUNCTION("""COMPUTED_VALUE"""),389.0)</f>
        <v>389</v>
      </c>
      <c r="D1950" s="24" t="str">
        <f>IFERROR(__xludf.DUMMYFUNCTION("""COMPUTED_VALUE"""),"Household")</f>
        <v>Household</v>
      </c>
      <c r="F1950" s="23">
        <f>IFERROR(__xludf.DUMMYFUNCTION("""COMPUTED_VALUE"""),44812.55971427083)</f>
        <v>44812.55971</v>
      </c>
      <c r="G1950" s="24" t="str">
        <f>IFERROR(__xludf.DUMMYFUNCTION("""COMPUTED_VALUE"""),"Claire")</f>
        <v>Claire</v>
      </c>
      <c r="H1950" s="24">
        <f>IFERROR(__xludf.DUMMYFUNCTION("""COMPUTED_VALUE"""),76.0)</f>
        <v>76</v>
      </c>
      <c r="I1950" s="24" t="str">
        <f>IFERROR(__xludf.DUMMYFUNCTION("""COMPUTED_VALUE"""),"Snacks")</f>
        <v>Snacks</v>
      </c>
    </row>
    <row r="1951">
      <c r="A1951" s="23">
        <f>IFERROR(__xludf.DUMMYFUNCTION("""COMPUTED_VALUE"""),44863.66292930555)</f>
        <v>44863.66293</v>
      </c>
      <c r="B1951" s="24" t="str">
        <f>IFERROR(__xludf.DUMMYFUNCTION("""COMPUTED_VALUE"""),"Beverly")</f>
        <v>Beverly</v>
      </c>
      <c r="C1951" s="24">
        <f>IFERROR(__xludf.DUMMYFUNCTION("""COMPUTED_VALUE"""),530.0)</f>
        <v>530</v>
      </c>
      <c r="D1951" s="24" t="str">
        <f>IFERROR(__xludf.DUMMYFUNCTION("""COMPUTED_VALUE"""),"Produce")</f>
        <v>Produce</v>
      </c>
      <c r="F1951" s="23">
        <f>IFERROR(__xludf.DUMMYFUNCTION("""COMPUTED_VALUE"""),44812.56021751158)</f>
        <v>44812.56022</v>
      </c>
      <c r="G1951" s="24" t="str">
        <f>IFERROR(__xludf.DUMMYFUNCTION("""COMPUTED_VALUE"""),"Claire")</f>
        <v>Claire</v>
      </c>
      <c r="H1951" s="24">
        <f>IFERROR(__xludf.DUMMYFUNCTION("""COMPUTED_VALUE"""),211.0)</f>
        <v>211</v>
      </c>
      <c r="I1951" s="24" t="str">
        <f>IFERROR(__xludf.DUMMYFUNCTION("""COMPUTED_VALUE"""),"Snacks")</f>
        <v>Snacks</v>
      </c>
    </row>
    <row r="1952">
      <c r="A1952" s="23">
        <f>IFERROR(__xludf.DUMMYFUNCTION("""COMPUTED_VALUE"""),44863.66340909722)</f>
        <v>44863.66341</v>
      </c>
      <c r="B1952" s="24" t="str">
        <f>IFERROR(__xludf.DUMMYFUNCTION("""COMPUTED_VALUE"""),"Beverly")</f>
        <v>Beverly</v>
      </c>
      <c r="C1952" s="24">
        <f>IFERROR(__xludf.DUMMYFUNCTION("""COMPUTED_VALUE"""),179.0)</f>
        <v>179</v>
      </c>
      <c r="D1952" s="24" t="str">
        <f>IFERROR(__xludf.DUMMYFUNCTION("""COMPUTED_VALUE"""),"Snacks")</f>
        <v>Snacks</v>
      </c>
      <c r="F1952" s="23">
        <f>IFERROR(__xludf.DUMMYFUNCTION("""COMPUTED_VALUE"""),44812.56137697916)</f>
        <v>44812.56138</v>
      </c>
      <c r="G1952" s="24" t="str">
        <f>IFERROR(__xludf.DUMMYFUNCTION("""COMPUTED_VALUE"""),"Claire")</f>
        <v>Claire</v>
      </c>
      <c r="H1952" s="24">
        <f>IFERROR(__xludf.DUMMYFUNCTION("""COMPUTED_VALUE"""),429.0)</f>
        <v>429</v>
      </c>
      <c r="I1952" s="24" t="str">
        <f>IFERROR(__xludf.DUMMYFUNCTION("""COMPUTED_VALUE"""),"Baby Supplies")</f>
        <v>Baby Supplies</v>
      </c>
    </row>
    <row r="1953">
      <c r="A1953" s="23">
        <f>IFERROR(__xludf.DUMMYFUNCTION("""COMPUTED_VALUE"""),44863.66401086806)</f>
        <v>44863.66401</v>
      </c>
      <c r="B1953" s="24" t="str">
        <f>IFERROR(__xludf.DUMMYFUNCTION("""COMPUTED_VALUE"""),"Beverly")</f>
        <v>Beverly</v>
      </c>
      <c r="C1953" s="24">
        <f>IFERROR(__xludf.DUMMYFUNCTION("""COMPUTED_VALUE"""),150.0)</f>
        <v>150</v>
      </c>
      <c r="D1953" s="24" t="str">
        <f>IFERROR(__xludf.DUMMYFUNCTION("""COMPUTED_VALUE"""),"Snacks")</f>
        <v>Snacks</v>
      </c>
      <c r="F1953" s="23">
        <f>IFERROR(__xludf.DUMMYFUNCTION("""COMPUTED_VALUE"""),44812.56464087963)</f>
        <v>44812.56464</v>
      </c>
      <c r="G1953" s="24" t="str">
        <f>IFERROR(__xludf.DUMMYFUNCTION("""COMPUTED_VALUE"""),"Claire")</f>
        <v>Claire</v>
      </c>
      <c r="H1953" s="24">
        <f>IFERROR(__xludf.DUMMYFUNCTION("""COMPUTED_VALUE"""),76.0)</f>
        <v>76</v>
      </c>
      <c r="I1953" s="24" t="str">
        <f>IFERROR(__xludf.DUMMYFUNCTION("""COMPUTED_VALUE"""),"White Box")</f>
        <v>White Box</v>
      </c>
    </row>
    <row r="1954">
      <c r="A1954" s="23">
        <f>IFERROR(__xludf.DUMMYFUNCTION("""COMPUTED_VALUE"""),44863.66451751157)</f>
        <v>44863.66452</v>
      </c>
      <c r="B1954" s="24" t="str">
        <f>IFERROR(__xludf.DUMMYFUNCTION("""COMPUTED_VALUE"""),"Beverly")</f>
        <v>Beverly</v>
      </c>
      <c r="C1954" s="24">
        <f>IFERROR(__xludf.DUMMYFUNCTION("""COMPUTED_VALUE"""),263.0)</f>
        <v>263</v>
      </c>
      <c r="D1954" s="24" t="str">
        <f>IFERROR(__xludf.DUMMYFUNCTION("""COMPUTED_VALUE"""),"Snacks")</f>
        <v>Snacks</v>
      </c>
      <c r="F1954" s="23">
        <f>IFERROR(__xludf.DUMMYFUNCTION("""COMPUTED_VALUE"""),44812.56496428241)</f>
        <v>44812.56496</v>
      </c>
      <c r="G1954" s="24" t="str">
        <f>IFERROR(__xludf.DUMMYFUNCTION("""COMPUTED_VALUE"""),"Claire")</f>
        <v>Claire</v>
      </c>
      <c r="H1954" s="24">
        <f>IFERROR(__xludf.DUMMYFUNCTION("""COMPUTED_VALUE"""),211.0)</f>
        <v>211</v>
      </c>
      <c r="I1954" s="24" t="str">
        <f>IFERROR(__xludf.DUMMYFUNCTION("""COMPUTED_VALUE"""),"White box")</f>
        <v>White box</v>
      </c>
    </row>
    <row r="1955">
      <c r="A1955" s="23">
        <f>IFERROR(__xludf.DUMMYFUNCTION("""COMPUTED_VALUE"""),44863.66539422453)</f>
        <v>44863.66539</v>
      </c>
      <c r="B1955" s="24" t="str">
        <f>IFERROR(__xludf.DUMMYFUNCTION("""COMPUTED_VALUE"""),"Beverly")</f>
        <v>Beverly</v>
      </c>
      <c r="C1955" s="24">
        <f>IFERROR(__xludf.DUMMYFUNCTION("""COMPUTED_VALUE"""),155.0)</f>
        <v>155</v>
      </c>
      <c r="D1955" s="24" t="str">
        <f>IFERROR(__xludf.DUMMYFUNCTION("""COMPUTED_VALUE"""),"Cleaning Supplies")</f>
        <v>Cleaning Supplies</v>
      </c>
      <c r="F1955" s="23">
        <f>IFERROR(__xludf.DUMMYFUNCTION("""COMPUTED_VALUE"""),44812.56523912037)</f>
        <v>44812.56524</v>
      </c>
      <c r="G1955" s="24" t="str">
        <f>IFERROR(__xludf.DUMMYFUNCTION("""COMPUTED_VALUE"""),"Claire")</f>
        <v>Claire</v>
      </c>
      <c r="H1955" s="24">
        <f>IFERROR(__xludf.DUMMYFUNCTION("""COMPUTED_VALUE"""),39.0)</f>
        <v>39</v>
      </c>
      <c r="I1955" s="24" t="str">
        <f>IFERROR(__xludf.DUMMYFUNCTION("""COMPUTED_VALUE"""),"Donation")</f>
        <v>Donation</v>
      </c>
    </row>
    <row r="1956">
      <c r="A1956" s="23">
        <f>IFERROR(__xludf.DUMMYFUNCTION("""COMPUTED_VALUE"""),44863.66593725694)</f>
        <v>44863.66594</v>
      </c>
      <c r="B1956" s="24" t="str">
        <f>IFERROR(__xludf.DUMMYFUNCTION("""COMPUTED_VALUE"""),"Beverly")</f>
        <v>Beverly</v>
      </c>
      <c r="C1956" s="24">
        <f>IFERROR(__xludf.DUMMYFUNCTION("""COMPUTED_VALUE"""),87.0)</f>
        <v>87</v>
      </c>
      <c r="D1956" s="24" t="str">
        <f>IFERROR(__xludf.DUMMYFUNCTION("""COMPUTED_VALUE"""),"Meat [Raw]")</f>
        <v>Meat [Raw]</v>
      </c>
      <c r="F1956" s="23">
        <f>IFERROR(__xludf.DUMMYFUNCTION("""COMPUTED_VALUE"""),44812.69946640047)</f>
        <v>44812.69947</v>
      </c>
      <c r="G1956" s="24" t="str">
        <f>IFERROR(__xludf.DUMMYFUNCTION("""COMPUTED_VALUE"""),"Claire")</f>
        <v>Claire</v>
      </c>
      <c r="H1956" s="24">
        <f>IFERROR(__xludf.DUMMYFUNCTION("""COMPUTED_VALUE"""),251.0)</f>
        <v>251</v>
      </c>
      <c r="I1956" s="24" t="str">
        <f>IFERROR(__xludf.DUMMYFUNCTION("""COMPUTED_VALUE"""),"White box")</f>
        <v>White box</v>
      </c>
    </row>
    <row r="1957">
      <c r="A1957" s="23">
        <f>IFERROR(__xludf.DUMMYFUNCTION("""COMPUTED_VALUE"""),44863.667071157404)</f>
        <v>44863.66707</v>
      </c>
      <c r="B1957" s="24" t="str">
        <f>IFERROR(__xludf.DUMMYFUNCTION("""COMPUTED_VALUE"""),"Beverly")</f>
        <v>Beverly</v>
      </c>
      <c r="C1957" s="24">
        <f>IFERROR(__xludf.DUMMYFUNCTION("""COMPUTED_VALUE"""),-126.0)</f>
        <v>-126</v>
      </c>
      <c r="D1957" s="24" t="str">
        <f>IFERROR(__xludf.DUMMYFUNCTION("""COMPUTED_VALUE"""),"Snacks")</f>
        <v>Snacks</v>
      </c>
      <c r="F1957" s="23">
        <f>IFERROR(__xludf.DUMMYFUNCTION("""COMPUTED_VALUE"""),44812.69990594907)</f>
        <v>44812.69991</v>
      </c>
      <c r="G1957" s="24" t="str">
        <f>IFERROR(__xludf.DUMMYFUNCTION("""COMPUTED_VALUE"""),"Claire ")</f>
        <v>Claire </v>
      </c>
      <c r="H1957" s="24">
        <f>IFERROR(__xludf.DUMMYFUNCTION("""COMPUTED_VALUE"""),1016.0)</f>
        <v>1016</v>
      </c>
      <c r="I1957" s="24" t="str">
        <f>IFERROR(__xludf.DUMMYFUNCTION("""COMPUTED_VALUE"""),"Fresh Fruit Farm")</f>
        <v>Fresh Fruit Farm</v>
      </c>
    </row>
    <row r="1958">
      <c r="A1958" s="23">
        <f>IFERROR(__xludf.DUMMYFUNCTION("""COMPUTED_VALUE"""),44863.66803107639)</f>
        <v>44863.66803</v>
      </c>
      <c r="B1958" s="24" t="str">
        <f>IFERROR(__xludf.DUMMYFUNCTION("""COMPUTED_VALUE"""),"Beverly")</f>
        <v>Beverly</v>
      </c>
      <c r="C1958" s="24">
        <f>IFERROR(__xludf.DUMMYFUNCTION("""COMPUTED_VALUE"""),-173.0)</f>
        <v>-173</v>
      </c>
      <c r="D1958" s="24" t="str">
        <f>IFERROR(__xludf.DUMMYFUNCTION("""COMPUTED_VALUE"""),"Snacks")</f>
        <v>Snacks</v>
      </c>
      <c r="F1958" s="23">
        <f>IFERROR(__xludf.DUMMYFUNCTION("""COMPUTED_VALUE"""),44812.70028994213)</f>
        <v>44812.70029</v>
      </c>
      <c r="G1958" s="24" t="str">
        <f>IFERROR(__xludf.DUMMYFUNCTION("""COMPUTED_VALUE"""),"Claire")</f>
        <v>Claire</v>
      </c>
      <c r="H1958" s="24">
        <f>IFERROR(__xludf.DUMMYFUNCTION("""COMPUTED_VALUE"""),1027.0)</f>
        <v>1027</v>
      </c>
      <c r="I1958" s="24" t="str">
        <f>IFERROR(__xludf.DUMMYFUNCTION("""COMPUTED_VALUE"""),"First Fruits Farm")</f>
        <v>First Fruits Farm</v>
      </c>
    </row>
    <row r="1959">
      <c r="A1959" s="23">
        <f>IFERROR(__xludf.DUMMYFUNCTION("""COMPUTED_VALUE"""),44863.66960916667)</f>
        <v>44863.66961</v>
      </c>
      <c r="B1959" s="24" t="str">
        <f>IFERROR(__xludf.DUMMYFUNCTION("""COMPUTED_VALUE"""),"Beverly")</f>
        <v>Beverly</v>
      </c>
      <c r="C1959" s="24">
        <f>IFERROR(__xludf.DUMMYFUNCTION("""COMPUTED_VALUE"""),-646.0)</f>
        <v>-646</v>
      </c>
      <c r="D1959" s="24" t="str">
        <f>IFERROR(__xludf.DUMMYFUNCTION("""COMPUTED_VALUE"""),"Fruit cups")</f>
        <v>Fruit cups</v>
      </c>
      <c r="F1959" s="23">
        <f>IFERROR(__xludf.DUMMYFUNCTION("""COMPUTED_VALUE"""),44812.70069138889)</f>
        <v>44812.70069</v>
      </c>
      <c r="G1959" s="24" t="str">
        <f>IFERROR(__xludf.DUMMYFUNCTION("""COMPUTED_VALUE"""),"Claire")</f>
        <v>Claire</v>
      </c>
      <c r="H1959" s="24">
        <f>IFERROR(__xludf.DUMMYFUNCTION("""COMPUTED_VALUE"""),894.0)</f>
        <v>894</v>
      </c>
      <c r="I1959" s="24" t="str">
        <f>IFERROR(__xludf.DUMMYFUNCTION("""COMPUTED_VALUE"""),"First Fruits farm")</f>
        <v>First Fruits farm</v>
      </c>
    </row>
    <row r="1960">
      <c r="A1960" s="23">
        <f>IFERROR(__xludf.DUMMYFUNCTION("""COMPUTED_VALUE"""),44863.67019984954)</f>
        <v>44863.6702</v>
      </c>
      <c r="B1960" s="24" t="str">
        <f>IFERROR(__xludf.DUMMYFUNCTION("""COMPUTED_VALUE"""),"Beverly")</f>
        <v>Beverly</v>
      </c>
      <c r="C1960" s="24">
        <f>IFERROR(__xludf.DUMMYFUNCTION("""COMPUTED_VALUE"""),-64.0)</f>
        <v>-64</v>
      </c>
      <c r="D1960" s="24" t="str">
        <f>IFERROR(__xludf.DUMMYFUNCTION("""COMPUTED_VALUE"""),"Produce")</f>
        <v>Produce</v>
      </c>
      <c r="F1960" s="23">
        <f>IFERROR(__xludf.DUMMYFUNCTION("""COMPUTED_VALUE"""),44812.70114849537)</f>
        <v>44812.70115</v>
      </c>
      <c r="G1960" s="24" t="str">
        <f>IFERROR(__xludf.DUMMYFUNCTION("""COMPUTED_VALUE"""),"Claire")</f>
        <v>Claire</v>
      </c>
      <c r="H1960" s="24">
        <f>IFERROR(__xludf.DUMMYFUNCTION("""COMPUTED_VALUE"""),886.0)</f>
        <v>886</v>
      </c>
      <c r="I1960" s="24" t="str">
        <f>IFERROR(__xludf.DUMMYFUNCTION("""COMPUTED_VALUE"""),"First fruits farm")</f>
        <v>First fruits farm</v>
      </c>
    </row>
    <row r="1961">
      <c r="A1961" s="23">
        <f>IFERROR(__xludf.DUMMYFUNCTION("""COMPUTED_VALUE"""),44863.670694039356)</f>
        <v>44863.67069</v>
      </c>
      <c r="B1961" s="24" t="str">
        <f>IFERROR(__xludf.DUMMYFUNCTION("""COMPUTED_VALUE"""),"Beverly")</f>
        <v>Beverly</v>
      </c>
      <c r="C1961" s="24">
        <f>IFERROR(__xludf.DUMMYFUNCTION("""COMPUTED_VALUE"""),-468.0)</f>
        <v>-468</v>
      </c>
      <c r="D1961" s="24" t="str">
        <f>IFERROR(__xludf.DUMMYFUNCTION("""COMPUTED_VALUE"""),"Produce")</f>
        <v>Produce</v>
      </c>
      <c r="F1961" s="23">
        <f>IFERROR(__xludf.DUMMYFUNCTION("""COMPUTED_VALUE"""),44812.70140946759)</f>
        <v>44812.70141</v>
      </c>
      <c r="G1961" s="24" t="str">
        <f>IFERROR(__xludf.DUMMYFUNCTION("""COMPUTED_VALUE"""),"Claire")</f>
        <v>Claire</v>
      </c>
      <c r="H1961" s="24">
        <f>IFERROR(__xludf.DUMMYFUNCTION("""COMPUTED_VALUE"""),1014.0)</f>
        <v>1014</v>
      </c>
      <c r="I1961" s="24" t="str">
        <f>IFERROR(__xludf.DUMMYFUNCTION("""COMPUTED_VALUE"""),"First fruits farm")</f>
        <v>First fruits farm</v>
      </c>
    </row>
    <row r="1962">
      <c r="A1962" s="23">
        <f>IFERROR(__xludf.DUMMYFUNCTION("""COMPUTED_VALUE"""),44863.673767037035)</f>
        <v>44863.67377</v>
      </c>
      <c r="B1962" s="24" t="str">
        <f>IFERROR(__xludf.DUMMYFUNCTION("""COMPUTED_VALUE"""),"Beverly")</f>
        <v>Beverly</v>
      </c>
      <c r="C1962" s="24">
        <f>IFERROR(__xludf.DUMMYFUNCTION("""COMPUTED_VALUE"""),-112.0)</f>
        <v>-112</v>
      </c>
      <c r="D1962" s="24" t="str">
        <f>IFERROR(__xludf.DUMMYFUNCTION("""COMPUTED_VALUE"""),"Paper Supplies")</f>
        <v>Paper Supplies</v>
      </c>
      <c r="F1962" s="23">
        <f>IFERROR(__xludf.DUMMYFUNCTION("""COMPUTED_VALUE"""),44812.702341539356)</f>
        <v>44812.70234</v>
      </c>
      <c r="G1962" s="24" t="str">
        <f>IFERROR(__xludf.DUMMYFUNCTION("""COMPUTED_VALUE"""),"Claire")</f>
        <v>Claire</v>
      </c>
      <c r="H1962" s="24">
        <f>IFERROR(__xludf.DUMMYFUNCTION("""COMPUTED_VALUE"""),819.0)</f>
        <v>819</v>
      </c>
      <c r="I1962" s="24" t="str">
        <f>IFERROR(__xludf.DUMMYFUNCTION("""COMPUTED_VALUE"""),"Assorted Fridge")</f>
        <v>Assorted Fridge</v>
      </c>
    </row>
    <row r="1963">
      <c r="A1963" s="23">
        <f>IFERROR(__xludf.DUMMYFUNCTION("""COMPUTED_VALUE"""),44863.69062101852)</f>
        <v>44863.69062</v>
      </c>
      <c r="B1963" s="24" t="str">
        <f>IFERROR(__xludf.DUMMYFUNCTION("""COMPUTED_VALUE"""),"Beverly")</f>
        <v>Beverly</v>
      </c>
      <c r="C1963" s="24">
        <f>IFERROR(__xludf.DUMMYFUNCTION("""COMPUTED_VALUE"""),-49.0)</f>
        <v>-49</v>
      </c>
      <c r="D1963" s="24" t="str">
        <f>IFERROR(__xludf.DUMMYFUNCTION("""COMPUTED_VALUE"""),"Snacks")</f>
        <v>Snacks</v>
      </c>
      <c r="F1963" s="23">
        <f>IFERROR(__xludf.DUMMYFUNCTION("""COMPUTED_VALUE"""),44812.70348966435)</f>
        <v>44812.70349</v>
      </c>
      <c r="G1963" s="24" t="str">
        <f>IFERROR(__xludf.DUMMYFUNCTION("""COMPUTED_VALUE"""),"Claire")</f>
        <v>Claire</v>
      </c>
      <c r="H1963" s="24">
        <f>IFERROR(__xludf.DUMMYFUNCTION("""COMPUTED_VALUE"""),171.0)</f>
        <v>171</v>
      </c>
      <c r="I1963" s="24" t="str">
        <f>IFERROR(__xludf.DUMMYFUNCTION("""COMPUTED_VALUE"""),"Produce")</f>
        <v>Produce</v>
      </c>
    </row>
    <row r="1964">
      <c r="A1964" s="23">
        <f>IFERROR(__xludf.DUMMYFUNCTION("""COMPUTED_VALUE"""),44863.7030633449)</f>
        <v>44863.70306</v>
      </c>
      <c r="B1964" s="24" t="str">
        <f>IFERROR(__xludf.DUMMYFUNCTION("""COMPUTED_VALUE"""),"Beverly")</f>
        <v>Beverly</v>
      </c>
      <c r="C1964" s="24">
        <f>IFERROR(__xludf.DUMMYFUNCTION("""COMPUTED_VALUE"""),-97.0)</f>
        <v>-97</v>
      </c>
      <c r="D1964" s="24" t="str">
        <f>IFERROR(__xludf.DUMMYFUNCTION("""COMPUTED_VALUE"""),"Paper Supplies")</f>
        <v>Paper Supplies</v>
      </c>
      <c r="F1964" s="23">
        <f>IFERROR(__xludf.DUMMYFUNCTION("""COMPUTED_VALUE"""),44812.70637428241)</f>
        <v>44812.70637</v>
      </c>
      <c r="G1964" s="24" t="str">
        <f>IFERROR(__xludf.DUMMYFUNCTION("""COMPUTED_VALUE"""),"Jean")</f>
        <v>Jean</v>
      </c>
      <c r="H1964" s="24">
        <f>IFERROR(__xludf.DUMMYFUNCTION("""COMPUTED_VALUE"""),45.0)</f>
        <v>45</v>
      </c>
      <c r="I1964" s="24"/>
    </row>
    <row r="1965">
      <c r="A1965" s="23">
        <f>IFERROR(__xludf.DUMMYFUNCTION("""COMPUTED_VALUE"""),44863.7035492824)</f>
        <v>44863.70355</v>
      </c>
      <c r="B1965" s="24" t="str">
        <f>IFERROR(__xludf.DUMMYFUNCTION("""COMPUTED_VALUE"""),"Beverly")</f>
        <v>Beverly</v>
      </c>
      <c r="C1965" s="24">
        <f>IFERROR(__xludf.DUMMYFUNCTION("""COMPUTED_VALUE"""),-116.0)</f>
        <v>-116</v>
      </c>
      <c r="D1965" s="24" t="str">
        <f>IFERROR(__xludf.DUMMYFUNCTION("""COMPUTED_VALUE"""),"Assorted ")</f>
        <v>Assorted </v>
      </c>
      <c r="F1965" s="23">
        <f>IFERROR(__xludf.DUMMYFUNCTION("""COMPUTED_VALUE"""),44812.70723162037)</f>
        <v>44812.70723</v>
      </c>
      <c r="G1965" s="24" t="str">
        <f>IFERROR(__xludf.DUMMYFUNCTION("""COMPUTED_VALUE"""),"Jean.   Extra")</f>
        <v>Jean.   Extra</v>
      </c>
      <c r="H1965" s="24">
        <f>IFERROR(__xludf.DUMMYFUNCTION("""COMPUTED_VALUE"""),1.5)</f>
        <v>1.5</v>
      </c>
      <c r="I1965" s="24"/>
    </row>
    <row r="1966">
      <c r="A1966" s="23">
        <f>IFERROR(__xludf.DUMMYFUNCTION("""COMPUTED_VALUE"""),44863.704041504636)</f>
        <v>44863.70404</v>
      </c>
      <c r="B1966" s="24" t="str">
        <f>IFERROR(__xludf.DUMMYFUNCTION("""COMPUTED_VALUE"""),"Beverly")</f>
        <v>Beverly</v>
      </c>
      <c r="C1966" s="24">
        <f>IFERROR(__xludf.DUMMYFUNCTION("""COMPUTED_VALUE"""),-33.0)</f>
        <v>-33</v>
      </c>
      <c r="D1966" s="24" t="str">
        <f>IFERROR(__xludf.DUMMYFUNCTION("""COMPUTED_VALUE"""),"Household")</f>
        <v>Household</v>
      </c>
      <c r="F1966" s="23">
        <f>IFERROR(__xludf.DUMMYFUNCTION("""COMPUTED_VALUE"""),44812.716611759264)</f>
        <v>44812.71661</v>
      </c>
      <c r="G1966" s="24" t="str">
        <f>IFERROR(__xludf.DUMMYFUNCTION("""COMPUTED_VALUE"""),"Norma ")</f>
        <v>Norma </v>
      </c>
      <c r="H1966" s="24">
        <f>IFERROR(__xludf.DUMMYFUNCTION("""COMPUTED_VALUE"""),19.0)</f>
        <v>19</v>
      </c>
      <c r="I1966" s="24"/>
    </row>
    <row r="1967">
      <c r="A1967" s="23">
        <f>IFERROR(__xludf.DUMMYFUNCTION("""COMPUTED_VALUE"""),44864.63952971064)</f>
        <v>44864.63953</v>
      </c>
      <c r="B1967" s="24" t="str">
        <f>IFERROR(__xludf.DUMMYFUNCTION("""COMPUTED_VALUE"""),"Dorja ")</f>
        <v>Dorja </v>
      </c>
      <c r="C1967" s="24">
        <f>IFERROR(__xludf.DUMMYFUNCTION("""COMPUTED_VALUE"""),1147.0)</f>
        <v>1147</v>
      </c>
      <c r="D1967" s="24" t="str">
        <f>IFERROR(__xludf.DUMMYFUNCTION("""COMPUTED_VALUE"""),"Dole")</f>
        <v>Dole</v>
      </c>
      <c r="F1967" s="23">
        <f>IFERROR(__xludf.DUMMYFUNCTION("""COMPUTED_VALUE"""),44812.77759175926)</f>
        <v>44812.77759</v>
      </c>
      <c r="G1967" s="24"/>
      <c r="H1967" s="24">
        <f>IFERROR(__xludf.DUMMYFUNCTION("""COMPUTED_VALUE"""),217.0)</f>
        <v>217</v>
      </c>
      <c r="I1967" s="24" t="str">
        <f>IFERROR(__xludf.DUMMYFUNCTION("""COMPUTED_VALUE"""),"White box ")</f>
        <v>White box </v>
      </c>
    </row>
    <row r="1968">
      <c r="A1968" s="23">
        <f>IFERROR(__xludf.DUMMYFUNCTION("""COMPUTED_VALUE"""),44864.639944814815)</f>
        <v>44864.63994</v>
      </c>
      <c r="B1968" s="24" t="str">
        <f>IFERROR(__xludf.DUMMYFUNCTION("""COMPUTED_VALUE"""),"Dorja ")</f>
        <v>Dorja </v>
      </c>
      <c r="C1968" s="24">
        <f>IFERROR(__xludf.DUMMYFUNCTION("""COMPUTED_VALUE"""),450.0)</f>
        <v>450</v>
      </c>
      <c r="D1968" s="24" t="str">
        <f>IFERROR(__xludf.DUMMYFUNCTION("""COMPUTED_VALUE"""),"Potatoes ")</f>
        <v>Potatoes </v>
      </c>
      <c r="F1968" s="23">
        <f>IFERROR(__xludf.DUMMYFUNCTION("""COMPUTED_VALUE"""),44812.77789791667)</f>
        <v>44812.7779</v>
      </c>
      <c r="G1968" s="24"/>
      <c r="H1968" s="24">
        <f>IFERROR(__xludf.DUMMYFUNCTION("""COMPUTED_VALUE"""),201.0)</f>
        <v>201</v>
      </c>
      <c r="I1968" s="24" t="str">
        <f>IFERROR(__xludf.DUMMYFUNCTION("""COMPUTED_VALUE"""),"White box ")</f>
        <v>White box </v>
      </c>
    </row>
    <row r="1969">
      <c r="A1969" s="23">
        <f>IFERROR(__xludf.DUMMYFUNCTION("""COMPUTED_VALUE"""),44864.64018149306)</f>
        <v>44864.64018</v>
      </c>
      <c r="B1969" s="24" t="str">
        <f>IFERROR(__xludf.DUMMYFUNCTION("""COMPUTED_VALUE"""),"Dorja ")</f>
        <v>Dorja </v>
      </c>
      <c r="C1969" s="24">
        <f>IFERROR(__xludf.DUMMYFUNCTION("""COMPUTED_VALUE"""),43.0)</f>
        <v>43</v>
      </c>
      <c r="D1969" s="24" t="str">
        <f>IFERROR(__xludf.DUMMYFUNCTION("""COMPUTED_VALUE"""),"Snacks")</f>
        <v>Snacks</v>
      </c>
      <c r="F1969" s="23">
        <f>IFERROR(__xludf.DUMMYFUNCTION("""COMPUTED_VALUE"""),44812.779951944445)</f>
        <v>44812.77995</v>
      </c>
      <c r="G1969" s="24"/>
      <c r="H1969" s="24">
        <f>IFERROR(__xludf.DUMMYFUNCTION("""COMPUTED_VALUE"""),194.0)</f>
        <v>194</v>
      </c>
      <c r="I1969" s="24" t="str">
        <f>IFERROR(__xludf.DUMMYFUNCTION("""COMPUTED_VALUE"""),"White box ")</f>
        <v>White box </v>
      </c>
    </row>
    <row r="1970">
      <c r="A1970" s="23">
        <f>IFERROR(__xludf.DUMMYFUNCTION("""COMPUTED_VALUE"""),44864.640398263895)</f>
        <v>44864.6404</v>
      </c>
      <c r="B1970" s="24" t="str">
        <f>IFERROR(__xludf.DUMMYFUNCTION("""COMPUTED_VALUE"""),"Dorja ")</f>
        <v>Dorja </v>
      </c>
      <c r="C1970" s="24">
        <f>IFERROR(__xludf.DUMMYFUNCTION("""COMPUTED_VALUE"""),62.0)</f>
        <v>62</v>
      </c>
      <c r="D1970" s="24" t="str">
        <f>IFERROR(__xludf.DUMMYFUNCTION("""COMPUTED_VALUE"""),"Snacks")</f>
        <v>Snacks</v>
      </c>
      <c r="F1970" s="23">
        <f>IFERROR(__xludf.DUMMYFUNCTION("""COMPUTED_VALUE"""),44812.78016003472)</f>
        <v>44812.78016</v>
      </c>
      <c r="G1970" s="24"/>
      <c r="H1970" s="24">
        <f>IFERROR(__xludf.DUMMYFUNCTION("""COMPUTED_VALUE"""),188.0)</f>
        <v>188</v>
      </c>
      <c r="I1970" s="24" t="str">
        <f>IFERROR(__xludf.DUMMYFUNCTION("""COMPUTED_VALUE"""),"White box ")</f>
        <v>White box </v>
      </c>
    </row>
    <row r="1971">
      <c r="A1971" s="23">
        <f>IFERROR(__xludf.DUMMYFUNCTION("""COMPUTED_VALUE"""),44864.640648715285)</f>
        <v>44864.64065</v>
      </c>
      <c r="B1971" s="24" t="str">
        <f>IFERROR(__xludf.DUMMYFUNCTION("""COMPUTED_VALUE"""),"Dorja ")</f>
        <v>Dorja </v>
      </c>
      <c r="C1971" s="24">
        <f>IFERROR(__xludf.DUMMYFUNCTION("""COMPUTED_VALUE"""),53.0)</f>
        <v>53</v>
      </c>
      <c r="D1971" s="24" t="str">
        <f>IFERROR(__xludf.DUMMYFUNCTION("""COMPUTED_VALUE"""),"Produce")</f>
        <v>Produce</v>
      </c>
      <c r="F1971" s="23">
        <f>IFERROR(__xludf.DUMMYFUNCTION("""COMPUTED_VALUE"""),44812.78078332176)</f>
        <v>44812.78078</v>
      </c>
      <c r="G1971" s="24"/>
      <c r="H1971" s="24">
        <f>IFERROR(__xludf.DUMMYFUNCTION("""COMPUTED_VALUE"""),253.0)</f>
        <v>253</v>
      </c>
      <c r="I1971" s="24" t="str">
        <f>IFERROR(__xludf.DUMMYFUNCTION("""COMPUTED_VALUE"""),"White box ")</f>
        <v>White box </v>
      </c>
    </row>
    <row r="1972">
      <c r="A1972" s="23">
        <f>IFERROR(__xludf.DUMMYFUNCTION("""COMPUTED_VALUE"""),44864.64128642361)</f>
        <v>44864.64129</v>
      </c>
      <c r="B1972" s="24" t="str">
        <f>IFERROR(__xludf.DUMMYFUNCTION("""COMPUTED_VALUE"""),"Dorja ")</f>
        <v>Dorja </v>
      </c>
      <c r="C1972" s="24">
        <f>IFERROR(__xludf.DUMMYFUNCTION("""COMPUTED_VALUE"""),15.0)</f>
        <v>15</v>
      </c>
      <c r="D1972" s="24" t="str">
        <f>IFERROR(__xludf.DUMMYFUNCTION("""COMPUTED_VALUE"""),"Assorted Dry")</f>
        <v>Assorted Dry</v>
      </c>
      <c r="F1972" s="23">
        <f>IFERROR(__xludf.DUMMYFUNCTION("""COMPUTED_VALUE"""),44812.781075659725)</f>
        <v>44812.78108</v>
      </c>
      <c r="G1972" s="24"/>
      <c r="H1972" s="24">
        <f>IFERROR(__xludf.DUMMYFUNCTION("""COMPUTED_VALUE"""),207.0)</f>
        <v>207</v>
      </c>
      <c r="I1972" s="24" t="str">
        <f>IFERROR(__xludf.DUMMYFUNCTION("""COMPUTED_VALUE"""),"White box ")</f>
        <v>White box </v>
      </c>
    </row>
    <row r="1973">
      <c r="A1973" s="23">
        <f>IFERROR(__xludf.DUMMYFUNCTION("""COMPUTED_VALUE"""),44864.64158508102)</f>
        <v>44864.64159</v>
      </c>
      <c r="B1973" s="24" t="str">
        <f>IFERROR(__xludf.DUMMYFUNCTION("""COMPUTED_VALUE"""),"Dorja ")</f>
        <v>Dorja </v>
      </c>
      <c r="C1973" s="24">
        <f>IFERROR(__xludf.DUMMYFUNCTION("""COMPUTED_VALUE"""),334.0)</f>
        <v>334</v>
      </c>
      <c r="D1973" s="24" t="str">
        <f>IFERROR(__xludf.DUMMYFUNCTION("""COMPUTED_VALUE"""),"Produce")</f>
        <v>Produce</v>
      </c>
      <c r="F1973" s="23">
        <f>IFERROR(__xludf.DUMMYFUNCTION("""COMPUTED_VALUE"""),44812.781263854165)</f>
        <v>44812.78126</v>
      </c>
      <c r="G1973" s="24"/>
      <c r="H1973" s="24">
        <f>IFERROR(__xludf.DUMMYFUNCTION("""COMPUTED_VALUE"""),187.0)</f>
        <v>187</v>
      </c>
      <c r="I1973" s="24" t="str">
        <f>IFERROR(__xludf.DUMMYFUNCTION("""COMPUTED_VALUE"""),"White box ")</f>
        <v>White box </v>
      </c>
    </row>
    <row r="1974">
      <c r="A1974" s="23">
        <f>IFERROR(__xludf.DUMMYFUNCTION("""COMPUTED_VALUE"""),44864.64183179399)</f>
        <v>44864.64183</v>
      </c>
      <c r="B1974" s="24" t="str">
        <f>IFERROR(__xludf.DUMMYFUNCTION("""COMPUTED_VALUE"""),"Dorja ")</f>
        <v>Dorja </v>
      </c>
      <c r="C1974" s="24">
        <f>IFERROR(__xludf.DUMMYFUNCTION("""COMPUTED_VALUE"""),288.0)</f>
        <v>288</v>
      </c>
      <c r="D1974" s="24" t="str">
        <f>IFERROR(__xludf.DUMMYFUNCTION("""COMPUTED_VALUE"""),"Produce")</f>
        <v>Produce</v>
      </c>
      <c r="F1974" s="23">
        <f>IFERROR(__xludf.DUMMYFUNCTION("""COMPUTED_VALUE"""),44812.78154854167)</f>
        <v>44812.78155</v>
      </c>
      <c r="G1974" s="24"/>
      <c r="H1974" s="24">
        <f>IFERROR(__xludf.DUMMYFUNCTION("""COMPUTED_VALUE"""),204.0)</f>
        <v>204</v>
      </c>
      <c r="I1974" s="24" t="str">
        <f>IFERROR(__xludf.DUMMYFUNCTION("""COMPUTED_VALUE"""),"White box ")</f>
        <v>White box </v>
      </c>
    </row>
    <row r="1975">
      <c r="A1975" s="23">
        <f>IFERROR(__xludf.DUMMYFUNCTION("""COMPUTED_VALUE"""),44864.642164780096)</f>
        <v>44864.64216</v>
      </c>
      <c r="B1975" s="24" t="str">
        <f>IFERROR(__xludf.DUMMYFUNCTION("""COMPUTED_VALUE"""),"Dorja ")</f>
        <v>Dorja </v>
      </c>
      <c r="C1975" s="24">
        <f>IFERROR(__xludf.DUMMYFUNCTION("""COMPUTED_VALUE"""),399.0)</f>
        <v>399</v>
      </c>
      <c r="D1975" s="24" t="str">
        <f>IFERROR(__xludf.DUMMYFUNCTION("""COMPUTED_VALUE"""),"Dole")</f>
        <v>Dole</v>
      </c>
      <c r="F1975" s="23">
        <f>IFERROR(__xludf.DUMMYFUNCTION("""COMPUTED_VALUE"""),44812.78175277778)</f>
        <v>44812.78175</v>
      </c>
      <c r="G1975" s="24"/>
      <c r="H1975" s="24">
        <f>IFERROR(__xludf.DUMMYFUNCTION("""COMPUTED_VALUE"""),190.0)</f>
        <v>190</v>
      </c>
      <c r="I1975" s="24" t="str">
        <f>IFERROR(__xludf.DUMMYFUNCTION("""COMPUTED_VALUE"""),"White box ")</f>
        <v>White box </v>
      </c>
    </row>
    <row r="1976">
      <c r="A1976" s="23">
        <f>IFERROR(__xludf.DUMMYFUNCTION("""COMPUTED_VALUE"""),44864.64245347222)</f>
        <v>44864.64245</v>
      </c>
      <c r="B1976" s="24" t="str">
        <f>IFERROR(__xludf.DUMMYFUNCTION("""COMPUTED_VALUE"""),"Dorja")</f>
        <v>Dorja</v>
      </c>
      <c r="C1976" s="24">
        <f>IFERROR(__xludf.DUMMYFUNCTION("""COMPUTED_VALUE"""),292.0)</f>
        <v>292</v>
      </c>
      <c r="D1976" s="24" t="str">
        <f>IFERROR(__xludf.DUMMYFUNCTION("""COMPUTED_VALUE"""),"Produce")</f>
        <v>Produce</v>
      </c>
      <c r="F1976" s="23">
        <f>IFERROR(__xludf.DUMMYFUNCTION("""COMPUTED_VALUE"""),44812.781921284724)</f>
        <v>44812.78192</v>
      </c>
      <c r="G1976" s="24"/>
      <c r="H1976" s="24">
        <f>IFERROR(__xludf.DUMMYFUNCTION("""COMPUTED_VALUE"""),210.0)</f>
        <v>210</v>
      </c>
      <c r="I1976" s="24" t="str">
        <f>IFERROR(__xludf.DUMMYFUNCTION("""COMPUTED_VALUE"""),"White box ")</f>
        <v>White box </v>
      </c>
    </row>
    <row r="1977">
      <c r="A1977" s="23">
        <f>IFERROR(__xludf.DUMMYFUNCTION("""COMPUTED_VALUE"""),44864.642773472224)</f>
        <v>44864.64277</v>
      </c>
      <c r="B1977" s="24" t="str">
        <f>IFERROR(__xludf.DUMMYFUNCTION("""COMPUTED_VALUE"""),"Dorja")</f>
        <v>Dorja</v>
      </c>
      <c r="C1977" s="24">
        <f>IFERROR(__xludf.DUMMYFUNCTION("""COMPUTED_VALUE"""),64.0)</f>
        <v>64</v>
      </c>
      <c r="D1977" s="24" t="str">
        <f>IFERROR(__xludf.DUMMYFUNCTION("""COMPUTED_VALUE"""),"Bread")</f>
        <v>Bread</v>
      </c>
      <c r="F1977" s="23">
        <f>IFERROR(__xludf.DUMMYFUNCTION("""COMPUTED_VALUE"""),44812.78207119213)</f>
        <v>44812.78207</v>
      </c>
      <c r="G1977" s="24"/>
      <c r="H1977" s="24">
        <f>IFERROR(__xludf.DUMMYFUNCTION("""COMPUTED_VALUE"""),182.0)</f>
        <v>182</v>
      </c>
      <c r="I1977" s="24" t="str">
        <f>IFERROR(__xludf.DUMMYFUNCTION("""COMPUTED_VALUE"""),"White box ")</f>
        <v>White box </v>
      </c>
    </row>
    <row r="1978">
      <c r="A1978" s="23">
        <f>IFERROR(__xludf.DUMMYFUNCTION("""COMPUTED_VALUE"""),44864.64310759259)</f>
        <v>44864.64311</v>
      </c>
      <c r="B1978" s="24" t="str">
        <f>IFERROR(__xludf.DUMMYFUNCTION("""COMPUTED_VALUE"""),"Dorja ")</f>
        <v>Dorja </v>
      </c>
      <c r="C1978" s="24">
        <f>IFERROR(__xludf.DUMMYFUNCTION("""COMPUTED_VALUE"""),57.0)</f>
        <v>57</v>
      </c>
      <c r="D1978" s="24" t="str">
        <f>IFERROR(__xludf.DUMMYFUNCTION("""COMPUTED_VALUE"""),"Vegetables")</f>
        <v>Vegetables</v>
      </c>
      <c r="F1978" s="23">
        <f>IFERROR(__xludf.DUMMYFUNCTION("""COMPUTED_VALUE"""),44812.78233607639)</f>
        <v>44812.78234</v>
      </c>
      <c r="G1978" s="24"/>
      <c r="H1978" s="24">
        <f>IFERROR(__xludf.DUMMYFUNCTION("""COMPUTED_VALUE"""),198.0)</f>
        <v>198</v>
      </c>
      <c r="I1978" s="24" t="str">
        <f>IFERROR(__xludf.DUMMYFUNCTION("""COMPUTED_VALUE"""),"White box ")</f>
        <v>White box </v>
      </c>
    </row>
    <row r="1979">
      <c r="A1979" s="23">
        <f>IFERROR(__xludf.DUMMYFUNCTION("""COMPUTED_VALUE"""),44864.65071990741)</f>
        <v>44864.65072</v>
      </c>
      <c r="B1979" s="24" t="str">
        <f>IFERROR(__xludf.DUMMYFUNCTION("""COMPUTED_VALUE"""),"Dorja ")</f>
        <v>Dorja </v>
      </c>
      <c r="C1979" s="24">
        <f>IFERROR(__xludf.DUMMYFUNCTION("""COMPUTED_VALUE"""),128.0)</f>
        <v>128</v>
      </c>
      <c r="D1979" s="24" t="str">
        <f>IFERROR(__xludf.DUMMYFUNCTION("""COMPUTED_VALUE"""),"Assorted Dry")</f>
        <v>Assorted Dry</v>
      </c>
      <c r="F1979" s="23">
        <f>IFERROR(__xludf.DUMMYFUNCTION("""COMPUTED_VALUE"""),44812.78257277778)</f>
        <v>44812.78257</v>
      </c>
      <c r="G1979" s="24"/>
      <c r="H1979" s="24">
        <f>IFERROR(__xludf.DUMMYFUNCTION("""COMPUTED_VALUE"""),206.0)</f>
        <v>206</v>
      </c>
      <c r="I1979" s="24" t="str">
        <f>IFERROR(__xludf.DUMMYFUNCTION("""COMPUTED_VALUE"""),"White box ")</f>
        <v>White box </v>
      </c>
    </row>
    <row r="1980">
      <c r="A1980" s="23">
        <f>IFERROR(__xludf.DUMMYFUNCTION("""COMPUTED_VALUE"""),44868.63187525463)</f>
        <v>44868.63188</v>
      </c>
      <c r="B1980" s="24" t="str">
        <f>IFERROR(__xludf.DUMMYFUNCTION("""COMPUTED_VALUE"""),"Jean")</f>
        <v>Jean</v>
      </c>
      <c r="C1980" s="24">
        <f>IFERROR(__xludf.DUMMYFUNCTION("""COMPUTED_VALUE"""),164.0)</f>
        <v>164</v>
      </c>
      <c r="D1980" s="24" t="str">
        <f>IFERROR(__xludf.DUMMYFUNCTION("""COMPUTED_VALUE"""),"Assorted Dry")</f>
        <v>Assorted Dry</v>
      </c>
      <c r="F1980" s="23">
        <f>IFERROR(__xludf.DUMMYFUNCTION("""COMPUTED_VALUE"""),44812.782748425925)</f>
        <v>44812.78275</v>
      </c>
      <c r="G1980" s="24"/>
      <c r="H1980" s="24">
        <f>IFERROR(__xludf.DUMMYFUNCTION("""COMPUTED_VALUE"""),199.0)</f>
        <v>199</v>
      </c>
      <c r="I1980" s="24" t="str">
        <f>IFERROR(__xludf.DUMMYFUNCTION("""COMPUTED_VALUE"""),"White box ")</f>
        <v>White box </v>
      </c>
    </row>
    <row r="1981">
      <c r="A1981" s="23">
        <f>IFERROR(__xludf.DUMMYFUNCTION("""COMPUTED_VALUE"""),44868.63414340278)</f>
        <v>44868.63414</v>
      </c>
      <c r="B1981" s="24" t="str">
        <f>IFERROR(__xludf.DUMMYFUNCTION("""COMPUTED_VALUE"""),"Jean")</f>
        <v>Jean</v>
      </c>
      <c r="C1981" s="24">
        <f>IFERROR(__xludf.DUMMYFUNCTION("""COMPUTED_VALUE"""),702.0)</f>
        <v>702</v>
      </c>
      <c r="D1981" s="24" t="str">
        <f>IFERROR(__xludf.DUMMYFUNCTION("""COMPUTED_VALUE"""),"Dole fruit cups")</f>
        <v>Dole fruit cups</v>
      </c>
      <c r="F1981" s="23">
        <f>IFERROR(__xludf.DUMMYFUNCTION("""COMPUTED_VALUE"""),44812.78293768519)</f>
        <v>44812.78294</v>
      </c>
      <c r="G1981" s="24"/>
      <c r="H1981" s="24">
        <f>IFERROR(__xludf.DUMMYFUNCTION("""COMPUTED_VALUE"""),201.0)</f>
        <v>201</v>
      </c>
      <c r="I1981" s="24" t="str">
        <f>IFERROR(__xludf.DUMMYFUNCTION("""COMPUTED_VALUE"""),"White box ")</f>
        <v>White box </v>
      </c>
    </row>
    <row r="1982">
      <c r="A1982" s="23">
        <f>IFERROR(__xludf.DUMMYFUNCTION("""COMPUTED_VALUE"""),44868.63559582176)</f>
        <v>44868.6356</v>
      </c>
      <c r="B1982" s="24" t="str">
        <f>IFERROR(__xludf.DUMMYFUNCTION("""COMPUTED_VALUE"""),"Jean")</f>
        <v>Jean</v>
      </c>
      <c r="C1982" s="24">
        <f>IFERROR(__xludf.DUMMYFUNCTION("""COMPUTED_VALUE"""),729.0)</f>
        <v>729</v>
      </c>
      <c r="D1982" s="24" t="str">
        <f>IFERROR(__xludf.DUMMYFUNCTION("""COMPUTED_VALUE"""),"Assorted Fridge")</f>
        <v>Assorted Fridge</v>
      </c>
      <c r="F1982" s="23">
        <f>IFERROR(__xludf.DUMMYFUNCTION("""COMPUTED_VALUE"""),44812.78311004629)</f>
        <v>44812.78311</v>
      </c>
      <c r="G1982" s="24"/>
      <c r="H1982" s="24">
        <f>IFERROR(__xludf.DUMMYFUNCTION("""COMPUTED_VALUE"""),184.0)</f>
        <v>184</v>
      </c>
      <c r="I1982" s="24" t="str">
        <f>IFERROR(__xludf.DUMMYFUNCTION("""COMPUTED_VALUE"""),"White box ")</f>
        <v>White box </v>
      </c>
    </row>
    <row r="1983">
      <c r="A1983" s="23">
        <f>IFERROR(__xludf.DUMMYFUNCTION("""COMPUTED_VALUE"""),44868.63791704861)</f>
        <v>44868.63792</v>
      </c>
      <c r="B1983" s="24" t="str">
        <f>IFERROR(__xludf.DUMMYFUNCTION("""COMPUTED_VALUE"""),"Jean")</f>
        <v>Jean</v>
      </c>
      <c r="C1983" s="24">
        <f>IFERROR(__xludf.DUMMYFUNCTION("""COMPUTED_VALUE"""),223.0)</f>
        <v>223</v>
      </c>
      <c r="D1983" s="24" t="str">
        <f>IFERROR(__xludf.DUMMYFUNCTION("""COMPUTED_VALUE"""),"Assorted Dry")</f>
        <v>Assorted Dry</v>
      </c>
      <c r="F1983" s="23">
        <f>IFERROR(__xludf.DUMMYFUNCTION("""COMPUTED_VALUE"""),44813.0)</f>
        <v>44813</v>
      </c>
      <c r="G1983" s="24" t="str">
        <f>IFERROR(__xludf.DUMMYFUNCTION("""COMPUTED_VALUE"""),"Claire")</f>
        <v>Claire</v>
      </c>
      <c r="H1983" s="24">
        <f>IFERROR(__xludf.DUMMYFUNCTION("""COMPUTED_VALUE"""),112.0)</f>
        <v>112</v>
      </c>
      <c r="I1983" s="24" t="str">
        <f>IFERROR(__xludf.DUMMYFUNCTION("""COMPUTED_VALUE"""),"White box")</f>
        <v>White box</v>
      </c>
    </row>
    <row r="1984">
      <c r="A1984" s="23">
        <f>IFERROR(__xludf.DUMMYFUNCTION("""COMPUTED_VALUE"""),44868.63934480324)</f>
        <v>44868.63934</v>
      </c>
      <c r="B1984" s="24" t="str">
        <f>IFERROR(__xludf.DUMMYFUNCTION("""COMPUTED_VALUE"""),"Jean")</f>
        <v>Jean</v>
      </c>
      <c r="C1984" s="24">
        <f>IFERROR(__xludf.DUMMYFUNCTION("""COMPUTED_VALUE"""),126.0)</f>
        <v>126</v>
      </c>
      <c r="D1984" s="24" t="str">
        <f>IFERROR(__xludf.DUMMYFUNCTION("""COMPUTED_VALUE"""),"Dole fruit cups")</f>
        <v>Dole fruit cups</v>
      </c>
      <c r="F1984" s="23">
        <f>IFERROR(__xludf.DUMMYFUNCTION("""COMPUTED_VALUE"""),44813.0)</f>
        <v>44813</v>
      </c>
      <c r="G1984" s="24" t="str">
        <f>IFERROR(__xludf.DUMMYFUNCTION("""COMPUTED_VALUE"""),"Juanita Chandler")</f>
        <v>Juanita Chandler</v>
      </c>
      <c r="H1984" s="24">
        <f>IFERROR(__xludf.DUMMYFUNCTION("""COMPUTED_VALUE"""),8.0)</f>
        <v>8</v>
      </c>
      <c r="I1984" s="24"/>
    </row>
    <row r="1985">
      <c r="A1985" s="23">
        <f>IFERROR(__xludf.DUMMYFUNCTION("""COMPUTED_VALUE"""),44868.64033052084)</f>
        <v>44868.64033</v>
      </c>
      <c r="B1985" s="24" t="str">
        <f>IFERROR(__xludf.DUMMYFUNCTION("""COMPUTED_VALUE"""),"Jean")</f>
        <v>Jean</v>
      </c>
      <c r="C1985" s="24">
        <f>IFERROR(__xludf.DUMMYFUNCTION("""COMPUTED_VALUE"""),240.0)</f>
        <v>240</v>
      </c>
      <c r="D1985" s="24" t="str">
        <f>IFERROR(__xludf.DUMMYFUNCTION("""COMPUTED_VALUE"""),"Cleaning Supplies")</f>
        <v>Cleaning Supplies</v>
      </c>
      <c r="F1985" s="23">
        <f>IFERROR(__xludf.DUMMYFUNCTION("""COMPUTED_VALUE"""),44813.0)</f>
        <v>44813</v>
      </c>
      <c r="G1985" s="24" t="str">
        <f>IFERROR(__xludf.DUMMYFUNCTION("""COMPUTED_VALUE"""),"Juanita Chandler")</f>
        <v>Juanita Chandler</v>
      </c>
      <c r="H1985" s="24">
        <f>IFERROR(__xludf.DUMMYFUNCTION("""COMPUTED_VALUE"""),3.0)</f>
        <v>3</v>
      </c>
      <c r="I1985" s="24"/>
    </row>
    <row r="1986">
      <c r="A1986" s="23">
        <f>IFERROR(__xludf.DUMMYFUNCTION("""COMPUTED_VALUE"""),44869.61801658564)</f>
        <v>44869.61802</v>
      </c>
      <c r="B1986" s="24" t="str">
        <f>IFERROR(__xludf.DUMMYFUNCTION("""COMPUTED_VALUE"""),"Claire")</f>
        <v>Claire</v>
      </c>
      <c r="C1986" s="24">
        <f>IFERROR(__xludf.DUMMYFUNCTION("""COMPUTED_VALUE"""),639.0)</f>
        <v>639</v>
      </c>
      <c r="D1986" s="24" t="str">
        <f>IFERROR(__xludf.DUMMYFUNCTION("""COMPUTED_VALUE"""),"Assorted Dry")</f>
        <v>Assorted Dry</v>
      </c>
      <c r="F1986" s="23">
        <f>IFERROR(__xludf.DUMMYFUNCTION("""COMPUTED_VALUE"""),44813.58999519676)</f>
        <v>44813.59</v>
      </c>
      <c r="G1986" s="24" t="str">
        <f>IFERROR(__xludf.DUMMYFUNCTION("""COMPUTED_VALUE"""),"Claire")</f>
        <v>Claire</v>
      </c>
      <c r="H1986" s="24">
        <f>IFERROR(__xludf.DUMMYFUNCTION("""COMPUTED_VALUE"""),207.0)</f>
        <v>207</v>
      </c>
      <c r="I1986" s="24" t="str">
        <f>IFERROR(__xludf.DUMMYFUNCTION("""COMPUTED_VALUE"""),"White box")</f>
        <v>White box</v>
      </c>
    </row>
    <row r="1987">
      <c r="A1987" s="23">
        <f>IFERROR(__xludf.DUMMYFUNCTION("""COMPUTED_VALUE"""),44869.61840791667)</f>
        <v>44869.61841</v>
      </c>
      <c r="B1987" s="24" t="str">
        <f>IFERROR(__xludf.DUMMYFUNCTION("""COMPUTED_VALUE"""),"Claire")</f>
        <v>Claire</v>
      </c>
      <c r="C1987" s="24">
        <f>IFERROR(__xludf.DUMMYFUNCTION("""COMPUTED_VALUE"""),619.0)</f>
        <v>619</v>
      </c>
      <c r="D1987" s="24" t="str">
        <f>IFERROR(__xludf.DUMMYFUNCTION("""COMPUTED_VALUE"""),"Assorted Dry")</f>
        <v>Assorted Dry</v>
      </c>
      <c r="F1987" s="23">
        <f>IFERROR(__xludf.DUMMYFUNCTION("""COMPUTED_VALUE"""),44813.590218275465)</f>
        <v>44813.59022</v>
      </c>
      <c r="G1987" s="24" t="str">
        <f>IFERROR(__xludf.DUMMYFUNCTION("""COMPUTED_VALUE"""),"Claire")</f>
        <v>Claire</v>
      </c>
      <c r="H1987" s="24">
        <f>IFERROR(__xludf.DUMMYFUNCTION("""COMPUTED_VALUE"""),192.0)</f>
        <v>192</v>
      </c>
      <c r="I1987" s="24" t="str">
        <f>IFERROR(__xludf.DUMMYFUNCTION("""COMPUTED_VALUE"""),"White box ")</f>
        <v>White box </v>
      </c>
    </row>
    <row r="1988">
      <c r="A1988" s="23">
        <f>IFERROR(__xludf.DUMMYFUNCTION("""COMPUTED_VALUE"""),44869.61884496528)</f>
        <v>44869.61884</v>
      </c>
      <c r="B1988" s="24" t="str">
        <f>IFERROR(__xludf.DUMMYFUNCTION("""COMPUTED_VALUE"""),"Claire")</f>
        <v>Claire</v>
      </c>
      <c r="C1988" s="24">
        <f>IFERROR(__xludf.DUMMYFUNCTION("""COMPUTED_VALUE"""),111.0)</f>
        <v>111</v>
      </c>
      <c r="D1988" s="24" t="str">
        <f>IFERROR(__xludf.DUMMYFUNCTION("""COMPUTED_VALUE"""),"Snacks")</f>
        <v>Snacks</v>
      </c>
      <c r="F1988" s="23">
        <f>IFERROR(__xludf.DUMMYFUNCTION("""COMPUTED_VALUE"""),44813.59060607639)</f>
        <v>44813.59061</v>
      </c>
      <c r="G1988" s="24" t="str">
        <f>IFERROR(__xludf.DUMMYFUNCTION("""COMPUTED_VALUE"""),"Claire")</f>
        <v>Claire</v>
      </c>
      <c r="H1988" s="24">
        <f>IFERROR(__xludf.DUMMYFUNCTION("""COMPUTED_VALUE"""),215.0)</f>
        <v>215</v>
      </c>
      <c r="I1988" s="24" t="str">
        <f>IFERROR(__xludf.DUMMYFUNCTION("""COMPUTED_VALUE"""),"White box")</f>
        <v>White box</v>
      </c>
    </row>
    <row r="1989">
      <c r="A1989" s="23">
        <f>IFERROR(__xludf.DUMMYFUNCTION("""COMPUTED_VALUE"""),44869.61922538194)</f>
        <v>44869.61923</v>
      </c>
      <c r="B1989" s="24" t="str">
        <f>IFERROR(__xludf.DUMMYFUNCTION("""COMPUTED_VALUE"""),"Claire")</f>
        <v>Claire</v>
      </c>
      <c r="C1989" s="24">
        <f>IFERROR(__xludf.DUMMYFUNCTION("""COMPUTED_VALUE"""),119.0)</f>
        <v>119</v>
      </c>
      <c r="D1989" s="24" t="str">
        <f>IFERROR(__xludf.DUMMYFUNCTION("""COMPUTED_VALUE"""),"Fruit cups")</f>
        <v>Fruit cups</v>
      </c>
      <c r="F1989" s="23">
        <f>IFERROR(__xludf.DUMMYFUNCTION("""COMPUTED_VALUE"""),44813.59178596065)</f>
        <v>44813.59179</v>
      </c>
      <c r="G1989" s="24" t="str">
        <f>IFERROR(__xludf.DUMMYFUNCTION("""COMPUTED_VALUE"""),"Claire")</f>
        <v>Claire</v>
      </c>
      <c r="H1989" s="24">
        <f>IFERROR(__xludf.DUMMYFUNCTION("""COMPUTED_VALUE"""),197.0)</f>
        <v>197</v>
      </c>
      <c r="I1989" s="24" t="str">
        <f>IFERROR(__xludf.DUMMYFUNCTION("""COMPUTED_VALUE"""),"White box")</f>
        <v>White box</v>
      </c>
    </row>
    <row r="1990">
      <c r="A1990" s="23">
        <f>IFERROR(__xludf.DUMMYFUNCTION("""COMPUTED_VALUE"""),44869.61961561343)</f>
        <v>44869.61962</v>
      </c>
      <c r="B1990" s="24" t="str">
        <f>IFERROR(__xludf.DUMMYFUNCTION("""COMPUTED_VALUE"""),"Claire")</f>
        <v>Claire</v>
      </c>
      <c r="C1990" s="24">
        <f>IFERROR(__xludf.DUMMYFUNCTION("""COMPUTED_VALUE"""),1174.0)</f>
        <v>1174</v>
      </c>
      <c r="D1990" s="24" t="str">
        <f>IFERROR(__xludf.DUMMYFUNCTION("""COMPUTED_VALUE"""),"Fruit cups")</f>
        <v>Fruit cups</v>
      </c>
      <c r="F1990" s="23">
        <f>IFERROR(__xludf.DUMMYFUNCTION("""COMPUTED_VALUE"""),44813.592101863425)</f>
        <v>44813.5921</v>
      </c>
      <c r="G1990" s="24" t="str">
        <f>IFERROR(__xludf.DUMMYFUNCTION("""COMPUTED_VALUE"""),"Claire")</f>
        <v>Claire</v>
      </c>
      <c r="H1990" s="24">
        <f>IFERROR(__xludf.DUMMYFUNCTION("""COMPUTED_VALUE"""),149.0)</f>
        <v>149</v>
      </c>
      <c r="I1990" s="24" t="str">
        <f>IFERROR(__xludf.DUMMYFUNCTION("""COMPUTED_VALUE"""),"White box")</f>
        <v>White box</v>
      </c>
    </row>
    <row r="1991">
      <c r="A1991" s="23">
        <f>IFERROR(__xludf.DUMMYFUNCTION("""COMPUTED_VALUE"""),44869.62013113426)</f>
        <v>44869.62013</v>
      </c>
      <c r="B1991" s="24" t="str">
        <f>IFERROR(__xludf.DUMMYFUNCTION("""COMPUTED_VALUE"""),"Claire")</f>
        <v>Claire</v>
      </c>
      <c r="C1991" s="24">
        <f>IFERROR(__xludf.DUMMYFUNCTION("""COMPUTED_VALUE"""),1134.0)</f>
        <v>1134</v>
      </c>
      <c r="D1991" s="24" t="str">
        <f>IFERROR(__xludf.DUMMYFUNCTION("""COMPUTED_VALUE"""),"Fruit cups")</f>
        <v>Fruit cups</v>
      </c>
      <c r="F1991" s="23">
        <f>IFERROR(__xludf.DUMMYFUNCTION("""COMPUTED_VALUE"""),44813.67882146991)</f>
        <v>44813.67882</v>
      </c>
      <c r="G1991" s="24" t="str">
        <f>IFERROR(__xludf.DUMMYFUNCTION("""COMPUTED_VALUE"""),"Claire")</f>
        <v>Claire</v>
      </c>
      <c r="H1991" s="24">
        <f>IFERROR(__xludf.DUMMYFUNCTION("""COMPUTED_VALUE"""),234.0)</f>
        <v>234</v>
      </c>
      <c r="I1991" s="24" t="str">
        <f>IFERROR(__xludf.DUMMYFUNCTION("""COMPUTED_VALUE"""),"Snacks")</f>
        <v>Snacks</v>
      </c>
    </row>
    <row r="1992">
      <c r="A1992" s="23">
        <f>IFERROR(__xludf.DUMMYFUNCTION("""COMPUTED_VALUE"""),44869.62050203704)</f>
        <v>44869.6205</v>
      </c>
      <c r="B1992" s="24" t="str">
        <f>IFERROR(__xludf.DUMMYFUNCTION("""COMPUTED_VALUE"""),"Claire")</f>
        <v>Claire</v>
      </c>
      <c r="C1992" s="24">
        <f>IFERROR(__xludf.DUMMYFUNCTION("""COMPUTED_VALUE"""),768.0)</f>
        <v>768</v>
      </c>
      <c r="D1992" s="24" t="str">
        <f>IFERROR(__xludf.DUMMYFUNCTION("""COMPUTED_VALUE"""),"Produce")</f>
        <v>Produce</v>
      </c>
      <c r="F1992" s="23">
        <f>IFERROR(__xludf.DUMMYFUNCTION("""COMPUTED_VALUE"""),44813.67938091435)</f>
        <v>44813.67938</v>
      </c>
      <c r="G1992" s="24" t="str">
        <f>IFERROR(__xludf.DUMMYFUNCTION("""COMPUTED_VALUE"""),"Claire")</f>
        <v>Claire</v>
      </c>
      <c r="H1992" s="24">
        <f>IFERROR(__xludf.DUMMYFUNCTION("""COMPUTED_VALUE"""),112.0)</f>
        <v>112</v>
      </c>
      <c r="I1992" s="24" t="str">
        <f>IFERROR(__xludf.DUMMYFUNCTION("""COMPUTED_VALUE"""),"Household")</f>
        <v>Household</v>
      </c>
    </row>
    <row r="1993">
      <c r="A1993" s="23">
        <f>IFERROR(__xludf.DUMMYFUNCTION("""COMPUTED_VALUE"""),44869.62102298611)</f>
        <v>44869.62102</v>
      </c>
      <c r="B1993" s="24" t="str">
        <f>IFERROR(__xludf.DUMMYFUNCTION("""COMPUTED_VALUE"""),"Claire")</f>
        <v>Claire</v>
      </c>
      <c r="C1993" s="24">
        <f>IFERROR(__xludf.DUMMYFUNCTION("""COMPUTED_VALUE"""),1038.0)</f>
        <v>1038</v>
      </c>
      <c r="D1993" s="24" t="str">
        <f>IFERROR(__xludf.DUMMYFUNCTION("""COMPUTED_VALUE"""),"Fruit cups")</f>
        <v>Fruit cups</v>
      </c>
      <c r="F1993" s="23">
        <f>IFERROR(__xludf.DUMMYFUNCTION("""COMPUTED_VALUE"""),44813.67960466435)</f>
        <v>44813.6796</v>
      </c>
      <c r="G1993" s="24" t="str">
        <f>IFERROR(__xludf.DUMMYFUNCTION("""COMPUTED_VALUE"""),"Claire")</f>
        <v>Claire</v>
      </c>
      <c r="H1993" s="24">
        <f>IFERROR(__xludf.DUMMYFUNCTION("""COMPUTED_VALUE"""),106.0)</f>
        <v>106</v>
      </c>
      <c r="I1993" s="24" t="str">
        <f>IFERROR(__xludf.DUMMYFUNCTION("""COMPUTED_VALUE"""),"Meat [Raw]")</f>
        <v>Meat [Raw]</v>
      </c>
    </row>
    <row r="1994">
      <c r="A1994" s="23">
        <f>IFERROR(__xludf.DUMMYFUNCTION("""COMPUTED_VALUE"""),44869.621321875)</f>
        <v>44869.62132</v>
      </c>
      <c r="B1994" s="24" t="str">
        <f>IFERROR(__xludf.DUMMYFUNCTION("""COMPUTED_VALUE"""),"Claire")</f>
        <v>Claire</v>
      </c>
      <c r="C1994" s="24">
        <f>IFERROR(__xludf.DUMMYFUNCTION("""COMPUTED_VALUE"""),860.0)</f>
        <v>860</v>
      </c>
      <c r="D1994" s="24" t="str">
        <f>IFERROR(__xludf.DUMMYFUNCTION("""COMPUTED_VALUE"""),"Produce")</f>
        <v>Produce</v>
      </c>
      <c r="F1994" s="23">
        <f>IFERROR(__xludf.DUMMYFUNCTION("""COMPUTED_VALUE"""),44813.67987478009)</f>
        <v>44813.67987</v>
      </c>
      <c r="G1994" s="24" t="str">
        <f>IFERROR(__xludf.DUMMYFUNCTION("""COMPUTED_VALUE"""),"Claire ")</f>
        <v>Claire </v>
      </c>
      <c r="H1994" s="24">
        <f>IFERROR(__xludf.DUMMYFUNCTION("""COMPUTED_VALUE"""),169.0)</f>
        <v>169</v>
      </c>
      <c r="I1994" s="24" t="str">
        <f>IFERROR(__xludf.DUMMYFUNCTION("""COMPUTED_VALUE"""),"Household")</f>
        <v>Household</v>
      </c>
    </row>
    <row r="1995">
      <c r="A1995" s="23">
        <f>IFERROR(__xludf.DUMMYFUNCTION("""COMPUTED_VALUE"""),44869.62163019676)</f>
        <v>44869.62163</v>
      </c>
      <c r="B1995" s="24" t="str">
        <f>IFERROR(__xludf.DUMMYFUNCTION("""COMPUTED_VALUE"""),"Claire")</f>
        <v>Claire</v>
      </c>
      <c r="C1995" s="24">
        <f>IFERROR(__xludf.DUMMYFUNCTION("""COMPUTED_VALUE"""),789.0)</f>
        <v>789</v>
      </c>
      <c r="D1995" s="24" t="str">
        <f>IFERROR(__xludf.DUMMYFUNCTION("""COMPUTED_VALUE"""),"Produce")</f>
        <v>Produce</v>
      </c>
      <c r="F1995" s="23">
        <f>IFERROR(__xludf.DUMMYFUNCTION("""COMPUTED_VALUE"""),44813.680100983795)</f>
        <v>44813.6801</v>
      </c>
      <c r="G1995" s="24" t="str">
        <f>IFERROR(__xludf.DUMMYFUNCTION("""COMPUTED_VALUE"""),"Claire")</f>
        <v>Claire</v>
      </c>
      <c r="H1995" s="24">
        <f>IFERROR(__xludf.DUMMYFUNCTION("""COMPUTED_VALUE"""),508.0)</f>
        <v>508</v>
      </c>
      <c r="I1995" s="24" t="str">
        <f>IFERROR(__xludf.DUMMYFUNCTION("""COMPUTED_VALUE"""),"Produce")</f>
        <v>Produce</v>
      </c>
    </row>
    <row r="1996">
      <c r="A1996" s="23">
        <f>IFERROR(__xludf.DUMMYFUNCTION("""COMPUTED_VALUE"""),44869.62196128473)</f>
        <v>44869.62196</v>
      </c>
      <c r="B1996" s="24" t="str">
        <f>IFERROR(__xludf.DUMMYFUNCTION("""COMPUTED_VALUE"""),"Claire")</f>
        <v>Claire</v>
      </c>
      <c r="C1996" s="24">
        <f>IFERROR(__xludf.DUMMYFUNCTION("""COMPUTED_VALUE"""),1163.0)</f>
        <v>1163</v>
      </c>
      <c r="D1996" s="24" t="str">
        <f>IFERROR(__xludf.DUMMYFUNCTION("""COMPUTED_VALUE"""),"Fruit cups")</f>
        <v>Fruit cups</v>
      </c>
      <c r="F1996" s="23">
        <f>IFERROR(__xludf.DUMMYFUNCTION("""COMPUTED_VALUE"""),44813.695093842594)</f>
        <v>44813.69509</v>
      </c>
      <c r="G1996" s="24" t="str">
        <f>IFERROR(__xludf.DUMMYFUNCTION("""COMPUTED_VALUE"""),"Deborah ")</f>
        <v>Deborah </v>
      </c>
      <c r="H1996" s="24">
        <f>IFERROR(__xludf.DUMMYFUNCTION("""COMPUTED_VALUE"""),20.0)</f>
        <v>20</v>
      </c>
      <c r="I1996" s="24"/>
    </row>
    <row r="1997">
      <c r="A1997" s="23">
        <f>IFERROR(__xludf.DUMMYFUNCTION("""COMPUTED_VALUE"""),44869.622328101854)</f>
        <v>44869.62233</v>
      </c>
      <c r="B1997" s="24" t="str">
        <f>IFERROR(__xludf.DUMMYFUNCTION("""COMPUTED_VALUE"""),"Claire")</f>
        <v>Claire</v>
      </c>
      <c r="C1997" s="24">
        <f>IFERROR(__xludf.DUMMYFUNCTION("""COMPUTED_VALUE"""),1502.0)</f>
        <v>1502</v>
      </c>
      <c r="D1997" s="24" t="str">
        <f>IFERROR(__xludf.DUMMYFUNCTION("""COMPUTED_VALUE"""),"Hand sanitizer")</f>
        <v>Hand sanitizer</v>
      </c>
      <c r="F1997" s="23">
        <f>IFERROR(__xludf.DUMMYFUNCTION("""COMPUTED_VALUE"""),44813.69678701389)</f>
        <v>44813.69679</v>
      </c>
      <c r="G1997" s="24" t="str">
        <f>IFERROR(__xludf.DUMMYFUNCTION("""COMPUTED_VALUE"""),"Sunita pathik")</f>
        <v>Sunita pathik</v>
      </c>
      <c r="H1997" s="24">
        <f>IFERROR(__xludf.DUMMYFUNCTION("""COMPUTED_VALUE"""),12.0)</f>
        <v>12</v>
      </c>
      <c r="I1997" s="24"/>
    </row>
    <row r="1998">
      <c r="A1998" s="23">
        <f>IFERROR(__xludf.DUMMYFUNCTION("""COMPUTED_VALUE"""),44869.62263208333)</f>
        <v>44869.62263</v>
      </c>
      <c r="B1998" s="24" t="str">
        <f>IFERROR(__xludf.DUMMYFUNCTION("""COMPUTED_VALUE"""),"Claire")</f>
        <v>Claire</v>
      </c>
      <c r="C1998" s="24">
        <f>IFERROR(__xludf.DUMMYFUNCTION("""COMPUTED_VALUE"""),223.0)</f>
        <v>223</v>
      </c>
      <c r="D1998" s="24" t="str">
        <f>IFERROR(__xludf.DUMMYFUNCTION("""COMPUTED_VALUE"""),"Snacks")</f>
        <v>Snacks</v>
      </c>
      <c r="F1998" s="23">
        <f>IFERROR(__xludf.DUMMYFUNCTION("""COMPUTED_VALUE"""),44813.69756594908)</f>
        <v>44813.69757</v>
      </c>
      <c r="G1998" s="24" t="str">
        <f>IFERROR(__xludf.DUMMYFUNCTION("""COMPUTED_VALUE"""),"Sunita pathik")</f>
        <v>Sunita pathik</v>
      </c>
      <c r="H1998" s="24">
        <f>IFERROR(__xludf.DUMMYFUNCTION("""COMPUTED_VALUE"""),138.0)</f>
        <v>138</v>
      </c>
      <c r="I1998" s="24" t="str">
        <f>IFERROR(__xludf.DUMMYFUNCTION("""COMPUTED_VALUE"""),"Assorted Fridge")</f>
        <v>Assorted Fridge</v>
      </c>
    </row>
    <row r="1999">
      <c r="A1999" s="23">
        <f>IFERROR(__xludf.DUMMYFUNCTION("""COMPUTED_VALUE"""),44869.70164925926)</f>
        <v>44869.70165</v>
      </c>
      <c r="B1999" s="24" t="str">
        <f>IFERROR(__xludf.DUMMYFUNCTION("""COMPUTED_VALUE"""),"Sunita pathik ")</f>
        <v>Sunita pathik </v>
      </c>
      <c r="C1999" s="24">
        <f>IFERROR(__xludf.DUMMYFUNCTION("""COMPUTED_VALUE"""),153.0)</f>
        <v>153</v>
      </c>
      <c r="D1999" s="24" t="str">
        <f>IFERROR(__xludf.DUMMYFUNCTION("""COMPUTED_VALUE"""),"Assorted Fridge")</f>
        <v>Assorted Fridge</v>
      </c>
      <c r="F1999" s="23">
        <f>IFERROR(__xludf.DUMMYFUNCTION("""COMPUTED_VALUE"""),44813.69923136574)</f>
        <v>44813.69923</v>
      </c>
      <c r="G1999" s="24" t="str">
        <f>IFERROR(__xludf.DUMMYFUNCTION("""COMPUTED_VALUE"""),"Beth Torres")</f>
        <v>Beth Torres</v>
      </c>
      <c r="H1999" s="24">
        <f>IFERROR(__xludf.DUMMYFUNCTION("""COMPUTED_VALUE"""),20.0)</f>
        <v>20</v>
      </c>
      <c r="I1999" s="24"/>
    </row>
    <row r="2000">
      <c r="A2000" s="23">
        <f>IFERROR(__xludf.DUMMYFUNCTION("""COMPUTED_VALUE"""),44870.652747569446)</f>
        <v>44870.65275</v>
      </c>
      <c r="B2000" s="24" t="str">
        <f>IFERROR(__xludf.DUMMYFUNCTION("""COMPUTED_VALUE"""),"Curbside ")</f>
        <v>Curbside </v>
      </c>
      <c r="C2000" s="24">
        <f>IFERROR(__xludf.DUMMYFUNCTION("""COMPUTED_VALUE"""),1051.0)</f>
        <v>1051</v>
      </c>
      <c r="D2000" s="24" t="str">
        <f>IFERROR(__xludf.DUMMYFUNCTION("""COMPUTED_VALUE"""),"Produce")</f>
        <v>Produce</v>
      </c>
      <c r="F2000" s="23">
        <f>IFERROR(__xludf.DUMMYFUNCTION("""COMPUTED_VALUE"""),44813.699413518516)</f>
        <v>44813.69941</v>
      </c>
      <c r="G2000" s="24" t="str">
        <f>IFERROR(__xludf.DUMMYFUNCTION("""COMPUTED_VALUE"""),"Beth Torres")</f>
        <v>Beth Torres</v>
      </c>
      <c r="H2000" s="24">
        <f>IFERROR(__xludf.DUMMYFUNCTION("""COMPUTED_VALUE"""),18.0)</f>
        <v>18</v>
      </c>
      <c r="I2000" s="24"/>
    </row>
    <row r="2001">
      <c r="A2001" s="23">
        <f>IFERROR(__xludf.DUMMYFUNCTION("""COMPUTED_VALUE"""),44870.6532254051)</f>
        <v>44870.65323</v>
      </c>
      <c r="B2001" s="24" t="str">
        <f>IFERROR(__xludf.DUMMYFUNCTION("""COMPUTED_VALUE"""),"Curbside ")</f>
        <v>Curbside </v>
      </c>
      <c r="C2001" s="24">
        <f>IFERROR(__xludf.DUMMYFUNCTION("""COMPUTED_VALUE"""),76.0)</f>
        <v>76</v>
      </c>
      <c r="D2001" s="24" t="str">
        <f>IFERROR(__xludf.DUMMYFUNCTION("""COMPUTED_VALUE"""),"Household")</f>
        <v>Household</v>
      </c>
      <c r="F2001" s="23">
        <f>IFERROR(__xludf.DUMMYFUNCTION("""COMPUTED_VALUE"""),44814.0)</f>
        <v>44814</v>
      </c>
      <c r="G2001" s="24" t="str">
        <f>IFERROR(__xludf.DUMMYFUNCTION("""COMPUTED_VALUE"""),"Denise Wilkins")</f>
        <v>Denise Wilkins</v>
      </c>
      <c r="H2001" s="24">
        <f>IFERROR(__xludf.DUMMYFUNCTION("""COMPUTED_VALUE"""),9.0)</f>
        <v>9</v>
      </c>
      <c r="I2001" s="24"/>
    </row>
    <row r="2002">
      <c r="A2002" s="23">
        <f>IFERROR(__xludf.DUMMYFUNCTION("""COMPUTED_VALUE"""),44870.65364163194)</f>
        <v>44870.65364</v>
      </c>
      <c r="B2002" s="24" t="str">
        <f>IFERROR(__xludf.DUMMYFUNCTION("""COMPUTED_VALUE"""),"Curbside ")</f>
        <v>Curbside </v>
      </c>
      <c r="C2002" s="24">
        <f>IFERROR(__xludf.DUMMYFUNCTION("""COMPUTED_VALUE"""),1052.0)</f>
        <v>1052</v>
      </c>
      <c r="D2002" s="24" t="str">
        <f>IFERROR(__xludf.DUMMYFUNCTION("""COMPUTED_VALUE"""),"Fruit cups")</f>
        <v>Fruit cups</v>
      </c>
      <c r="F2002" s="23">
        <f>IFERROR(__xludf.DUMMYFUNCTION("""COMPUTED_VALUE"""),44814.0)</f>
        <v>44814</v>
      </c>
      <c r="G2002" s="24" t="str">
        <f>IFERROR(__xludf.DUMMYFUNCTION("""COMPUTED_VALUE"""),"Dean Chien")</f>
        <v>Dean Chien</v>
      </c>
      <c r="H2002" s="24">
        <f>IFERROR(__xludf.DUMMYFUNCTION("""COMPUTED_VALUE"""),19.0)</f>
        <v>19</v>
      </c>
      <c r="I2002" s="24"/>
    </row>
    <row r="2003">
      <c r="A2003" s="23">
        <f>IFERROR(__xludf.DUMMYFUNCTION("""COMPUTED_VALUE"""),44870.65401236111)</f>
        <v>44870.65401</v>
      </c>
      <c r="B2003" s="24" t="str">
        <f>IFERROR(__xludf.DUMMYFUNCTION("""COMPUTED_VALUE"""),"Curbside ")</f>
        <v>Curbside </v>
      </c>
      <c r="C2003" s="24">
        <f>IFERROR(__xludf.DUMMYFUNCTION("""COMPUTED_VALUE"""),166.0)</f>
        <v>166</v>
      </c>
      <c r="D2003" s="24" t="str">
        <f>IFERROR(__xludf.DUMMYFUNCTION("""COMPUTED_VALUE"""),"Snacks")</f>
        <v>Snacks</v>
      </c>
      <c r="F2003" s="23">
        <f>IFERROR(__xludf.DUMMYFUNCTION("""COMPUTED_VALUE"""),44814.0)</f>
        <v>44814</v>
      </c>
      <c r="G2003" s="24" t="str">
        <f>IFERROR(__xludf.DUMMYFUNCTION("""COMPUTED_VALUE"""),"Dean Chien")</f>
        <v>Dean Chien</v>
      </c>
      <c r="H2003" s="24">
        <f>IFERROR(__xludf.DUMMYFUNCTION("""COMPUTED_VALUE"""),1.0)</f>
        <v>1</v>
      </c>
      <c r="I2003" s="24"/>
    </row>
    <row r="2004">
      <c r="A2004" s="23">
        <f>IFERROR(__xludf.DUMMYFUNCTION("""COMPUTED_VALUE"""),44870.656340023146)</f>
        <v>44870.65634</v>
      </c>
      <c r="B2004" s="24" t="str">
        <f>IFERROR(__xludf.DUMMYFUNCTION("""COMPUTED_VALUE"""),"Beverly Pinn")</f>
        <v>Beverly Pinn</v>
      </c>
      <c r="C2004" s="24">
        <f>IFERROR(__xludf.DUMMYFUNCTION("""COMPUTED_VALUE"""),1140.0)</f>
        <v>1140</v>
      </c>
      <c r="D2004" s="24" t="str">
        <f>IFERROR(__xludf.DUMMYFUNCTION("""COMPUTED_VALUE"""),"Fruit cups")</f>
        <v>Fruit cups</v>
      </c>
      <c r="F2004" s="23">
        <f>IFERROR(__xludf.DUMMYFUNCTION("""COMPUTED_VALUE"""),44814.0)</f>
        <v>44814</v>
      </c>
      <c r="G2004" s="24" t="str">
        <f>IFERROR(__xludf.DUMMYFUNCTION("""COMPUTED_VALUE"""),"Nathan So")</f>
        <v>Nathan So</v>
      </c>
      <c r="H2004" s="24">
        <f>IFERROR(__xludf.DUMMYFUNCTION("""COMPUTED_VALUE"""),18.0)</f>
        <v>18</v>
      </c>
      <c r="I2004" s="24"/>
    </row>
    <row r="2005">
      <c r="A2005" s="23">
        <f>IFERROR(__xludf.DUMMYFUNCTION("""COMPUTED_VALUE"""),44870.65672424768)</f>
        <v>44870.65672</v>
      </c>
      <c r="B2005" s="24" t="str">
        <f>IFERROR(__xludf.DUMMYFUNCTION("""COMPUTED_VALUE"""),"Beverly Pinn")</f>
        <v>Beverly Pinn</v>
      </c>
      <c r="C2005" s="24">
        <f>IFERROR(__xludf.DUMMYFUNCTION("""COMPUTED_VALUE"""),106.0)</f>
        <v>106</v>
      </c>
      <c r="D2005" s="24" t="str">
        <f>IFERROR(__xludf.DUMMYFUNCTION("""COMPUTED_VALUE"""),"Snacks")</f>
        <v>Snacks</v>
      </c>
      <c r="F2005" s="23">
        <f>IFERROR(__xludf.DUMMYFUNCTION("""COMPUTED_VALUE"""),44814.0)</f>
        <v>44814</v>
      </c>
      <c r="G2005" s="24" t="str">
        <f>IFERROR(__xludf.DUMMYFUNCTION("""COMPUTED_VALUE"""),"Alana Thomas")</f>
        <v>Alana Thomas</v>
      </c>
      <c r="H2005" s="24">
        <f>IFERROR(__xludf.DUMMYFUNCTION("""COMPUTED_VALUE"""),20.0)</f>
        <v>20</v>
      </c>
      <c r="I2005" s="24"/>
    </row>
    <row r="2006">
      <c r="A2006" s="23">
        <f>IFERROR(__xludf.DUMMYFUNCTION("""COMPUTED_VALUE"""),44870.6571152199)</f>
        <v>44870.65712</v>
      </c>
      <c r="B2006" s="24" t="str">
        <f>IFERROR(__xludf.DUMMYFUNCTION("""COMPUTED_VALUE"""),"Beverly Pinn")</f>
        <v>Beverly Pinn</v>
      </c>
      <c r="C2006" s="24">
        <f>IFERROR(__xludf.DUMMYFUNCTION("""COMPUTED_VALUE"""),330.0)</f>
        <v>330</v>
      </c>
      <c r="D2006" s="24" t="str">
        <f>IFERROR(__xludf.DUMMYFUNCTION("""COMPUTED_VALUE"""),"Produce")</f>
        <v>Produce</v>
      </c>
      <c r="F2006" s="23">
        <f>IFERROR(__xludf.DUMMYFUNCTION("""COMPUTED_VALUE"""),44814.0)</f>
        <v>44814</v>
      </c>
      <c r="G2006" s="24" t="str">
        <f>IFERROR(__xludf.DUMMYFUNCTION("""COMPUTED_VALUE"""),"Juanita Chandler")</f>
        <v>Juanita Chandler</v>
      </c>
      <c r="H2006" s="24">
        <f>IFERROR(__xludf.DUMMYFUNCTION("""COMPUTED_VALUE"""),6.0)</f>
        <v>6</v>
      </c>
      <c r="I2006" s="24"/>
    </row>
    <row r="2007">
      <c r="A2007" s="23">
        <f>IFERROR(__xludf.DUMMYFUNCTION("""COMPUTED_VALUE"""),44870.65759074074)</f>
        <v>44870.65759</v>
      </c>
      <c r="B2007" s="24" t="str">
        <f>IFERROR(__xludf.DUMMYFUNCTION("""COMPUTED_VALUE"""),"Beverly Pinn")</f>
        <v>Beverly Pinn</v>
      </c>
      <c r="C2007" s="24">
        <f>IFERROR(__xludf.DUMMYFUNCTION("""COMPUTED_VALUE"""),154.0)</f>
        <v>154</v>
      </c>
      <c r="D2007" s="24" t="str">
        <f>IFERROR(__xludf.DUMMYFUNCTION("""COMPUTED_VALUE"""),"Water bottles")</f>
        <v>Water bottles</v>
      </c>
      <c r="F2007" s="23">
        <f>IFERROR(__xludf.DUMMYFUNCTION("""COMPUTED_VALUE"""),44814.0)</f>
        <v>44814</v>
      </c>
      <c r="G2007" s="24" t="str">
        <f>IFERROR(__xludf.DUMMYFUNCTION("""COMPUTED_VALUE"""),"Juanita Chandler")</f>
        <v>Juanita Chandler</v>
      </c>
      <c r="H2007" s="24">
        <f>IFERROR(__xludf.DUMMYFUNCTION("""COMPUTED_VALUE"""),8.0)</f>
        <v>8</v>
      </c>
      <c r="I2007" s="24"/>
    </row>
    <row r="2008">
      <c r="A2008" s="23">
        <f>IFERROR(__xludf.DUMMYFUNCTION("""COMPUTED_VALUE"""),44870.65801717593)</f>
        <v>44870.65802</v>
      </c>
      <c r="B2008" s="24" t="str">
        <f>IFERROR(__xludf.DUMMYFUNCTION("""COMPUTED_VALUE"""),"Beverly Pinn")</f>
        <v>Beverly Pinn</v>
      </c>
      <c r="C2008" s="24">
        <f>IFERROR(__xludf.DUMMYFUNCTION("""COMPUTED_VALUE"""),473.0)</f>
        <v>473</v>
      </c>
      <c r="D2008" s="24" t="str">
        <f>IFERROR(__xludf.DUMMYFUNCTION("""COMPUTED_VALUE"""),"Produce")</f>
        <v>Produce</v>
      </c>
      <c r="F2008" s="23">
        <f>IFERROR(__xludf.DUMMYFUNCTION("""COMPUTED_VALUE"""),44814.0)</f>
        <v>44814</v>
      </c>
      <c r="G2008" s="24" t="str">
        <f>IFERROR(__xludf.DUMMYFUNCTION("""COMPUTED_VALUE"""),"Cheryl Utsey")</f>
        <v>Cheryl Utsey</v>
      </c>
      <c r="H2008" s="24">
        <f>IFERROR(__xludf.DUMMYFUNCTION("""COMPUTED_VALUE"""),20.0)</f>
        <v>20</v>
      </c>
      <c r="I2008" s="24"/>
    </row>
    <row r="2009">
      <c r="A2009" s="23">
        <f>IFERROR(__xludf.DUMMYFUNCTION("""COMPUTED_VALUE"""),44870.65839752315)</f>
        <v>44870.6584</v>
      </c>
      <c r="B2009" s="24" t="str">
        <f>IFERROR(__xludf.DUMMYFUNCTION("""COMPUTED_VALUE"""),"Beverly Pinn")</f>
        <v>Beverly Pinn</v>
      </c>
      <c r="C2009" s="24">
        <f>IFERROR(__xludf.DUMMYFUNCTION("""COMPUTED_VALUE"""),402.0)</f>
        <v>402</v>
      </c>
      <c r="D2009" s="24" t="str">
        <f>IFERROR(__xludf.DUMMYFUNCTION("""COMPUTED_VALUE"""),"Produce")</f>
        <v>Produce</v>
      </c>
      <c r="F2009" s="23">
        <f>IFERROR(__xludf.DUMMYFUNCTION("""COMPUTED_VALUE"""),44814.0)</f>
        <v>44814</v>
      </c>
      <c r="G2009" s="24" t="str">
        <f>IFERROR(__xludf.DUMMYFUNCTION("""COMPUTED_VALUE"""),"Gabriela Cortez")</f>
        <v>Gabriela Cortez</v>
      </c>
      <c r="H2009" s="24">
        <f>IFERROR(__xludf.DUMMYFUNCTION("""COMPUTED_VALUE"""),20.0)</f>
        <v>20</v>
      </c>
      <c r="I2009" s="24"/>
    </row>
    <row r="2010">
      <c r="A2010" s="23">
        <f>IFERROR(__xludf.DUMMYFUNCTION("""COMPUTED_VALUE"""),44870.65884019676)</f>
        <v>44870.65884</v>
      </c>
      <c r="B2010" s="24" t="str">
        <f>IFERROR(__xludf.DUMMYFUNCTION("""COMPUTED_VALUE"""),"Beverly Pinn")</f>
        <v>Beverly Pinn</v>
      </c>
      <c r="C2010" s="24">
        <f>IFERROR(__xludf.DUMMYFUNCTION("""COMPUTED_VALUE"""),383.0)</f>
        <v>383</v>
      </c>
      <c r="D2010" s="24" t="str">
        <f>IFERROR(__xludf.DUMMYFUNCTION("""COMPUTED_VALUE"""),"Personal Care")</f>
        <v>Personal Care</v>
      </c>
      <c r="F2010" s="23">
        <f>IFERROR(__xludf.DUMMYFUNCTION("""COMPUTED_VALUE"""),44814.0)</f>
        <v>44814</v>
      </c>
      <c r="G2010" s="24" t="str">
        <f>IFERROR(__xludf.DUMMYFUNCTION("""COMPUTED_VALUE"""),"Gilda")</f>
        <v>Gilda</v>
      </c>
      <c r="H2010" s="24">
        <f>IFERROR(__xludf.DUMMYFUNCTION("""COMPUTED_VALUE"""),12.0)</f>
        <v>12</v>
      </c>
      <c r="I2010" s="24"/>
    </row>
    <row r="2011">
      <c r="A2011" s="23">
        <f>IFERROR(__xludf.DUMMYFUNCTION("""COMPUTED_VALUE"""),44870.659195196764)</f>
        <v>44870.6592</v>
      </c>
      <c r="B2011" s="24" t="str">
        <f>IFERROR(__xludf.DUMMYFUNCTION("""COMPUTED_VALUE"""),"Beverly Pinn")</f>
        <v>Beverly Pinn</v>
      </c>
      <c r="C2011" s="24">
        <f>IFERROR(__xludf.DUMMYFUNCTION("""COMPUTED_VALUE"""),414.0)</f>
        <v>414</v>
      </c>
      <c r="D2011" s="24" t="str">
        <f>IFERROR(__xludf.DUMMYFUNCTION("""COMPUTED_VALUE"""),"Produce")</f>
        <v>Produce</v>
      </c>
      <c r="F2011" s="23">
        <f>IFERROR(__xludf.DUMMYFUNCTION("""COMPUTED_VALUE"""),44814.0)</f>
        <v>44814</v>
      </c>
      <c r="G2011" s="24" t="str">
        <f>IFERROR(__xludf.DUMMYFUNCTION("""COMPUTED_VALUE"""),"Angeles Cortes")</f>
        <v>Angeles Cortes</v>
      </c>
      <c r="H2011" s="24">
        <f>IFERROR(__xludf.DUMMYFUNCTION("""COMPUTED_VALUE"""),3.0)</f>
        <v>3</v>
      </c>
      <c r="I2011" s="24"/>
    </row>
    <row r="2012">
      <c r="A2012" s="23">
        <f>IFERROR(__xludf.DUMMYFUNCTION("""COMPUTED_VALUE"""),44870.660167152775)</f>
        <v>44870.66017</v>
      </c>
      <c r="B2012" s="24" t="str">
        <f>IFERROR(__xludf.DUMMYFUNCTION("""COMPUTED_VALUE"""),"Beverly Pinn")</f>
        <v>Beverly Pinn</v>
      </c>
      <c r="C2012" s="24">
        <f>IFERROR(__xludf.DUMMYFUNCTION("""COMPUTED_VALUE"""),205.0)</f>
        <v>205</v>
      </c>
      <c r="D2012" s="24" t="str">
        <f>IFERROR(__xludf.DUMMYFUNCTION("""COMPUTED_VALUE"""),"Produce")</f>
        <v>Produce</v>
      </c>
      <c r="F2012" s="23">
        <f>IFERROR(__xludf.DUMMYFUNCTION("""COMPUTED_VALUE"""),44814.0)</f>
        <v>44814</v>
      </c>
      <c r="G2012" s="24" t="str">
        <f>IFERROR(__xludf.DUMMYFUNCTION("""COMPUTED_VALUE"""),"Obi Nwokoro")</f>
        <v>Obi Nwokoro</v>
      </c>
      <c r="H2012" s="24">
        <f>IFERROR(__xludf.DUMMYFUNCTION("""COMPUTED_VALUE"""),9.0)</f>
        <v>9</v>
      </c>
      <c r="I2012" s="24"/>
    </row>
    <row r="2013">
      <c r="A2013" s="23">
        <f>IFERROR(__xludf.DUMMYFUNCTION("""COMPUTED_VALUE"""),44870.66054917824)</f>
        <v>44870.66055</v>
      </c>
      <c r="B2013" s="24" t="str">
        <f>IFERROR(__xludf.DUMMYFUNCTION("""COMPUTED_VALUE"""),"Beverly Pinn")</f>
        <v>Beverly Pinn</v>
      </c>
      <c r="C2013" s="24">
        <f>IFERROR(__xludf.DUMMYFUNCTION("""COMPUTED_VALUE"""),496.0)</f>
        <v>496</v>
      </c>
      <c r="D2013" s="24" t="str">
        <f>IFERROR(__xludf.DUMMYFUNCTION("""COMPUTED_VALUE"""),"Produce")</f>
        <v>Produce</v>
      </c>
      <c r="F2013" s="23">
        <f>IFERROR(__xludf.DUMMYFUNCTION("""COMPUTED_VALUE"""),44814.0)</f>
        <v>44814</v>
      </c>
      <c r="G2013" s="24" t="str">
        <f>IFERROR(__xludf.DUMMYFUNCTION("""COMPUTED_VALUE"""),"Ajeñee Williams ")</f>
        <v>Ajeñee Williams </v>
      </c>
      <c r="H2013" s="24">
        <f>IFERROR(__xludf.DUMMYFUNCTION("""COMPUTED_VALUE"""),2.0)</f>
        <v>2</v>
      </c>
      <c r="I2013" s="24"/>
    </row>
    <row r="2014">
      <c r="A2014" s="23">
        <f>IFERROR(__xludf.DUMMYFUNCTION("""COMPUTED_VALUE"""),44870.66089878472)</f>
        <v>44870.6609</v>
      </c>
      <c r="B2014" s="24" t="str">
        <f>IFERROR(__xludf.DUMMYFUNCTION("""COMPUTED_VALUE"""),"Beverly Pinn")</f>
        <v>Beverly Pinn</v>
      </c>
      <c r="C2014" s="24">
        <f>IFERROR(__xludf.DUMMYFUNCTION("""COMPUTED_VALUE"""),386.0)</f>
        <v>386</v>
      </c>
      <c r="D2014" s="24" t="str">
        <f>IFERROR(__xludf.DUMMYFUNCTION("""COMPUTED_VALUE"""),"Produce")</f>
        <v>Produce</v>
      </c>
      <c r="F2014" s="23">
        <f>IFERROR(__xludf.DUMMYFUNCTION("""COMPUTED_VALUE"""),44814.6894515625)</f>
        <v>44814.68945</v>
      </c>
      <c r="G2014" s="24" t="str">
        <f>IFERROR(__xludf.DUMMYFUNCTION("""COMPUTED_VALUE"""),"Claire")</f>
        <v>Claire</v>
      </c>
      <c r="H2014" s="24">
        <f>IFERROR(__xludf.DUMMYFUNCTION("""COMPUTED_VALUE"""),250.0)</f>
        <v>250</v>
      </c>
      <c r="I2014" s="24" t="str">
        <f>IFERROR(__xludf.DUMMYFUNCTION("""COMPUTED_VALUE"""),"Cleaning Supplies")</f>
        <v>Cleaning Supplies</v>
      </c>
    </row>
    <row r="2015">
      <c r="A2015" s="23">
        <f>IFERROR(__xludf.DUMMYFUNCTION("""COMPUTED_VALUE"""),44870.66130905092)</f>
        <v>44870.66131</v>
      </c>
      <c r="B2015" s="24" t="str">
        <f>IFERROR(__xludf.DUMMYFUNCTION("""COMPUTED_VALUE"""),"Beverly Pinn")</f>
        <v>Beverly Pinn</v>
      </c>
      <c r="C2015" s="24">
        <f>IFERROR(__xludf.DUMMYFUNCTION("""COMPUTED_VALUE"""),1446.0)</f>
        <v>1446</v>
      </c>
      <c r="D2015" s="24" t="str">
        <f>IFERROR(__xludf.DUMMYFUNCTION("""COMPUTED_VALUE"""),"Produce")</f>
        <v>Produce</v>
      </c>
      <c r="F2015" s="23">
        <f>IFERROR(__xludf.DUMMYFUNCTION("""COMPUTED_VALUE"""),44814.69035336805)</f>
        <v>44814.69035</v>
      </c>
      <c r="G2015" s="24" t="str">
        <f>IFERROR(__xludf.DUMMYFUNCTION("""COMPUTED_VALUE"""),"Claire")</f>
        <v>Claire</v>
      </c>
      <c r="H2015" s="24">
        <f>IFERROR(__xludf.DUMMYFUNCTION("""COMPUTED_VALUE"""),61.0)</f>
        <v>61</v>
      </c>
      <c r="I2015" s="24" t="str">
        <f>IFERROR(__xludf.DUMMYFUNCTION("""COMPUTED_VALUE"""),"Meat [Raw]")</f>
        <v>Meat [Raw]</v>
      </c>
    </row>
    <row r="2016">
      <c r="A2016" s="23">
        <f>IFERROR(__xludf.DUMMYFUNCTION("""COMPUTED_VALUE"""),44870.66163445602)</f>
        <v>44870.66163</v>
      </c>
      <c r="B2016" s="24" t="str">
        <f>IFERROR(__xludf.DUMMYFUNCTION("""COMPUTED_VALUE"""),"Beverly Pinn")</f>
        <v>Beverly Pinn</v>
      </c>
      <c r="C2016" s="24">
        <f>IFERROR(__xludf.DUMMYFUNCTION("""COMPUTED_VALUE"""),195.0)</f>
        <v>195</v>
      </c>
      <c r="D2016" s="24" t="str">
        <f>IFERROR(__xludf.DUMMYFUNCTION("""COMPUTED_VALUE"""),"Meat [Raw]")</f>
        <v>Meat [Raw]</v>
      </c>
      <c r="F2016" s="23">
        <f>IFERROR(__xludf.DUMMYFUNCTION("""COMPUTED_VALUE"""),44814.691474571766)</f>
        <v>44814.69147</v>
      </c>
      <c r="G2016" s="24" t="str">
        <f>IFERROR(__xludf.DUMMYFUNCTION("""COMPUTED_VALUE"""),"Claire")</f>
        <v>Claire</v>
      </c>
      <c r="H2016" s="24">
        <f>IFERROR(__xludf.DUMMYFUNCTION("""COMPUTED_VALUE"""),1094.0)</f>
        <v>1094</v>
      </c>
      <c r="I2016" s="24" t="str">
        <f>IFERROR(__xludf.DUMMYFUNCTION("""COMPUTED_VALUE"""),"Drinks [Dry]")</f>
        <v>Drinks [Dry]</v>
      </c>
    </row>
    <row r="2017">
      <c r="A2017" s="23">
        <f>IFERROR(__xludf.DUMMYFUNCTION("""COMPUTED_VALUE"""),44870.662423043985)</f>
        <v>44870.66242</v>
      </c>
      <c r="B2017" s="24" t="str">
        <f>IFERROR(__xludf.DUMMYFUNCTION("""COMPUTED_VALUE"""),"Beverly Pinn")</f>
        <v>Beverly Pinn</v>
      </c>
      <c r="C2017" s="24">
        <f>IFERROR(__xludf.DUMMYFUNCTION("""COMPUTED_VALUE"""),-201.0)</f>
        <v>-201</v>
      </c>
      <c r="D2017" s="24" t="str">
        <f>IFERROR(__xludf.DUMMYFUNCTION("""COMPUTED_VALUE"""),"Assorted Dry")</f>
        <v>Assorted Dry</v>
      </c>
      <c r="F2017" s="23">
        <f>IFERROR(__xludf.DUMMYFUNCTION("""COMPUTED_VALUE"""),44814.691804918984)</f>
        <v>44814.6918</v>
      </c>
      <c r="G2017" s="24" t="str">
        <f>IFERROR(__xludf.DUMMYFUNCTION("""COMPUTED_VALUE"""),"Claire")</f>
        <v>Claire</v>
      </c>
      <c r="H2017" s="24">
        <f>IFERROR(__xludf.DUMMYFUNCTION("""COMPUTED_VALUE"""),154.0)</f>
        <v>154</v>
      </c>
      <c r="I2017" s="24" t="str">
        <f>IFERROR(__xludf.DUMMYFUNCTION("""COMPUTED_VALUE"""),"Drinks [Fridge]")</f>
        <v>Drinks [Fridge]</v>
      </c>
    </row>
    <row r="2018">
      <c r="A2018" s="23">
        <f>IFERROR(__xludf.DUMMYFUNCTION("""COMPUTED_VALUE"""),44870.662813090275)</f>
        <v>44870.66281</v>
      </c>
      <c r="B2018" s="24" t="str">
        <f>IFERROR(__xludf.DUMMYFUNCTION("""COMPUTED_VALUE"""),"Beverly Pinn")</f>
        <v>Beverly Pinn</v>
      </c>
      <c r="C2018" s="24">
        <f>IFERROR(__xludf.DUMMYFUNCTION("""COMPUTED_VALUE"""),-516.0)</f>
        <v>-516</v>
      </c>
      <c r="D2018" s="24" t="str">
        <f>IFERROR(__xludf.DUMMYFUNCTION("""COMPUTED_VALUE"""),"Fruit cups")</f>
        <v>Fruit cups</v>
      </c>
      <c r="F2018" s="23">
        <f>IFERROR(__xludf.DUMMYFUNCTION("""COMPUTED_VALUE"""),44814.69199883102)</f>
        <v>44814.692</v>
      </c>
      <c r="G2018" s="24" t="str">
        <f>IFERROR(__xludf.DUMMYFUNCTION("""COMPUTED_VALUE"""),"Claire")</f>
        <v>Claire</v>
      </c>
      <c r="H2018" s="24">
        <f>IFERROR(__xludf.DUMMYFUNCTION("""COMPUTED_VALUE"""),-177.0)</f>
        <v>-177</v>
      </c>
      <c r="I2018" s="24" t="str">
        <f>IFERROR(__xludf.DUMMYFUNCTION("""COMPUTED_VALUE"""),"Drinks [Fridge]")</f>
        <v>Drinks [Fridge]</v>
      </c>
    </row>
    <row r="2019">
      <c r="A2019" s="23">
        <f>IFERROR(__xludf.DUMMYFUNCTION("""COMPUTED_VALUE"""),44870.66320164352)</f>
        <v>44870.6632</v>
      </c>
      <c r="B2019" s="24" t="str">
        <f>IFERROR(__xludf.DUMMYFUNCTION("""COMPUTED_VALUE"""),"Beverly Pinn")</f>
        <v>Beverly Pinn</v>
      </c>
      <c r="C2019" s="24">
        <f>IFERROR(__xludf.DUMMYFUNCTION("""COMPUTED_VALUE"""),-567.0)</f>
        <v>-567</v>
      </c>
      <c r="D2019" s="24" t="str">
        <f>IFERROR(__xludf.DUMMYFUNCTION("""COMPUTED_VALUE"""),"Produce")</f>
        <v>Produce</v>
      </c>
      <c r="F2019" s="23">
        <f>IFERROR(__xludf.DUMMYFUNCTION("""COMPUTED_VALUE"""),44814.69222403935)</f>
        <v>44814.69222</v>
      </c>
      <c r="G2019" s="24" t="str">
        <f>IFERROR(__xludf.DUMMYFUNCTION("""COMPUTED_VALUE"""),"Claire")</f>
        <v>Claire</v>
      </c>
      <c r="H2019" s="24">
        <f>IFERROR(__xludf.DUMMYFUNCTION("""COMPUTED_VALUE"""),-1026.0)</f>
        <v>-1026</v>
      </c>
      <c r="I2019" s="24" t="str">
        <f>IFERROR(__xludf.DUMMYFUNCTION("""COMPUTED_VALUE"""),"Produce")</f>
        <v>Produce</v>
      </c>
    </row>
    <row r="2020">
      <c r="A2020" s="23">
        <f>IFERROR(__xludf.DUMMYFUNCTION("""COMPUTED_VALUE"""),44870.66353384259)</f>
        <v>44870.66353</v>
      </c>
      <c r="B2020" s="24" t="str">
        <f>IFERROR(__xludf.DUMMYFUNCTION("""COMPUTED_VALUE"""),"Beverly Pinn")</f>
        <v>Beverly Pinn</v>
      </c>
      <c r="C2020" s="24">
        <f>IFERROR(__xludf.DUMMYFUNCTION("""COMPUTED_VALUE"""),-363.0)</f>
        <v>-363</v>
      </c>
      <c r="D2020" s="24" t="str">
        <f>IFERROR(__xludf.DUMMYFUNCTION("""COMPUTED_VALUE"""),"Assorted Dry")</f>
        <v>Assorted Dry</v>
      </c>
      <c r="F2020" s="23">
        <f>IFERROR(__xludf.DUMMYFUNCTION("""COMPUTED_VALUE"""),44814.69242118055)</f>
        <v>44814.69242</v>
      </c>
      <c r="G2020" s="24" t="str">
        <f>IFERROR(__xludf.DUMMYFUNCTION("""COMPUTED_VALUE"""),"Claire")</f>
        <v>Claire</v>
      </c>
      <c r="H2020" s="24">
        <f>IFERROR(__xludf.DUMMYFUNCTION("""COMPUTED_VALUE"""),-225.0)</f>
        <v>-225</v>
      </c>
      <c r="I2020" s="24" t="str">
        <f>IFERROR(__xludf.DUMMYFUNCTION("""COMPUTED_VALUE"""),"Snacks")</f>
        <v>Snacks</v>
      </c>
    </row>
    <row r="2021">
      <c r="A2021" s="23">
        <f>IFERROR(__xludf.DUMMYFUNCTION("""COMPUTED_VALUE"""),44870.66406763889)</f>
        <v>44870.66407</v>
      </c>
      <c r="B2021" s="24" t="str">
        <f>IFERROR(__xludf.DUMMYFUNCTION("""COMPUTED_VALUE"""),"Beverly Pinn")</f>
        <v>Beverly Pinn</v>
      </c>
      <c r="C2021" s="24">
        <f>IFERROR(__xludf.DUMMYFUNCTION("""COMPUTED_VALUE"""),-652.0)</f>
        <v>-652</v>
      </c>
      <c r="D2021" s="24" t="str">
        <f>IFERROR(__xludf.DUMMYFUNCTION("""COMPUTED_VALUE"""),"Assorted Dry")</f>
        <v>Assorted Dry</v>
      </c>
      <c r="F2021" s="23">
        <f>IFERROR(__xludf.DUMMYFUNCTION("""COMPUTED_VALUE"""),44814.69262800926)</f>
        <v>44814.69263</v>
      </c>
      <c r="G2021" s="24" t="str">
        <f>IFERROR(__xludf.DUMMYFUNCTION("""COMPUTED_VALUE"""),"Claire")</f>
        <v>Claire</v>
      </c>
      <c r="H2021" s="24">
        <f>IFERROR(__xludf.DUMMYFUNCTION("""COMPUTED_VALUE"""),-271.0)</f>
        <v>-271</v>
      </c>
      <c r="I2021" s="24" t="str">
        <f>IFERROR(__xludf.DUMMYFUNCTION("""COMPUTED_VALUE"""),"Drinks [Dry]")</f>
        <v>Drinks [Dry]</v>
      </c>
    </row>
    <row r="2022">
      <c r="A2022" s="23">
        <f>IFERROR(__xludf.DUMMYFUNCTION("""COMPUTED_VALUE"""),44870.66437230324)</f>
        <v>44870.66437</v>
      </c>
      <c r="B2022" s="24" t="str">
        <f>IFERROR(__xludf.DUMMYFUNCTION("""COMPUTED_VALUE"""),"Beverly Pinn")</f>
        <v>Beverly Pinn</v>
      </c>
      <c r="C2022" s="24">
        <f>IFERROR(__xludf.DUMMYFUNCTION("""COMPUTED_VALUE"""),-198.0)</f>
        <v>-198</v>
      </c>
      <c r="D2022" s="24" t="str">
        <f>IFERROR(__xludf.DUMMYFUNCTION("""COMPUTED_VALUE"""),"Produce")</f>
        <v>Produce</v>
      </c>
      <c r="F2022" s="23">
        <f>IFERROR(__xludf.DUMMYFUNCTION("""COMPUTED_VALUE"""),44814.69306655093)</f>
        <v>44814.69307</v>
      </c>
      <c r="G2022" s="24" t="str">
        <f>IFERROR(__xludf.DUMMYFUNCTION("""COMPUTED_VALUE"""),"Claire")</f>
        <v>Claire</v>
      </c>
      <c r="H2022" s="24">
        <f>IFERROR(__xludf.DUMMYFUNCTION("""COMPUTED_VALUE"""),-248.0)</f>
        <v>-248</v>
      </c>
      <c r="I2022" s="24" t="str">
        <f>IFERROR(__xludf.DUMMYFUNCTION("""COMPUTED_VALUE"""),"Paper Supplies")</f>
        <v>Paper Supplies</v>
      </c>
    </row>
    <row r="2023">
      <c r="A2023" s="23">
        <f>IFERROR(__xludf.DUMMYFUNCTION("""COMPUTED_VALUE"""),44870.667902002315)</f>
        <v>44870.6679</v>
      </c>
      <c r="B2023" s="24" t="str">
        <f>IFERROR(__xludf.DUMMYFUNCTION("""COMPUTED_VALUE"""),"Beverly Pinn")</f>
        <v>Beverly Pinn</v>
      </c>
      <c r="C2023" s="24">
        <f>IFERROR(__xludf.DUMMYFUNCTION("""COMPUTED_VALUE"""),-32.0)</f>
        <v>-32</v>
      </c>
      <c r="D2023" s="24" t="str">
        <f>IFERROR(__xludf.DUMMYFUNCTION("""COMPUTED_VALUE"""),"Assorted Dry")</f>
        <v>Assorted Dry</v>
      </c>
      <c r="F2023" s="23">
        <f>IFERROR(__xludf.DUMMYFUNCTION("""COMPUTED_VALUE"""),44814.69458393518)</f>
        <v>44814.69458</v>
      </c>
      <c r="G2023" s="24" t="str">
        <f>IFERROR(__xludf.DUMMYFUNCTION("""COMPUTED_VALUE"""),"Claire")</f>
        <v>Claire</v>
      </c>
      <c r="H2023" s="24">
        <f>IFERROR(__xludf.DUMMYFUNCTION("""COMPUTED_VALUE"""),200.0)</f>
        <v>200</v>
      </c>
      <c r="I2023" s="24" t="str">
        <f>IFERROR(__xludf.DUMMYFUNCTION("""COMPUTED_VALUE"""),"Snacks")</f>
        <v>Snacks</v>
      </c>
    </row>
    <row r="2024">
      <c r="A2024" s="23">
        <f>IFERROR(__xludf.DUMMYFUNCTION("""COMPUTED_VALUE"""),44871.54092591435)</f>
        <v>44871.54093</v>
      </c>
      <c r="B2024" s="24" t="str">
        <f>IFERROR(__xludf.DUMMYFUNCTION("""COMPUTED_VALUE"""),"Juanita Chandler ")</f>
        <v>Juanita Chandler </v>
      </c>
      <c r="C2024" s="24">
        <f>IFERROR(__xludf.DUMMYFUNCTION("""COMPUTED_VALUE"""),517.0)</f>
        <v>517</v>
      </c>
      <c r="D2024" s="24" t="str">
        <f>IFERROR(__xludf.DUMMYFUNCTION("""COMPUTED_VALUE"""),"Dole fruit cup ")</f>
        <v>Dole fruit cup </v>
      </c>
      <c r="F2024" s="23">
        <f>IFERROR(__xludf.DUMMYFUNCTION("""COMPUTED_VALUE"""),44814.69528893518)</f>
        <v>44814.69529</v>
      </c>
      <c r="G2024" s="24" t="str">
        <f>IFERROR(__xludf.DUMMYFUNCTION("""COMPUTED_VALUE"""),"Claire")</f>
        <v>Claire</v>
      </c>
      <c r="H2024" s="24">
        <f>IFERROR(__xludf.DUMMYFUNCTION("""COMPUTED_VALUE"""),818.0)</f>
        <v>818</v>
      </c>
      <c r="I2024" s="24" t="str">
        <f>IFERROR(__xludf.DUMMYFUNCTION("""COMPUTED_VALUE"""),"Assorted Dry")</f>
        <v>Assorted Dry</v>
      </c>
    </row>
    <row r="2025">
      <c r="A2025" s="23">
        <f>IFERROR(__xludf.DUMMYFUNCTION("""COMPUTED_VALUE"""),44871.54255261574)</f>
        <v>44871.54255</v>
      </c>
      <c r="B2025" s="24" t="str">
        <f>IFERROR(__xludf.DUMMYFUNCTION("""COMPUTED_VALUE"""),"Juanita Chandler ")</f>
        <v>Juanita Chandler </v>
      </c>
      <c r="C2025" s="24">
        <f>IFERROR(__xludf.DUMMYFUNCTION("""COMPUTED_VALUE"""),492.0)</f>
        <v>492</v>
      </c>
      <c r="D2025" s="24" t="str">
        <f>IFERROR(__xludf.DUMMYFUNCTION("""COMPUTED_VALUE"""),"Dole fruit cup ")</f>
        <v>Dole fruit cup </v>
      </c>
      <c r="F2025" s="23">
        <f>IFERROR(__xludf.DUMMYFUNCTION("""COMPUTED_VALUE"""),44814.697449074076)</f>
        <v>44814.69745</v>
      </c>
      <c r="G2025" s="24" t="str">
        <f>IFERROR(__xludf.DUMMYFUNCTION("""COMPUTED_VALUE"""),"Claire")</f>
        <v>Claire</v>
      </c>
      <c r="H2025" s="24">
        <f>IFERROR(__xludf.DUMMYFUNCTION("""COMPUTED_VALUE"""),916.0)</f>
        <v>916</v>
      </c>
      <c r="I2025" s="24" t="str">
        <f>IFERROR(__xludf.DUMMYFUNCTION("""COMPUTED_VALUE"""),"Produce")</f>
        <v>Produce</v>
      </c>
    </row>
    <row r="2026">
      <c r="A2026" s="23">
        <f>IFERROR(__xludf.DUMMYFUNCTION("""COMPUTED_VALUE"""),44871.548091550925)</f>
        <v>44871.54809</v>
      </c>
      <c r="B2026" s="24" t="str">
        <f>IFERROR(__xludf.DUMMYFUNCTION("""COMPUTED_VALUE"""),"Juanita Chandler ")</f>
        <v>Juanita Chandler </v>
      </c>
      <c r="C2026" s="24">
        <f>IFERROR(__xludf.DUMMYFUNCTION("""COMPUTED_VALUE"""),116.0)</f>
        <v>116</v>
      </c>
      <c r="D2026" s="24" t="str">
        <f>IFERROR(__xludf.DUMMYFUNCTION("""COMPUTED_VALUE"""),"Snacks")</f>
        <v>Snacks</v>
      </c>
      <c r="F2026" s="23">
        <f>IFERROR(__xludf.DUMMYFUNCTION("""COMPUTED_VALUE"""),44814.6977400463)</f>
        <v>44814.69774</v>
      </c>
      <c r="G2026" s="24" t="str">
        <f>IFERROR(__xludf.DUMMYFUNCTION("""COMPUTED_VALUE"""),"Claire")</f>
        <v>Claire</v>
      </c>
      <c r="H2026" s="24">
        <f>IFERROR(__xludf.DUMMYFUNCTION("""COMPUTED_VALUE"""),491.0)</f>
        <v>491</v>
      </c>
      <c r="I2026" s="24" t="str">
        <f>IFERROR(__xludf.DUMMYFUNCTION("""COMPUTED_VALUE"""),"Snacks")</f>
        <v>Snacks</v>
      </c>
    </row>
    <row r="2027">
      <c r="A2027" s="23">
        <f>IFERROR(__xludf.DUMMYFUNCTION("""COMPUTED_VALUE"""),44871.54880427083)</f>
        <v>44871.5488</v>
      </c>
      <c r="B2027" s="24" t="str">
        <f>IFERROR(__xludf.DUMMYFUNCTION("""COMPUTED_VALUE"""),"Juanita Chandler ")</f>
        <v>Juanita Chandler </v>
      </c>
      <c r="C2027" s="24">
        <f>IFERROR(__xludf.DUMMYFUNCTION("""COMPUTED_VALUE"""),426.0)</f>
        <v>426</v>
      </c>
      <c r="D2027" s="24" t="str">
        <f>IFERROR(__xludf.DUMMYFUNCTION("""COMPUTED_VALUE"""),"Produce")</f>
        <v>Produce</v>
      </c>
      <c r="F2027" s="23">
        <f>IFERROR(__xludf.DUMMYFUNCTION("""COMPUTED_VALUE"""),44814.6979489699)</f>
        <v>44814.69795</v>
      </c>
      <c r="G2027" s="24" t="str">
        <f>IFERROR(__xludf.DUMMYFUNCTION("""COMPUTED_VALUE"""),"Claire")</f>
        <v>Claire</v>
      </c>
      <c r="H2027" s="24">
        <f>IFERROR(__xludf.DUMMYFUNCTION("""COMPUTED_VALUE"""),75.0)</f>
        <v>75</v>
      </c>
      <c r="I2027" s="24" t="str">
        <f>IFERROR(__xludf.DUMMYFUNCTION("""COMPUTED_VALUE"""),"Snacks")</f>
        <v>Snacks</v>
      </c>
    </row>
    <row r="2028">
      <c r="A2028" s="23">
        <f>IFERROR(__xludf.DUMMYFUNCTION("""COMPUTED_VALUE"""),44871.549603506945)</f>
        <v>44871.5496</v>
      </c>
      <c r="B2028" s="24" t="str">
        <f>IFERROR(__xludf.DUMMYFUNCTION("""COMPUTED_VALUE"""),"Juanita Chandler ")</f>
        <v>Juanita Chandler </v>
      </c>
      <c r="C2028" s="24">
        <f>IFERROR(__xludf.DUMMYFUNCTION("""COMPUTED_VALUE"""),440.0)</f>
        <v>440</v>
      </c>
      <c r="D2028" s="24" t="str">
        <f>IFERROR(__xludf.DUMMYFUNCTION("""COMPUTED_VALUE"""),"Frozen [Not Meat]")</f>
        <v>Frozen [Not Meat]</v>
      </c>
      <c r="F2028" s="23">
        <f>IFERROR(__xludf.DUMMYFUNCTION("""COMPUTED_VALUE"""),44814.6992030324)</f>
        <v>44814.6992</v>
      </c>
      <c r="G2028" s="24" t="str">
        <f>IFERROR(__xludf.DUMMYFUNCTION("""COMPUTED_VALUE"""),"Claire")</f>
        <v>Claire</v>
      </c>
      <c r="H2028" s="24">
        <f>IFERROR(__xludf.DUMMYFUNCTION("""COMPUTED_VALUE"""),552.0)</f>
        <v>552</v>
      </c>
      <c r="I2028" s="24" t="str">
        <f>IFERROR(__xludf.DUMMYFUNCTION("""COMPUTED_VALUE"""),"Drinks [Fridge]")</f>
        <v>Drinks [Fridge]</v>
      </c>
    </row>
    <row r="2029">
      <c r="A2029" s="23">
        <f>IFERROR(__xludf.DUMMYFUNCTION("""COMPUTED_VALUE"""),44871.62226099537)</f>
        <v>44871.62226</v>
      </c>
      <c r="B2029" s="24" t="str">
        <f>IFERROR(__xludf.DUMMYFUNCTION("""COMPUTED_VALUE"""),"Opeyemi Faleye ")</f>
        <v>Opeyemi Faleye </v>
      </c>
      <c r="C2029" s="24">
        <f>IFERROR(__xludf.DUMMYFUNCTION("""COMPUTED_VALUE"""),1163.0)</f>
        <v>1163</v>
      </c>
      <c r="D2029" s="24" t="str">
        <f>IFERROR(__xludf.DUMMYFUNCTION("""COMPUTED_VALUE"""),"Assorted Dry")</f>
        <v>Assorted Dry</v>
      </c>
      <c r="F2029" s="23">
        <f>IFERROR(__xludf.DUMMYFUNCTION("""COMPUTED_VALUE"""),44814.69932217593)</f>
        <v>44814.69932</v>
      </c>
      <c r="G2029" s="24" t="str">
        <f>IFERROR(__xludf.DUMMYFUNCTION("""COMPUTED_VALUE"""),"Gilda")</f>
        <v>Gilda</v>
      </c>
      <c r="H2029" s="24">
        <f>IFERROR(__xludf.DUMMYFUNCTION("""COMPUTED_VALUE"""),12.0)</f>
        <v>12</v>
      </c>
      <c r="I2029" s="24"/>
    </row>
    <row r="2030">
      <c r="A2030" s="23">
        <f>IFERROR(__xludf.DUMMYFUNCTION("""COMPUTED_VALUE"""),44871.67748297453)</f>
        <v>44871.67748</v>
      </c>
      <c r="B2030" s="24" t="str">
        <f>IFERROR(__xludf.DUMMYFUNCTION("""COMPUTED_VALUE"""),"Lynnette ")</f>
        <v>Lynnette </v>
      </c>
      <c r="C2030" s="24">
        <f>IFERROR(__xludf.DUMMYFUNCTION("""COMPUTED_VALUE"""),31.0)</f>
        <v>31</v>
      </c>
      <c r="D2030" s="24" t="str">
        <f>IFERROR(__xludf.DUMMYFUNCTION("""COMPUTED_VALUE"""),"Assorted ")</f>
        <v>Assorted </v>
      </c>
      <c r="F2030" s="23">
        <f>IFERROR(__xludf.DUMMYFUNCTION("""COMPUTED_VALUE"""),44814.69971166666)</f>
        <v>44814.69971</v>
      </c>
      <c r="G2030" s="24" t="str">
        <f>IFERROR(__xludf.DUMMYFUNCTION("""COMPUTED_VALUE"""),"Claire")</f>
        <v>Claire</v>
      </c>
      <c r="H2030" s="24">
        <f>IFERROR(__xludf.DUMMYFUNCTION("""COMPUTED_VALUE"""),602.0)</f>
        <v>602</v>
      </c>
      <c r="I2030" s="24" t="str">
        <f>IFERROR(__xludf.DUMMYFUNCTION("""COMPUTED_VALUE"""),"Drinks [Dry]")</f>
        <v>Drinks [Dry]</v>
      </c>
    </row>
    <row r="2031">
      <c r="A2031" s="23">
        <f>IFERROR(__xludf.DUMMYFUNCTION("""COMPUTED_VALUE"""),44874.64651)</f>
        <v>44874.64651</v>
      </c>
      <c r="B2031" s="24" t="str">
        <f>IFERROR(__xludf.DUMMYFUNCTION("""COMPUTED_VALUE"""),"Juanita Chandler ")</f>
        <v>Juanita Chandler </v>
      </c>
      <c r="C2031" s="24">
        <f>IFERROR(__xludf.DUMMYFUNCTION("""COMPUTED_VALUE"""),806.0)</f>
        <v>806</v>
      </c>
      <c r="D2031" s="24" t="str">
        <f>IFERROR(__xludf.DUMMYFUNCTION("""COMPUTED_VALUE"""),"Produce")</f>
        <v>Produce</v>
      </c>
      <c r="F2031" s="23">
        <f>IFERROR(__xludf.DUMMYFUNCTION("""COMPUTED_VALUE"""),44814.69971243055)</f>
        <v>44814.69971</v>
      </c>
      <c r="G2031" s="24" t="str">
        <f>IFERROR(__xludf.DUMMYFUNCTION("""COMPUTED_VALUE"""),"Adeola Sulaiman")</f>
        <v>Adeola Sulaiman</v>
      </c>
      <c r="H2031" s="24">
        <f>IFERROR(__xludf.DUMMYFUNCTION("""COMPUTED_VALUE"""),20.0)</f>
        <v>20</v>
      </c>
      <c r="I2031" s="24"/>
    </row>
    <row r="2032">
      <c r="A2032" s="23">
        <f>IFERROR(__xludf.DUMMYFUNCTION("""COMPUTED_VALUE"""),44874.64720707176)</f>
        <v>44874.64721</v>
      </c>
      <c r="B2032" s="24" t="str">
        <f>IFERROR(__xludf.DUMMYFUNCTION("""COMPUTED_VALUE"""),"Juanita Chandler ")</f>
        <v>Juanita Chandler </v>
      </c>
      <c r="C2032" s="24">
        <f>IFERROR(__xludf.DUMMYFUNCTION("""COMPUTED_VALUE"""),1465.0)</f>
        <v>1465</v>
      </c>
      <c r="D2032" s="24" t="str">
        <f>IFERROR(__xludf.DUMMYFUNCTION("""COMPUTED_VALUE"""),"Produce")</f>
        <v>Produce</v>
      </c>
      <c r="F2032" s="23">
        <f>IFERROR(__xludf.DUMMYFUNCTION("""COMPUTED_VALUE"""),44814.69986840278)</f>
        <v>44814.69987</v>
      </c>
      <c r="G2032" s="24" t="str">
        <f>IFERROR(__xludf.DUMMYFUNCTION("""COMPUTED_VALUE"""),"Adeola Sulaiman")</f>
        <v>Adeola Sulaiman</v>
      </c>
      <c r="H2032" s="24">
        <f>IFERROR(__xludf.DUMMYFUNCTION("""COMPUTED_VALUE"""),34.0)</f>
        <v>34</v>
      </c>
      <c r="I2032" s="24"/>
    </row>
    <row r="2033">
      <c r="A2033" s="23">
        <f>IFERROR(__xludf.DUMMYFUNCTION("""COMPUTED_VALUE"""),44874.64806547454)</f>
        <v>44874.64807</v>
      </c>
      <c r="B2033" s="24" t="str">
        <f>IFERROR(__xludf.DUMMYFUNCTION("""COMPUTED_VALUE"""),"Juanita Chandler ")</f>
        <v>Juanita Chandler </v>
      </c>
      <c r="C2033" s="24">
        <f>IFERROR(__xludf.DUMMYFUNCTION("""COMPUTED_VALUE"""),1039.0)</f>
        <v>1039</v>
      </c>
      <c r="D2033" s="24" t="str">
        <f>IFERROR(__xludf.DUMMYFUNCTION("""COMPUTED_VALUE"""),"Dole Fruit Cup")</f>
        <v>Dole Fruit Cup</v>
      </c>
      <c r="F2033" s="23">
        <f>IFERROR(__xludf.DUMMYFUNCTION("""COMPUTED_VALUE"""),44814.69989795138)</f>
        <v>44814.6999</v>
      </c>
      <c r="G2033" s="24" t="str">
        <f>IFERROR(__xludf.DUMMYFUNCTION("""COMPUTED_VALUE"""),"Claire")</f>
        <v>Claire</v>
      </c>
      <c r="H2033" s="24">
        <f>IFERROR(__xludf.DUMMYFUNCTION("""COMPUTED_VALUE"""),84.0)</f>
        <v>84</v>
      </c>
      <c r="I2033" s="24" t="str">
        <f>IFERROR(__xludf.DUMMYFUNCTION("""COMPUTED_VALUE"""),"Drinks [Dry]")</f>
        <v>Drinks [Dry]</v>
      </c>
    </row>
    <row r="2034">
      <c r="A2034" s="23">
        <f>IFERROR(__xludf.DUMMYFUNCTION("""COMPUTED_VALUE"""),44874.648849108795)</f>
        <v>44874.64885</v>
      </c>
      <c r="B2034" s="24" t="str">
        <f>IFERROR(__xludf.DUMMYFUNCTION("""COMPUTED_VALUE"""),"Juanita Chandler ")</f>
        <v>Juanita Chandler </v>
      </c>
      <c r="C2034" s="24">
        <f>IFERROR(__xludf.DUMMYFUNCTION("""COMPUTED_VALUE"""),1134.0)</f>
        <v>1134</v>
      </c>
      <c r="D2034" s="24" t="str">
        <f>IFERROR(__xludf.DUMMYFUNCTION("""COMPUTED_VALUE"""),"Dole Fruit Cup ")</f>
        <v>Dole Fruit Cup </v>
      </c>
      <c r="F2034" s="23">
        <f>IFERROR(__xludf.DUMMYFUNCTION("""COMPUTED_VALUE"""),44814.70033204861)</f>
        <v>44814.70033</v>
      </c>
      <c r="G2034" s="24" t="str">
        <f>IFERROR(__xludf.DUMMYFUNCTION("""COMPUTED_VALUE"""),"Angeles Cortes")</f>
        <v>Angeles Cortes</v>
      </c>
      <c r="H2034" s="24">
        <f>IFERROR(__xludf.DUMMYFUNCTION("""COMPUTED_VALUE"""),18.0)</f>
        <v>18</v>
      </c>
      <c r="I2034" s="24"/>
    </row>
    <row r="2035">
      <c r="A2035" s="23">
        <f>IFERROR(__xludf.DUMMYFUNCTION("""COMPUTED_VALUE"""),44874.64945111111)</f>
        <v>44874.64945</v>
      </c>
      <c r="B2035" s="24" t="str">
        <f>IFERROR(__xludf.DUMMYFUNCTION("""COMPUTED_VALUE"""),"Juanita Chandler ")</f>
        <v>Juanita Chandler </v>
      </c>
      <c r="C2035" s="24">
        <f>IFERROR(__xludf.DUMMYFUNCTION("""COMPUTED_VALUE"""),1208.0)</f>
        <v>1208</v>
      </c>
      <c r="D2035" s="24" t="str">
        <f>IFERROR(__xludf.DUMMYFUNCTION("""COMPUTED_VALUE"""),"Hand sanitizer ")</f>
        <v>Hand sanitizer </v>
      </c>
      <c r="F2035" s="23">
        <f>IFERROR(__xludf.DUMMYFUNCTION("""COMPUTED_VALUE"""),44814.701807210644)</f>
        <v>44814.70181</v>
      </c>
      <c r="G2035" s="24" t="str">
        <f>IFERROR(__xludf.DUMMYFUNCTION("""COMPUTED_VALUE"""),"Claire")</f>
        <v>Claire</v>
      </c>
      <c r="H2035" s="24">
        <f>IFERROR(__xludf.DUMMYFUNCTION("""COMPUTED_VALUE"""),604.0)</f>
        <v>604</v>
      </c>
      <c r="I2035" s="24" t="str">
        <f>IFERROR(__xludf.DUMMYFUNCTION("""COMPUTED_VALUE"""),"Paper Supplies")</f>
        <v>Paper Supplies</v>
      </c>
    </row>
    <row r="2036">
      <c r="A2036" s="23">
        <f>IFERROR(__xludf.DUMMYFUNCTION("""COMPUTED_VALUE"""),44875.62494819445)</f>
        <v>44875.62495</v>
      </c>
      <c r="B2036" s="24" t="str">
        <f>IFERROR(__xludf.DUMMYFUNCTION("""COMPUTED_VALUE"""),"Norma")</f>
        <v>Norma</v>
      </c>
      <c r="C2036" s="24">
        <f>IFERROR(__xludf.DUMMYFUNCTION("""COMPUTED_VALUE"""),350.0)</f>
        <v>350</v>
      </c>
      <c r="D2036" s="24" t="str">
        <f>IFERROR(__xludf.DUMMYFUNCTION("""COMPUTED_VALUE"""),"Dole fruit cups")</f>
        <v>Dole fruit cups</v>
      </c>
      <c r="F2036" s="23">
        <f>IFERROR(__xludf.DUMMYFUNCTION("""COMPUTED_VALUE"""),44814.7023060764)</f>
        <v>44814.70231</v>
      </c>
      <c r="G2036" s="24" t="str">
        <f>IFERROR(__xludf.DUMMYFUNCTION("""COMPUTED_VALUE"""),"Obi Nwokoro")</f>
        <v>Obi Nwokoro</v>
      </c>
      <c r="H2036" s="24">
        <f>IFERROR(__xludf.DUMMYFUNCTION("""COMPUTED_VALUE"""),18.0)</f>
        <v>18</v>
      </c>
      <c r="I2036" s="24"/>
    </row>
    <row r="2037">
      <c r="A2037" s="23">
        <f>IFERROR(__xludf.DUMMYFUNCTION("""COMPUTED_VALUE"""),44875.62636206019)</f>
        <v>44875.62636</v>
      </c>
      <c r="B2037" s="24" t="str">
        <f>IFERROR(__xludf.DUMMYFUNCTION("""COMPUTED_VALUE"""),"Norma")</f>
        <v>Norma</v>
      </c>
      <c r="C2037" s="24">
        <f>IFERROR(__xludf.DUMMYFUNCTION("""COMPUTED_VALUE"""),1021.0)</f>
        <v>1021</v>
      </c>
      <c r="D2037" s="24" t="str">
        <f>IFERROR(__xludf.DUMMYFUNCTION("""COMPUTED_VALUE"""),"Dole fruit cup")</f>
        <v>Dole fruit cup</v>
      </c>
      <c r="F2037" s="23">
        <f>IFERROR(__xludf.DUMMYFUNCTION("""COMPUTED_VALUE"""),44814.703800219904)</f>
        <v>44814.7038</v>
      </c>
      <c r="G2037" s="24" t="str">
        <f>IFERROR(__xludf.DUMMYFUNCTION("""COMPUTED_VALUE"""),"Claire")</f>
        <v>Claire</v>
      </c>
      <c r="H2037" s="24">
        <f>IFERROR(__xludf.DUMMYFUNCTION("""COMPUTED_VALUE"""),374.0)</f>
        <v>374</v>
      </c>
      <c r="I2037" s="24" t="str">
        <f>IFERROR(__xludf.DUMMYFUNCTION("""COMPUTED_VALUE"""),"Meat [Raw]")</f>
        <v>Meat [Raw]</v>
      </c>
    </row>
    <row r="2038">
      <c r="A2038" s="23">
        <f>IFERROR(__xludf.DUMMYFUNCTION("""COMPUTED_VALUE"""),44875.62717482639)</f>
        <v>44875.62717</v>
      </c>
      <c r="B2038" s="24" t="str">
        <f>IFERROR(__xludf.DUMMYFUNCTION("""COMPUTED_VALUE"""),"Norma")</f>
        <v>Norma</v>
      </c>
      <c r="C2038" s="24">
        <f>IFERROR(__xludf.DUMMYFUNCTION("""COMPUTED_VALUE"""),516.0)</f>
        <v>516</v>
      </c>
      <c r="D2038" s="24" t="str">
        <f>IFERROR(__xludf.DUMMYFUNCTION("""COMPUTED_VALUE"""),"Dole fruit cups")</f>
        <v>Dole fruit cups</v>
      </c>
      <c r="F2038" s="23">
        <f>IFERROR(__xludf.DUMMYFUNCTION("""COMPUTED_VALUE"""),44814.70430939815)</f>
        <v>44814.70431</v>
      </c>
      <c r="G2038" s="24" t="str">
        <f>IFERROR(__xludf.DUMMYFUNCTION("""COMPUTED_VALUE"""),"Claire")</f>
        <v>Claire</v>
      </c>
      <c r="H2038" s="24">
        <f>IFERROR(__xludf.DUMMYFUNCTION("""COMPUTED_VALUE"""),934.0)</f>
        <v>934</v>
      </c>
      <c r="I2038" s="24" t="str">
        <f>IFERROR(__xludf.DUMMYFUNCTION("""COMPUTED_VALUE"""),"Produce")</f>
        <v>Produce</v>
      </c>
    </row>
    <row r="2039">
      <c r="A2039" s="23">
        <f>IFERROR(__xludf.DUMMYFUNCTION("""COMPUTED_VALUE"""),44875.62887910879)</f>
        <v>44875.62888</v>
      </c>
      <c r="B2039" s="24" t="str">
        <f>IFERROR(__xludf.DUMMYFUNCTION("""COMPUTED_VALUE"""),"Norma")</f>
        <v>Norma</v>
      </c>
      <c r="C2039" s="24">
        <f>IFERROR(__xludf.DUMMYFUNCTION("""COMPUTED_VALUE"""),516.0)</f>
        <v>516</v>
      </c>
      <c r="D2039" s="24" t="str">
        <f>IFERROR(__xludf.DUMMYFUNCTION("""COMPUTED_VALUE"""),"Dole fruit cups")</f>
        <v>Dole fruit cups</v>
      </c>
      <c r="F2039" s="23">
        <f>IFERROR(__xludf.DUMMYFUNCTION("""COMPUTED_VALUE"""),44814.70595479167)</f>
        <v>44814.70595</v>
      </c>
      <c r="G2039" s="24" t="str">
        <f>IFERROR(__xludf.DUMMYFUNCTION("""COMPUTED_VALUE"""),"Claire")</f>
        <v>Claire</v>
      </c>
      <c r="H2039" s="24">
        <f>IFERROR(__xludf.DUMMYFUNCTION("""COMPUTED_VALUE"""),231.0)</f>
        <v>231</v>
      </c>
      <c r="I2039" s="24" t="str">
        <f>IFERROR(__xludf.DUMMYFUNCTION("""COMPUTED_VALUE"""),"Cleaning Supplies")</f>
        <v>Cleaning Supplies</v>
      </c>
    </row>
    <row r="2040">
      <c r="A2040" s="23">
        <f>IFERROR(__xludf.DUMMYFUNCTION("""COMPUTED_VALUE"""),44875.62957033565)</f>
        <v>44875.62957</v>
      </c>
      <c r="B2040" s="24" t="str">
        <f>IFERROR(__xludf.DUMMYFUNCTION("""COMPUTED_VALUE"""),"Norma")</f>
        <v>Norma</v>
      </c>
      <c r="C2040" s="24">
        <f>IFERROR(__xludf.DUMMYFUNCTION("""COMPUTED_VALUE"""),192.0)</f>
        <v>192</v>
      </c>
      <c r="D2040" s="24" t="str">
        <f>IFERROR(__xludf.DUMMYFUNCTION("""COMPUTED_VALUE"""),"Dairy")</f>
        <v>Dairy</v>
      </c>
      <c r="F2040" s="23">
        <f>IFERROR(__xludf.DUMMYFUNCTION("""COMPUTED_VALUE"""),44814.7062134838)</f>
        <v>44814.70621</v>
      </c>
      <c r="G2040" s="24" t="str">
        <f>IFERROR(__xludf.DUMMYFUNCTION("""COMPUTED_VALUE"""),"Claire")</f>
        <v>Claire</v>
      </c>
      <c r="H2040" s="24">
        <f>IFERROR(__xludf.DUMMYFUNCTION("""COMPUTED_VALUE"""),1299.0)</f>
        <v>1299</v>
      </c>
      <c r="I2040" s="24" t="str">
        <f>IFERROR(__xludf.DUMMYFUNCTION("""COMPUTED_VALUE"""),"Drinks [Dry]")</f>
        <v>Drinks [Dry]</v>
      </c>
    </row>
    <row r="2041">
      <c r="A2041" s="23">
        <f>IFERROR(__xludf.DUMMYFUNCTION("""COMPUTED_VALUE"""),44875.63029372685)</f>
        <v>44875.63029</v>
      </c>
      <c r="B2041" s="24" t="str">
        <f>IFERROR(__xludf.DUMMYFUNCTION("""COMPUTED_VALUE"""),"Norma")</f>
        <v>Norma</v>
      </c>
      <c r="C2041" s="24">
        <f>IFERROR(__xludf.DUMMYFUNCTION("""COMPUTED_VALUE"""),104.0)</f>
        <v>104</v>
      </c>
      <c r="D2041" s="24" t="str">
        <f>IFERROR(__xludf.DUMMYFUNCTION("""COMPUTED_VALUE"""),"Snacks")</f>
        <v>Snacks</v>
      </c>
      <c r="F2041" s="23">
        <f>IFERROR(__xludf.DUMMYFUNCTION("""COMPUTED_VALUE"""),44814.706777418985)</f>
        <v>44814.70678</v>
      </c>
      <c r="G2041" s="24" t="str">
        <f>IFERROR(__xludf.DUMMYFUNCTION("""COMPUTED_VALUE"""),"Claire")</f>
        <v>Claire</v>
      </c>
      <c r="H2041" s="24">
        <f>IFERROR(__xludf.DUMMYFUNCTION("""COMPUTED_VALUE"""),199.0)</f>
        <v>199</v>
      </c>
      <c r="I2041" s="24" t="str">
        <f>IFERROR(__xludf.DUMMYFUNCTION("""COMPUTED_VALUE"""),"Produce")</f>
        <v>Produce</v>
      </c>
    </row>
    <row r="2042">
      <c r="A2042" s="23">
        <f>IFERROR(__xludf.DUMMYFUNCTION("""COMPUTED_VALUE"""),44875.63093737269)</f>
        <v>44875.63094</v>
      </c>
      <c r="B2042" s="24" t="str">
        <f>IFERROR(__xludf.DUMMYFUNCTION("""COMPUTED_VALUE"""),"Norma")</f>
        <v>Norma</v>
      </c>
      <c r="C2042" s="24">
        <f>IFERROR(__xludf.DUMMYFUNCTION("""COMPUTED_VALUE"""),1057.0)</f>
        <v>1057</v>
      </c>
      <c r="D2042" s="24" t="str">
        <f>IFERROR(__xludf.DUMMYFUNCTION("""COMPUTED_VALUE"""),"Produce")</f>
        <v>Produce</v>
      </c>
      <c r="F2042" s="23">
        <f>IFERROR(__xludf.DUMMYFUNCTION("""COMPUTED_VALUE"""),44814.707451076385)</f>
        <v>44814.70745</v>
      </c>
      <c r="G2042" s="24" t="str">
        <f>IFERROR(__xludf.DUMMYFUNCTION("""COMPUTED_VALUE"""),"Claire")</f>
        <v>Claire</v>
      </c>
      <c r="H2042" s="24">
        <f>IFERROR(__xludf.DUMMYFUNCTION("""COMPUTED_VALUE"""),316.0)</f>
        <v>316</v>
      </c>
      <c r="I2042" s="24" t="str">
        <f>IFERROR(__xludf.DUMMYFUNCTION("""COMPUTED_VALUE"""),"Produce")</f>
        <v>Produce</v>
      </c>
    </row>
    <row r="2043">
      <c r="A2043" s="23">
        <f>IFERROR(__xludf.DUMMYFUNCTION("""COMPUTED_VALUE"""),44875.631509074075)</f>
        <v>44875.63151</v>
      </c>
      <c r="B2043" s="24" t="str">
        <f>IFERROR(__xludf.DUMMYFUNCTION("""COMPUTED_VALUE"""),"Norma")</f>
        <v>Norma</v>
      </c>
      <c r="C2043" s="24">
        <f>IFERROR(__xludf.DUMMYFUNCTION("""COMPUTED_VALUE"""),190.0)</f>
        <v>190</v>
      </c>
      <c r="D2043" s="24" t="str">
        <f>IFERROR(__xludf.DUMMYFUNCTION("""COMPUTED_VALUE"""),"Dairy")</f>
        <v>Dairy</v>
      </c>
      <c r="F2043" s="23">
        <f>IFERROR(__xludf.DUMMYFUNCTION("""COMPUTED_VALUE"""),44814.70858991898)</f>
        <v>44814.70859</v>
      </c>
      <c r="G2043" s="24" t="str">
        <f>IFERROR(__xludf.DUMMYFUNCTION("""COMPUTED_VALUE"""),"Sahmya Lake")</f>
        <v>Sahmya Lake</v>
      </c>
      <c r="H2043" s="24">
        <f>IFERROR(__xludf.DUMMYFUNCTION("""COMPUTED_VALUE"""),14.0)</f>
        <v>14</v>
      </c>
      <c r="I2043" s="24"/>
    </row>
    <row r="2044">
      <c r="A2044" s="23">
        <f>IFERROR(__xludf.DUMMYFUNCTION("""COMPUTED_VALUE"""),44875.632074189816)</f>
        <v>44875.63207</v>
      </c>
      <c r="B2044" s="24" t="str">
        <f>IFERROR(__xludf.DUMMYFUNCTION("""COMPUTED_VALUE"""),"Norma")</f>
        <v>Norma</v>
      </c>
      <c r="C2044" s="24">
        <f>IFERROR(__xludf.DUMMYFUNCTION("""COMPUTED_VALUE"""),1109.0)</f>
        <v>1109</v>
      </c>
      <c r="D2044" s="24" t="str">
        <f>IFERROR(__xludf.DUMMYFUNCTION("""COMPUTED_VALUE"""),"Produce")</f>
        <v>Produce</v>
      </c>
      <c r="F2044" s="23">
        <f>IFERROR(__xludf.DUMMYFUNCTION("""COMPUTED_VALUE"""),44814.708905879634)</f>
        <v>44814.70891</v>
      </c>
      <c r="G2044" s="24" t="str">
        <f>IFERROR(__xludf.DUMMYFUNCTION("""COMPUTED_VALUE"""),"Laila Norwood")</f>
        <v>Laila Norwood</v>
      </c>
      <c r="H2044" s="24">
        <f>IFERROR(__xludf.DUMMYFUNCTION("""COMPUTED_VALUE"""),9.0)</f>
        <v>9</v>
      </c>
      <c r="I2044" s="24"/>
    </row>
    <row r="2045">
      <c r="A2045" s="23">
        <f>IFERROR(__xludf.DUMMYFUNCTION("""COMPUTED_VALUE"""),44875.63262297454)</f>
        <v>44875.63262</v>
      </c>
      <c r="B2045" s="24" t="str">
        <f>IFERROR(__xludf.DUMMYFUNCTION("""COMPUTED_VALUE"""),"Norma")</f>
        <v>Norma</v>
      </c>
      <c r="C2045" s="24">
        <f>IFERROR(__xludf.DUMMYFUNCTION("""COMPUTED_VALUE"""),75.0)</f>
        <v>75</v>
      </c>
      <c r="D2045" s="24" t="str">
        <f>IFERROR(__xludf.DUMMYFUNCTION("""COMPUTED_VALUE"""),"Snacks")</f>
        <v>Snacks</v>
      </c>
      <c r="F2045" s="23">
        <f>IFERROR(__xludf.DUMMYFUNCTION("""COMPUTED_VALUE"""),44814.70896450231)</f>
        <v>44814.70896</v>
      </c>
      <c r="G2045" s="24" t="str">
        <f>IFERROR(__xludf.DUMMYFUNCTION("""COMPUTED_VALUE"""),"Treasure McNeill ")</f>
        <v>Treasure McNeill </v>
      </c>
      <c r="H2045" s="24">
        <f>IFERROR(__xludf.DUMMYFUNCTION("""COMPUTED_VALUE"""),17.0)</f>
        <v>17</v>
      </c>
      <c r="I2045" s="24"/>
    </row>
    <row r="2046">
      <c r="A2046" s="23">
        <f>IFERROR(__xludf.DUMMYFUNCTION("""COMPUTED_VALUE"""),44875.63337539352)</f>
        <v>44875.63338</v>
      </c>
      <c r="B2046" s="24" t="str">
        <f>IFERROR(__xludf.DUMMYFUNCTION("""COMPUTED_VALUE"""),"Norma")</f>
        <v>Norma</v>
      </c>
      <c r="C2046" s="24">
        <f>IFERROR(__xludf.DUMMYFUNCTION("""COMPUTED_VALUE"""),345.0)</f>
        <v>345</v>
      </c>
      <c r="D2046" s="24" t="str">
        <f>IFERROR(__xludf.DUMMYFUNCTION("""COMPUTED_VALUE"""),"Dole fruit cups")</f>
        <v>Dole fruit cups</v>
      </c>
      <c r="F2046" s="23">
        <f>IFERROR(__xludf.DUMMYFUNCTION("""COMPUTED_VALUE"""),44814.70897871527)</f>
        <v>44814.70898</v>
      </c>
      <c r="G2046" s="24" t="str">
        <f>IFERROR(__xludf.DUMMYFUNCTION("""COMPUTED_VALUE"""),"Sahmya Lake")</f>
        <v>Sahmya Lake</v>
      </c>
      <c r="H2046" s="24">
        <f>IFERROR(__xludf.DUMMYFUNCTION("""COMPUTED_VALUE"""),1.0)</f>
        <v>1</v>
      </c>
      <c r="I2046" s="24"/>
    </row>
    <row r="2047">
      <c r="A2047" s="23">
        <f>IFERROR(__xludf.DUMMYFUNCTION("""COMPUTED_VALUE"""),44875.634049236105)</f>
        <v>44875.63405</v>
      </c>
      <c r="B2047" s="24" t="str">
        <f>IFERROR(__xludf.DUMMYFUNCTION("""COMPUTED_VALUE"""),"Norma")</f>
        <v>Norma</v>
      </c>
      <c r="C2047" s="24">
        <f>IFERROR(__xludf.DUMMYFUNCTION("""COMPUTED_VALUE"""),984.0)</f>
        <v>984</v>
      </c>
      <c r="D2047" s="24" t="str">
        <f>IFERROR(__xludf.DUMMYFUNCTION("""COMPUTED_VALUE"""),"Dole fruit cups")</f>
        <v>Dole fruit cups</v>
      </c>
      <c r="F2047" s="23">
        <f>IFERROR(__xludf.DUMMYFUNCTION("""COMPUTED_VALUE"""),44814.70902083333)</f>
        <v>44814.70902</v>
      </c>
      <c r="G2047" s="24" t="str">
        <f>IFERROR(__xludf.DUMMYFUNCTION("""COMPUTED_VALUE"""),"Ajeñee Williams ")</f>
        <v>Ajeñee Williams </v>
      </c>
      <c r="H2047" s="24">
        <f>IFERROR(__xludf.DUMMYFUNCTION("""COMPUTED_VALUE"""),18.0)</f>
        <v>18</v>
      </c>
      <c r="I2047" s="24"/>
    </row>
    <row r="2048">
      <c r="A2048" s="23">
        <f>IFERROR(__xludf.DUMMYFUNCTION("""COMPUTED_VALUE"""),44875.63593001157)</f>
        <v>44875.63593</v>
      </c>
      <c r="B2048" s="24" t="str">
        <f>IFERROR(__xludf.DUMMYFUNCTION("""COMPUTED_VALUE"""),"Norma")</f>
        <v>Norma</v>
      </c>
      <c r="C2048" s="24">
        <f>IFERROR(__xludf.DUMMYFUNCTION("""COMPUTED_VALUE"""),1236.0)</f>
        <v>1236</v>
      </c>
      <c r="D2048" s="24" t="str">
        <f>IFERROR(__xludf.DUMMYFUNCTION("""COMPUTED_VALUE"""),"Assorted Dry")</f>
        <v>Assorted Dry</v>
      </c>
      <c r="F2048" s="23">
        <f>IFERROR(__xludf.DUMMYFUNCTION("""COMPUTED_VALUE"""),44814.71118210648)</f>
        <v>44814.71118</v>
      </c>
      <c r="G2048" s="24" t="str">
        <f>IFERROR(__xludf.DUMMYFUNCTION("""COMPUTED_VALUE"""),"Evelyn jiang")</f>
        <v>Evelyn jiang</v>
      </c>
      <c r="H2048" s="24">
        <f>IFERROR(__xludf.DUMMYFUNCTION("""COMPUTED_VALUE"""),17.0)</f>
        <v>17</v>
      </c>
      <c r="I2048" s="24"/>
    </row>
    <row r="2049">
      <c r="A2049" s="23">
        <f>IFERROR(__xludf.DUMMYFUNCTION("""COMPUTED_VALUE"""),44875.6670980787)</f>
        <v>44875.6671</v>
      </c>
      <c r="B2049" s="24" t="str">
        <f>IFERROR(__xludf.DUMMYFUNCTION("""COMPUTED_VALUE"""),"Bertille")</f>
        <v>Bertille</v>
      </c>
      <c r="C2049" s="24">
        <f>IFERROR(__xludf.DUMMYFUNCTION("""COMPUTED_VALUE"""),838.0)</f>
        <v>838</v>
      </c>
      <c r="D2049" s="24" t="str">
        <f>IFERROR(__xludf.DUMMYFUNCTION("""COMPUTED_VALUE"""),"Fruit cups")</f>
        <v>Fruit cups</v>
      </c>
      <c r="F2049" s="23">
        <f>IFERROR(__xludf.DUMMYFUNCTION("""COMPUTED_VALUE"""),44814.714988125)</f>
        <v>44814.71499</v>
      </c>
      <c r="G2049" s="24" t="str">
        <f>IFERROR(__xludf.DUMMYFUNCTION("""COMPUTED_VALUE"""),"Claire")</f>
        <v>Claire</v>
      </c>
      <c r="H2049" s="24">
        <f>IFERROR(__xludf.DUMMYFUNCTION("""COMPUTED_VALUE"""),1196.0)</f>
        <v>1196</v>
      </c>
      <c r="I2049" s="24" t="str">
        <f>IFERROR(__xludf.DUMMYFUNCTION("""COMPUTED_VALUE"""),"Marci")</f>
        <v>Marci</v>
      </c>
    </row>
    <row r="2050">
      <c r="A2050" s="23">
        <f>IFERROR(__xludf.DUMMYFUNCTION("""COMPUTED_VALUE"""),44875.66761820602)</f>
        <v>44875.66762</v>
      </c>
      <c r="B2050" s="24" t="str">
        <f>IFERROR(__xludf.DUMMYFUNCTION("""COMPUTED_VALUE"""),"Bertille")</f>
        <v>Bertille</v>
      </c>
      <c r="C2050" s="24">
        <f>IFERROR(__xludf.DUMMYFUNCTION("""COMPUTED_VALUE"""),1365.0)</f>
        <v>1365</v>
      </c>
      <c r="D2050" s="24" t="str">
        <f>IFERROR(__xludf.DUMMYFUNCTION("""COMPUTED_VALUE"""),"Produce")</f>
        <v>Produce</v>
      </c>
      <c r="F2050" s="23">
        <f>IFERROR(__xludf.DUMMYFUNCTION("""COMPUTED_VALUE"""),44814.716154062495)</f>
        <v>44814.71615</v>
      </c>
      <c r="G2050" s="24" t="str">
        <f>IFERROR(__xludf.DUMMYFUNCTION("""COMPUTED_VALUE"""),"Claire")</f>
        <v>Claire</v>
      </c>
      <c r="H2050" s="24">
        <f>IFERROR(__xludf.DUMMYFUNCTION("""COMPUTED_VALUE"""),1296.0)</f>
        <v>1296</v>
      </c>
      <c r="I2050" s="24" t="str">
        <f>IFERROR(__xludf.DUMMYFUNCTION("""COMPUTED_VALUE"""),"Marci")</f>
        <v>Marci</v>
      </c>
    </row>
    <row r="2051">
      <c r="A2051" s="23">
        <f>IFERROR(__xludf.DUMMYFUNCTION("""COMPUTED_VALUE"""),44875.66785637732)</f>
        <v>44875.66786</v>
      </c>
      <c r="B2051" s="24" t="str">
        <f>IFERROR(__xludf.DUMMYFUNCTION("""COMPUTED_VALUE"""),"Bertille")</f>
        <v>Bertille</v>
      </c>
      <c r="C2051" s="24">
        <f>IFERROR(__xludf.DUMMYFUNCTION("""COMPUTED_VALUE"""),70.0)</f>
        <v>70</v>
      </c>
      <c r="D2051" s="24" t="str">
        <f>IFERROR(__xludf.DUMMYFUNCTION("""COMPUTED_VALUE"""),"Household")</f>
        <v>Household</v>
      </c>
      <c r="F2051" s="23">
        <f>IFERROR(__xludf.DUMMYFUNCTION("""COMPUTED_VALUE"""),44814.71662085648)</f>
        <v>44814.71662</v>
      </c>
      <c r="G2051" s="24" t="str">
        <f>IFERROR(__xludf.DUMMYFUNCTION("""COMPUTED_VALUE"""),"Claire")</f>
        <v>Claire</v>
      </c>
      <c r="H2051" s="24">
        <f>IFERROR(__xludf.DUMMYFUNCTION("""COMPUTED_VALUE"""),602.0)</f>
        <v>602</v>
      </c>
      <c r="I2051" s="24" t="str">
        <f>IFERROR(__xludf.DUMMYFUNCTION("""COMPUTED_VALUE"""),"Marci")</f>
        <v>Marci</v>
      </c>
    </row>
    <row r="2052">
      <c r="A2052" s="23">
        <f>IFERROR(__xludf.DUMMYFUNCTION("""COMPUTED_VALUE"""),44875.66829663195)</f>
        <v>44875.6683</v>
      </c>
      <c r="B2052" s="24" t="str">
        <f>IFERROR(__xludf.DUMMYFUNCTION("""COMPUTED_VALUE"""),"Bertille")</f>
        <v>Bertille</v>
      </c>
      <c r="C2052" s="24">
        <f>IFERROR(__xludf.DUMMYFUNCTION("""COMPUTED_VALUE"""),979.0)</f>
        <v>979</v>
      </c>
      <c r="D2052" s="24" t="str">
        <f>IFERROR(__xludf.DUMMYFUNCTION("""COMPUTED_VALUE"""),"Fruit cups")</f>
        <v>Fruit cups</v>
      </c>
      <c r="F2052" s="23">
        <f>IFERROR(__xludf.DUMMYFUNCTION("""COMPUTED_VALUE"""),44814.72477210648)</f>
        <v>44814.72477</v>
      </c>
      <c r="G2052" s="24" t="str">
        <f>IFERROR(__xludf.DUMMYFUNCTION("""COMPUTED_VALUE"""),"Lynnette ")</f>
        <v>Lynnette </v>
      </c>
      <c r="H2052" s="24">
        <f>IFERROR(__xludf.DUMMYFUNCTION("""COMPUTED_VALUE"""),16.0)</f>
        <v>16</v>
      </c>
      <c r="I2052" s="24"/>
    </row>
    <row r="2053">
      <c r="A2053" s="23">
        <f>IFERROR(__xludf.DUMMYFUNCTION("""COMPUTED_VALUE"""),44875.66867511574)</f>
        <v>44875.66868</v>
      </c>
      <c r="B2053" s="24" t="str">
        <f>IFERROR(__xludf.DUMMYFUNCTION("""COMPUTED_VALUE"""),"Bertille")</f>
        <v>Bertille</v>
      </c>
      <c r="C2053" s="24">
        <f>IFERROR(__xludf.DUMMYFUNCTION("""COMPUTED_VALUE"""),1080.0)</f>
        <v>1080</v>
      </c>
      <c r="D2053" s="24" t="str">
        <f>IFERROR(__xludf.DUMMYFUNCTION("""COMPUTED_VALUE"""),"Produce")</f>
        <v>Produce</v>
      </c>
      <c r="F2053" s="23">
        <f>IFERROR(__xludf.DUMMYFUNCTION("""COMPUTED_VALUE"""),44814.72529127315)</f>
        <v>44814.72529</v>
      </c>
      <c r="G2053" s="24" t="str">
        <f>IFERROR(__xludf.DUMMYFUNCTION("""COMPUTED_VALUE"""),"Lynnette c damage")</f>
        <v>Lynnette c damage</v>
      </c>
      <c r="H2053" s="24">
        <f>IFERROR(__xludf.DUMMYFUNCTION("""COMPUTED_VALUE"""),13.0)</f>
        <v>13</v>
      </c>
      <c r="I2053" s="24"/>
    </row>
    <row r="2054">
      <c r="A2054" s="23">
        <f>IFERROR(__xludf.DUMMYFUNCTION("""COMPUTED_VALUE"""),44875.66896225695)</f>
        <v>44875.66896</v>
      </c>
      <c r="B2054" s="24" t="str">
        <f>IFERROR(__xludf.DUMMYFUNCTION("""COMPUTED_VALUE"""),"Bertille")</f>
        <v>Bertille</v>
      </c>
      <c r="C2054" s="24">
        <f>IFERROR(__xludf.DUMMYFUNCTION("""COMPUTED_VALUE"""),478.0)</f>
        <v>478</v>
      </c>
      <c r="D2054" s="24" t="str">
        <f>IFERROR(__xludf.DUMMYFUNCTION("""COMPUTED_VALUE"""),"Pet Supplies")</f>
        <v>Pet Supplies</v>
      </c>
      <c r="F2054" s="23">
        <f>IFERROR(__xludf.DUMMYFUNCTION("""COMPUTED_VALUE"""),44815.0)</f>
        <v>44815</v>
      </c>
      <c r="G2054" s="24" t="str">
        <f>IFERROR(__xludf.DUMMYFUNCTION("""COMPUTED_VALUE"""),"Yulia")</f>
        <v>Yulia</v>
      </c>
      <c r="H2054" s="24">
        <f>IFERROR(__xludf.DUMMYFUNCTION("""COMPUTED_VALUE"""),26.0)</f>
        <v>26</v>
      </c>
      <c r="I2054" s="24"/>
    </row>
    <row r="2055">
      <c r="A2055" s="23">
        <f>IFERROR(__xludf.DUMMYFUNCTION("""COMPUTED_VALUE"""),44875.669210266205)</f>
        <v>44875.66921</v>
      </c>
      <c r="B2055" s="24" t="str">
        <f>IFERROR(__xludf.DUMMYFUNCTION("""COMPUTED_VALUE"""),"Bertille")</f>
        <v>Bertille</v>
      </c>
      <c r="C2055" s="24">
        <f>IFERROR(__xludf.DUMMYFUNCTION("""COMPUTED_VALUE"""),60.0)</f>
        <v>60</v>
      </c>
      <c r="D2055" s="24" t="str">
        <f>IFERROR(__xludf.DUMMYFUNCTION("""COMPUTED_VALUE"""),"Snacks")</f>
        <v>Snacks</v>
      </c>
      <c r="F2055" s="23">
        <f>IFERROR(__xludf.DUMMYFUNCTION("""COMPUTED_VALUE"""),44815.0)</f>
        <v>44815</v>
      </c>
      <c r="G2055" s="24" t="str">
        <f>IFERROR(__xludf.DUMMYFUNCTION("""COMPUTED_VALUE"""),"Alex Wang")</f>
        <v>Alex Wang</v>
      </c>
      <c r="H2055" s="24">
        <f>IFERROR(__xludf.DUMMYFUNCTION("""COMPUTED_VALUE"""),11.0)</f>
        <v>11</v>
      </c>
      <c r="I2055" s="24"/>
    </row>
    <row r="2056">
      <c r="A2056" s="23">
        <f>IFERROR(__xludf.DUMMYFUNCTION("""COMPUTED_VALUE"""),44875.68837253472)</f>
        <v>44875.68837</v>
      </c>
      <c r="B2056" s="24" t="str">
        <f>IFERROR(__xludf.DUMMYFUNCTION("""COMPUTED_VALUE"""),"Claire ")</f>
        <v>Claire </v>
      </c>
      <c r="C2056" s="24">
        <f>IFERROR(__xludf.DUMMYFUNCTION("""COMPUTED_VALUE"""),294.0)</f>
        <v>294</v>
      </c>
      <c r="D2056" s="24" t="str">
        <f>IFERROR(__xludf.DUMMYFUNCTION("""COMPUTED_VALUE"""),"Produce")</f>
        <v>Produce</v>
      </c>
      <c r="F2056" s="23">
        <f>IFERROR(__xludf.DUMMYFUNCTION("""COMPUTED_VALUE"""),44815.0)</f>
        <v>44815</v>
      </c>
      <c r="G2056" s="24" t="str">
        <f>IFERROR(__xludf.DUMMYFUNCTION("""COMPUTED_VALUE"""),"Alex Wang")</f>
        <v>Alex Wang</v>
      </c>
      <c r="H2056" s="24">
        <f>IFERROR(__xludf.DUMMYFUNCTION("""COMPUTED_VALUE"""),3.0)</f>
        <v>3</v>
      </c>
      <c r="I2056" s="24"/>
    </row>
    <row r="2057">
      <c r="A2057" s="23">
        <f>IFERROR(__xludf.DUMMYFUNCTION("""COMPUTED_VALUE"""),44875.68932631944)</f>
        <v>44875.68933</v>
      </c>
      <c r="B2057" s="24" t="str">
        <f>IFERROR(__xludf.DUMMYFUNCTION("""COMPUTED_VALUE"""),"Claire")</f>
        <v>Claire</v>
      </c>
      <c r="C2057" s="24">
        <f>IFERROR(__xludf.DUMMYFUNCTION("""COMPUTED_VALUE"""),-333.0)</f>
        <v>-333</v>
      </c>
      <c r="D2057" s="24" t="str">
        <f>IFERROR(__xludf.DUMMYFUNCTION("""COMPUTED_VALUE"""),"Produce")</f>
        <v>Produce</v>
      </c>
      <c r="F2057" s="23">
        <f>IFERROR(__xludf.DUMMYFUNCTION("""COMPUTED_VALUE"""),44815.0)</f>
        <v>44815</v>
      </c>
      <c r="G2057" s="24" t="str">
        <f>IFERROR(__xludf.DUMMYFUNCTION("""COMPUTED_VALUE"""),"Kaneesha")</f>
        <v>Kaneesha</v>
      </c>
      <c r="H2057" s="24">
        <f>IFERROR(__xludf.DUMMYFUNCTION("""COMPUTED_VALUE"""),13.0)</f>
        <v>13</v>
      </c>
      <c r="I2057" s="24"/>
    </row>
    <row r="2058">
      <c r="A2058" s="23">
        <f>IFERROR(__xludf.DUMMYFUNCTION("""COMPUTED_VALUE"""),44875.68956060185)</f>
        <v>44875.68956</v>
      </c>
      <c r="B2058" s="24" t="str">
        <f>IFERROR(__xludf.DUMMYFUNCTION("""COMPUTED_VALUE"""),"Claire")</f>
        <v>Claire</v>
      </c>
      <c r="C2058" s="24">
        <f>IFERROR(__xludf.DUMMYFUNCTION("""COMPUTED_VALUE"""),-294.0)</f>
        <v>-294</v>
      </c>
      <c r="D2058" s="24" t="str">
        <f>IFERROR(__xludf.DUMMYFUNCTION("""COMPUTED_VALUE"""),"Produce")</f>
        <v>Produce</v>
      </c>
      <c r="F2058" s="23">
        <f>IFERROR(__xludf.DUMMYFUNCTION("""COMPUTED_VALUE"""),44815.0)</f>
        <v>44815</v>
      </c>
      <c r="G2058" s="24" t="str">
        <f>IFERROR(__xludf.DUMMYFUNCTION("""COMPUTED_VALUE"""),"Kaneesha")</f>
        <v>Kaneesha</v>
      </c>
      <c r="H2058" s="24">
        <f>IFERROR(__xludf.DUMMYFUNCTION("""COMPUTED_VALUE"""),17.0)</f>
        <v>17</v>
      </c>
      <c r="I2058" s="24"/>
    </row>
    <row r="2059">
      <c r="A2059" s="23">
        <f>IFERROR(__xludf.DUMMYFUNCTION("""COMPUTED_VALUE"""),44876.70218270833)</f>
        <v>44876.70218</v>
      </c>
      <c r="B2059" s="24" t="str">
        <f>IFERROR(__xludf.DUMMYFUNCTION("""COMPUTED_VALUE"""),"Sunita pathik")</f>
        <v>Sunita pathik</v>
      </c>
      <c r="C2059" s="24">
        <f>IFERROR(__xludf.DUMMYFUNCTION("""COMPUTED_VALUE"""),200.0)</f>
        <v>200</v>
      </c>
      <c r="D2059" s="24" t="str">
        <f>IFERROR(__xludf.DUMMYFUNCTION("""COMPUTED_VALUE"""),"Assorted Fridge")</f>
        <v>Assorted Fridge</v>
      </c>
      <c r="F2059" s="23">
        <f>IFERROR(__xludf.DUMMYFUNCTION("""COMPUTED_VALUE"""),44815.0)</f>
        <v>44815</v>
      </c>
      <c r="G2059" s="24" t="str">
        <f>IFERROR(__xludf.DUMMYFUNCTION("""COMPUTED_VALUE"""),"Marci")</f>
        <v>Marci</v>
      </c>
      <c r="H2059" s="24">
        <f>IFERROR(__xludf.DUMMYFUNCTION("""COMPUTED_VALUE"""),18.0)</f>
        <v>18</v>
      </c>
      <c r="I2059" s="24"/>
    </row>
    <row r="2060">
      <c r="A2060" s="23">
        <f>IFERROR(__xludf.DUMMYFUNCTION("""COMPUTED_VALUE"""),44877.55682061343)</f>
        <v>44877.55682</v>
      </c>
      <c r="B2060" s="24" t="str">
        <f>IFERROR(__xludf.DUMMYFUNCTION("""COMPUTED_VALUE"""),"Juanita Chandler ")</f>
        <v>Juanita Chandler </v>
      </c>
      <c r="C2060" s="24">
        <f>IFERROR(__xludf.DUMMYFUNCTION("""COMPUTED_VALUE"""),429.0)</f>
        <v>429</v>
      </c>
      <c r="D2060" s="24" t="str">
        <f>IFERROR(__xludf.DUMMYFUNCTION("""COMPUTED_VALUE"""),"Frozen [Not Meat]")</f>
        <v>Frozen [Not Meat]</v>
      </c>
      <c r="F2060" s="23">
        <f>IFERROR(__xludf.DUMMYFUNCTION("""COMPUTED_VALUE"""),44815.0)</f>
        <v>44815</v>
      </c>
      <c r="G2060" s="24" t="str">
        <f>IFERROR(__xludf.DUMMYFUNCTION("""COMPUTED_VALUE"""),"Marci")</f>
        <v>Marci</v>
      </c>
      <c r="H2060" s="24">
        <f>IFERROR(__xludf.DUMMYFUNCTION("""COMPUTED_VALUE"""),29.0)</f>
        <v>29</v>
      </c>
      <c r="I2060" s="24"/>
    </row>
    <row r="2061">
      <c r="A2061" s="23">
        <f>IFERROR(__xludf.DUMMYFUNCTION("""COMPUTED_VALUE"""),44877.55861148148)</f>
        <v>44877.55861</v>
      </c>
      <c r="B2061" s="24" t="str">
        <f>IFERROR(__xludf.DUMMYFUNCTION("""COMPUTED_VALUE"""),"Juanita Chandler ")</f>
        <v>Juanita Chandler </v>
      </c>
      <c r="C2061" s="24">
        <f>IFERROR(__xludf.DUMMYFUNCTION("""COMPUTED_VALUE"""),387.0)</f>
        <v>387</v>
      </c>
      <c r="D2061" s="24" t="str">
        <f>IFERROR(__xludf.DUMMYFUNCTION("""COMPUTED_VALUE"""),"Frozen [Not Meat]")</f>
        <v>Frozen [Not Meat]</v>
      </c>
      <c r="F2061" s="23">
        <f>IFERROR(__xludf.DUMMYFUNCTION("""COMPUTED_VALUE"""),44815.0)</f>
        <v>44815</v>
      </c>
      <c r="G2061" s="24" t="str">
        <f>IFERROR(__xludf.DUMMYFUNCTION("""COMPUTED_VALUE"""),"Kate Weeks")</f>
        <v>Kate Weeks</v>
      </c>
      <c r="H2061" s="24">
        <f>IFERROR(__xludf.DUMMYFUNCTION("""COMPUTED_VALUE"""),20.0)</f>
        <v>20</v>
      </c>
      <c r="I2061" s="24"/>
    </row>
    <row r="2062">
      <c r="A2062" s="23">
        <f>IFERROR(__xludf.DUMMYFUNCTION("""COMPUTED_VALUE"""),44877.559554687505)</f>
        <v>44877.55955</v>
      </c>
      <c r="B2062" s="24" t="str">
        <f>IFERROR(__xludf.DUMMYFUNCTION("""COMPUTED_VALUE"""),"Juanita Chandler ")</f>
        <v>Juanita Chandler </v>
      </c>
      <c r="C2062" s="24">
        <f>IFERROR(__xludf.DUMMYFUNCTION("""COMPUTED_VALUE"""),416.0)</f>
        <v>416</v>
      </c>
      <c r="D2062" s="24" t="str">
        <f>IFERROR(__xludf.DUMMYFUNCTION("""COMPUTED_VALUE"""),"Frozen [Not Meat]")</f>
        <v>Frozen [Not Meat]</v>
      </c>
      <c r="F2062" s="23">
        <f>IFERROR(__xludf.DUMMYFUNCTION("""COMPUTED_VALUE"""),44815.0)</f>
        <v>44815</v>
      </c>
      <c r="G2062" s="24" t="str">
        <f>IFERROR(__xludf.DUMMYFUNCTION("""COMPUTED_VALUE"""),"Kate Weeks")</f>
        <v>Kate Weeks</v>
      </c>
      <c r="H2062" s="24">
        <f>IFERROR(__xludf.DUMMYFUNCTION("""COMPUTED_VALUE"""),20.0)</f>
        <v>20</v>
      </c>
      <c r="I2062" s="24"/>
    </row>
    <row r="2063">
      <c r="A2063" s="23">
        <f>IFERROR(__xludf.DUMMYFUNCTION("""COMPUTED_VALUE"""),44877.56170927083)</f>
        <v>44877.56171</v>
      </c>
      <c r="B2063" s="24" t="str">
        <f>IFERROR(__xludf.DUMMYFUNCTION("""COMPUTED_VALUE"""),"Juanita Chandler ")</f>
        <v>Juanita Chandler </v>
      </c>
      <c r="C2063" s="24">
        <f>IFERROR(__xludf.DUMMYFUNCTION("""COMPUTED_VALUE"""),460.0)</f>
        <v>460</v>
      </c>
      <c r="D2063" s="24" t="str">
        <f>IFERROR(__xludf.DUMMYFUNCTION("""COMPUTED_VALUE"""),"Produce")</f>
        <v>Produce</v>
      </c>
      <c r="F2063" s="23">
        <f>IFERROR(__xludf.DUMMYFUNCTION("""COMPUTED_VALUE"""),44815.0)</f>
        <v>44815</v>
      </c>
      <c r="G2063" s="24" t="str">
        <f>IFERROR(__xludf.DUMMYFUNCTION("""COMPUTED_VALUE"""),"Travis")</f>
        <v>Travis</v>
      </c>
      <c r="H2063" s="24">
        <f>IFERROR(__xludf.DUMMYFUNCTION("""COMPUTED_VALUE"""),20.0)</f>
        <v>20</v>
      </c>
      <c r="I2063" s="24"/>
    </row>
    <row r="2064">
      <c r="A2064" s="23">
        <f>IFERROR(__xludf.DUMMYFUNCTION("""COMPUTED_VALUE"""),44877.56237665509)</f>
        <v>44877.56238</v>
      </c>
      <c r="B2064" s="24" t="str">
        <f>IFERROR(__xludf.DUMMYFUNCTION("""COMPUTED_VALUE"""),"Juanita Chandler ")</f>
        <v>Juanita Chandler </v>
      </c>
      <c r="C2064" s="24">
        <f>IFERROR(__xludf.DUMMYFUNCTION("""COMPUTED_VALUE"""),481.0)</f>
        <v>481</v>
      </c>
      <c r="D2064" s="24" t="str">
        <f>IFERROR(__xludf.DUMMYFUNCTION("""COMPUTED_VALUE"""),"Produce")</f>
        <v>Produce</v>
      </c>
      <c r="F2064" s="23">
        <f>IFERROR(__xludf.DUMMYFUNCTION("""COMPUTED_VALUE"""),44815.0)</f>
        <v>44815</v>
      </c>
      <c r="G2064" s="24" t="str">
        <f>IFERROR(__xludf.DUMMYFUNCTION("""COMPUTED_VALUE"""),"Travis")</f>
        <v>Travis</v>
      </c>
      <c r="H2064" s="24">
        <f>IFERROR(__xludf.DUMMYFUNCTION("""COMPUTED_VALUE"""),3.0)</f>
        <v>3</v>
      </c>
      <c r="I2064" s="24"/>
    </row>
    <row r="2065">
      <c r="A2065" s="23">
        <f>IFERROR(__xludf.DUMMYFUNCTION("""COMPUTED_VALUE"""),44877.56277372685)</f>
        <v>44877.56277</v>
      </c>
      <c r="B2065" s="24" t="str">
        <f>IFERROR(__xludf.DUMMYFUNCTION("""COMPUTED_VALUE"""),"Juanita Chandler ")</f>
        <v>Juanita Chandler </v>
      </c>
      <c r="C2065" s="24">
        <f>IFERROR(__xludf.DUMMYFUNCTION("""COMPUTED_VALUE"""),449.0)</f>
        <v>449</v>
      </c>
      <c r="D2065" s="24" t="str">
        <f>IFERROR(__xludf.DUMMYFUNCTION("""COMPUTED_VALUE"""),"Produce")</f>
        <v>Produce</v>
      </c>
      <c r="F2065" s="23">
        <f>IFERROR(__xludf.DUMMYFUNCTION("""COMPUTED_VALUE"""),44815.547299548605)</f>
        <v>44815.5473</v>
      </c>
      <c r="G2065" s="24" t="str">
        <f>IFERROR(__xludf.DUMMYFUNCTION("""COMPUTED_VALUE"""),"Alex")</f>
        <v>Alex</v>
      </c>
      <c r="H2065" s="24">
        <f>IFERROR(__xludf.DUMMYFUNCTION("""COMPUTED_VALUE"""),190.0)</f>
        <v>190</v>
      </c>
      <c r="I2065" s="24" t="str">
        <f>IFERROR(__xludf.DUMMYFUNCTION("""COMPUTED_VALUE"""),"Assorted Fridge")</f>
        <v>Assorted Fridge</v>
      </c>
    </row>
    <row r="2066">
      <c r="A2066" s="23">
        <f>IFERROR(__xludf.DUMMYFUNCTION("""COMPUTED_VALUE"""),44877.608119780096)</f>
        <v>44877.60812</v>
      </c>
      <c r="B2066" s="24" t="str">
        <f>IFERROR(__xludf.DUMMYFUNCTION("""COMPUTED_VALUE"""),"JC")</f>
        <v>JC</v>
      </c>
      <c r="C2066" s="24">
        <f>IFERROR(__xludf.DUMMYFUNCTION("""COMPUTED_VALUE"""),53.0)</f>
        <v>53</v>
      </c>
      <c r="D2066" s="24" t="str">
        <f>IFERROR(__xludf.DUMMYFUNCTION("""COMPUTED_VALUE"""),"Snacks")</f>
        <v>Snacks</v>
      </c>
      <c r="F2066" s="23">
        <f>IFERROR(__xludf.DUMMYFUNCTION("""COMPUTED_VALUE"""),44815.63246128472)</f>
        <v>44815.63246</v>
      </c>
      <c r="G2066" s="24" t="str">
        <f>IFERROR(__xludf.DUMMYFUNCTION("""COMPUTED_VALUE"""),"Lynnette c")</f>
        <v>Lynnette c</v>
      </c>
      <c r="H2066" s="24">
        <f>IFERROR(__xludf.DUMMYFUNCTION("""COMPUTED_VALUE"""),1.0)</f>
        <v>1</v>
      </c>
      <c r="I2066" s="24"/>
    </row>
    <row r="2067">
      <c r="A2067" s="23">
        <f>IFERROR(__xludf.DUMMYFUNCTION("""COMPUTED_VALUE"""),44877.617373229165)</f>
        <v>44877.61737</v>
      </c>
      <c r="B2067" s="24" t="str">
        <f>IFERROR(__xludf.DUMMYFUNCTION("""COMPUTED_VALUE"""),"Dean Chien")</f>
        <v>Dean Chien</v>
      </c>
      <c r="C2067" s="24">
        <f>IFERROR(__xludf.DUMMYFUNCTION("""COMPUTED_VALUE"""),184.0)</f>
        <v>184</v>
      </c>
      <c r="D2067" s="24" t="str">
        <f>IFERROR(__xludf.DUMMYFUNCTION("""COMPUTED_VALUE"""),"Meat [Raw]")</f>
        <v>Meat [Raw]</v>
      </c>
      <c r="F2067" s="23">
        <f>IFERROR(__xludf.DUMMYFUNCTION("""COMPUTED_VALUE"""),44815.66233570602)</f>
        <v>44815.66234</v>
      </c>
      <c r="G2067" s="24" t="str">
        <f>IFERROR(__xludf.DUMMYFUNCTION("""COMPUTED_VALUE"""),"Yulia")</f>
        <v>Yulia</v>
      </c>
      <c r="H2067" s="24">
        <f>IFERROR(__xludf.DUMMYFUNCTION("""COMPUTED_VALUE"""),20.0)</f>
        <v>20</v>
      </c>
      <c r="I2067" s="24"/>
    </row>
    <row r="2068">
      <c r="A2068" s="23">
        <f>IFERROR(__xludf.DUMMYFUNCTION("""COMPUTED_VALUE"""),44877.66694070602)</f>
        <v>44877.66694</v>
      </c>
      <c r="B2068" s="24" t="str">
        <f>IFERROR(__xludf.DUMMYFUNCTION("""COMPUTED_VALUE"""),"Juanita Chandler ")</f>
        <v>Juanita Chandler </v>
      </c>
      <c r="C2068" s="24">
        <f>IFERROR(__xludf.DUMMYFUNCTION("""COMPUTED_VALUE"""),-275.0)</f>
        <v>-275</v>
      </c>
      <c r="D2068" s="24" t="str">
        <f>IFERROR(__xludf.DUMMYFUNCTION("""COMPUTED_VALUE"""),"Produce")</f>
        <v>Produce</v>
      </c>
      <c r="F2068" s="23">
        <f>IFERROR(__xludf.DUMMYFUNCTION("""COMPUTED_VALUE"""),44815.67642116898)</f>
        <v>44815.67642</v>
      </c>
      <c r="G2068" s="24" t="str">
        <f>IFERROR(__xludf.DUMMYFUNCTION("""COMPUTED_VALUE"""),"Opey")</f>
        <v>Opey</v>
      </c>
      <c r="H2068" s="24">
        <f>IFERROR(__xludf.DUMMYFUNCTION("""COMPUTED_VALUE"""),4.0)</f>
        <v>4</v>
      </c>
      <c r="I2068" s="24"/>
    </row>
    <row r="2069">
      <c r="A2069" s="23">
        <f>IFERROR(__xludf.DUMMYFUNCTION("""COMPUTED_VALUE"""),44877.66735390046)</f>
        <v>44877.66735</v>
      </c>
      <c r="B2069" s="24" t="str">
        <f>IFERROR(__xludf.DUMMYFUNCTION("""COMPUTED_VALUE"""),"Juanita Chandler ")</f>
        <v>Juanita Chandler </v>
      </c>
      <c r="C2069" s="24">
        <f>IFERROR(__xludf.DUMMYFUNCTION("""COMPUTED_VALUE"""),-180.0)</f>
        <v>-180</v>
      </c>
      <c r="D2069" s="24" t="str">
        <f>IFERROR(__xludf.DUMMYFUNCTION("""COMPUTED_VALUE"""),"Produce")</f>
        <v>Produce</v>
      </c>
      <c r="F2069" s="23">
        <f>IFERROR(__xludf.DUMMYFUNCTION("""COMPUTED_VALUE"""),44815.67653262731)</f>
        <v>44815.67653</v>
      </c>
      <c r="G2069" s="24" t="str">
        <f>IFERROR(__xludf.DUMMYFUNCTION("""COMPUTED_VALUE"""),"Zoe")</f>
        <v>Zoe</v>
      </c>
      <c r="H2069" s="24">
        <f>IFERROR(__xludf.DUMMYFUNCTION("""COMPUTED_VALUE"""),11.0)</f>
        <v>11</v>
      </c>
      <c r="I2069" s="24"/>
    </row>
    <row r="2070">
      <c r="A2070" s="23">
        <f>IFERROR(__xludf.DUMMYFUNCTION("""COMPUTED_VALUE"""),44877.67093918981)</f>
        <v>44877.67094</v>
      </c>
      <c r="B2070" s="24" t="str">
        <f>IFERROR(__xludf.DUMMYFUNCTION("""COMPUTED_VALUE"""),"Juanita Chandler ")</f>
        <v>Juanita Chandler </v>
      </c>
      <c r="C2070" s="24">
        <f>IFERROR(__xludf.DUMMYFUNCTION("""COMPUTED_VALUE"""),-138.0)</f>
        <v>-138</v>
      </c>
      <c r="D2070" s="24" t="str">
        <f>IFERROR(__xludf.DUMMYFUNCTION("""COMPUTED_VALUE"""),"Produce")</f>
        <v>Produce</v>
      </c>
      <c r="F2070" s="23">
        <f>IFERROR(__xludf.DUMMYFUNCTION("""COMPUTED_VALUE"""),44815.67769469908)</f>
        <v>44815.67769</v>
      </c>
      <c r="G2070" s="24" t="str">
        <f>IFERROR(__xludf.DUMMYFUNCTION("""COMPUTED_VALUE"""),"Zoe")</f>
        <v>Zoe</v>
      </c>
      <c r="H2070" s="24">
        <f>IFERROR(__xludf.DUMMYFUNCTION("""COMPUTED_VALUE"""),698.0)</f>
        <v>698</v>
      </c>
      <c r="I2070" s="24" t="str">
        <f>IFERROR(__xludf.DUMMYFUNCTION("""COMPUTED_VALUE"""),"Amazon")</f>
        <v>Amazon</v>
      </c>
    </row>
    <row r="2071">
      <c r="A2071" s="23">
        <f>IFERROR(__xludf.DUMMYFUNCTION("""COMPUTED_VALUE"""),44877.671651006945)</f>
        <v>44877.67165</v>
      </c>
      <c r="B2071" s="24" t="str">
        <f>IFERROR(__xludf.DUMMYFUNCTION("""COMPUTED_VALUE"""),"Juanita Chandler ")</f>
        <v>Juanita Chandler </v>
      </c>
      <c r="C2071" s="24">
        <f>IFERROR(__xludf.DUMMYFUNCTION("""COMPUTED_VALUE"""),-791.0)</f>
        <v>-791</v>
      </c>
      <c r="D2071" s="24" t="str">
        <f>IFERROR(__xludf.DUMMYFUNCTION("""COMPUTED_VALUE"""),"Produce")</f>
        <v>Produce</v>
      </c>
      <c r="F2071" s="23">
        <f>IFERROR(__xludf.DUMMYFUNCTION("""COMPUTED_VALUE"""),44815.67804172454)</f>
        <v>44815.67804</v>
      </c>
      <c r="G2071" s="24" t="str">
        <f>IFERROR(__xludf.DUMMYFUNCTION("""COMPUTED_VALUE"""),"Zoe")</f>
        <v>Zoe</v>
      </c>
      <c r="H2071" s="24">
        <f>IFERROR(__xludf.DUMMYFUNCTION("""COMPUTED_VALUE"""),795.0)</f>
        <v>795</v>
      </c>
      <c r="I2071" s="24" t="str">
        <f>IFERROR(__xludf.DUMMYFUNCTION("""COMPUTED_VALUE"""),"Amazon")</f>
        <v>Amazon</v>
      </c>
    </row>
    <row r="2072">
      <c r="A2072" s="23">
        <f>IFERROR(__xludf.DUMMYFUNCTION("""COMPUTED_VALUE"""),44877.67312697917)</f>
        <v>44877.67313</v>
      </c>
      <c r="B2072" s="24" t="str">
        <f>IFERROR(__xludf.DUMMYFUNCTION("""COMPUTED_VALUE"""),"Juanita Chandler ")</f>
        <v>Juanita Chandler </v>
      </c>
      <c r="C2072" s="24">
        <f>IFERROR(__xludf.DUMMYFUNCTION("""COMPUTED_VALUE"""),-48.0)</f>
        <v>-48</v>
      </c>
      <c r="D2072" s="24" t="str">
        <f>IFERROR(__xludf.DUMMYFUNCTION("""COMPUTED_VALUE"""),"Snacks")</f>
        <v>Snacks</v>
      </c>
      <c r="F2072" s="23">
        <f>IFERROR(__xludf.DUMMYFUNCTION("""COMPUTED_VALUE"""),44815.67826804398)</f>
        <v>44815.67827</v>
      </c>
      <c r="G2072" s="24" t="str">
        <f>IFERROR(__xludf.DUMMYFUNCTION("""COMPUTED_VALUE"""),"Opey")</f>
        <v>Opey</v>
      </c>
      <c r="H2072" s="24">
        <f>IFERROR(__xludf.DUMMYFUNCTION("""COMPUTED_VALUE"""),816.0)</f>
        <v>816</v>
      </c>
      <c r="I2072" s="24" t="str">
        <f>IFERROR(__xludf.DUMMYFUNCTION("""COMPUTED_VALUE"""),"Assorted Fridge")</f>
        <v>Assorted Fridge</v>
      </c>
    </row>
    <row r="2073">
      <c r="A2073" s="23">
        <f>IFERROR(__xludf.DUMMYFUNCTION("""COMPUTED_VALUE"""),44877.673589467595)</f>
        <v>44877.67359</v>
      </c>
      <c r="B2073" s="24" t="str">
        <f>IFERROR(__xludf.DUMMYFUNCTION("""COMPUTED_VALUE"""),"Juanita Chandler ")</f>
        <v>Juanita Chandler </v>
      </c>
      <c r="C2073" s="24">
        <f>IFERROR(__xludf.DUMMYFUNCTION("""COMPUTED_VALUE"""),-70.0)</f>
        <v>-70</v>
      </c>
      <c r="D2073" s="24" t="str">
        <f>IFERROR(__xludf.DUMMYFUNCTION("""COMPUTED_VALUE"""),"Produce")</f>
        <v>Produce</v>
      </c>
      <c r="F2073" s="23">
        <f>IFERROR(__xludf.DUMMYFUNCTION("""COMPUTED_VALUE"""),44815.67842222222)</f>
        <v>44815.67842</v>
      </c>
      <c r="G2073" s="24" t="str">
        <f>IFERROR(__xludf.DUMMYFUNCTION("""COMPUTED_VALUE"""),"Zoe")</f>
        <v>Zoe</v>
      </c>
      <c r="H2073" s="24">
        <f>IFERROR(__xludf.DUMMYFUNCTION("""COMPUTED_VALUE"""),361.0)</f>
        <v>361</v>
      </c>
      <c r="I2073" s="24" t="str">
        <f>IFERROR(__xludf.DUMMYFUNCTION("""COMPUTED_VALUE"""),"Amazon")</f>
        <v>Amazon</v>
      </c>
    </row>
    <row r="2074">
      <c r="A2074" s="23">
        <f>IFERROR(__xludf.DUMMYFUNCTION("""COMPUTED_VALUE"""),44877.67503289352)</f>
        <v>44877.67503</v>
      </c>
      <c r="B2074" s="24" t="str">
        <f>IFERROR(__xludf.DUMMYFUNCTION("""COMPUTED_VALUE"""),"Juanita Chandler ")</f>
        <v>Juanita Chandler </v>
      </c>
      <c r="C2074" s="24">
        <f>IFERROR(__xludf.DUMMYFUNCTION("""COMPUTED_VALUE"""),-334.0)</f>
        <v>-334</v>
      </c>
      <c r="D2074" s="24" t="str">
        <f>IFERROR(__xludf.DUMMYFUNCTION("""COMPUTED_VALUE"""),"Dole Fruit Cup ")</f>
        <v>Dole Fruit Cup </v>
      </c>
      <c r="F2074" s="23">
        <f>IFERROR(__xludf.DUMMYFUNCTION("""COMPUTED_VALUE"""),44815.67885564815)</f>
        <v>44815.67886</v>
      </c>
      <c r="G2074" s="24" t="str">
        <f>IFERROR(__xludf.DUMMYFUNCTION("""COMPUTED_VALUE"""),"Zoe")</f>
        <v>Zoe</v>
      </c>
      <c r="H2074" s="24">
        <f>IFERROR(__xludf.DUMMYFUNCTION("""COMPUTED_VALUE"""),705.0)</f>
        <v>705</v>
      </c>
      <c r="I2074" s="24" t="str">
        <f>IFERROR(__xludf.DUMMYFUNCTION("""COMPUTED_VALUE"""),"Amazon")</f>
        <v>Amazon</v>
      </c>
    </row>
    <row r="2075">
      <c r="A2075" s="23">
        <f>IFERROR(__xludf.DUMMYFUNCTION("""COMPUTED_VALUE"""),44877.6778175)</f>
        <v>44877.67782</v>
      </c>
      <c r="B2075" s="24" t="str">
        <f>IFERROR(__xludf.DUMMYFUNCTION("""COMPUTED_VALUE"""),"Juanita Chandler ")</f>
        <v>Juanita Chandler </v>
      </c>
      <c r="C2075" s="24">
        <f>IFERROR(__xludf.DUMMYFUNCTION("""COMPUTED_VALUE"""),-390.0)</f>
        <v>-390</v>
      </c>
      <c r="D2075" s="24" t="str">
        <f>IFERROR(__xludf.DUMMYFUNCTION("""COMPUTED_VALUE"""),"Dole fruit cup ")</f>
        <v>Dole fruit cup </v>
      </c>
      <c r="F2075" s="23">
        <f>IFERROR(__xludf.DUMMYFUNCTION("""COMPUTED_VALUE"""),44815.67902425926)</f>
        <v>44815.67902</v>
      </c>
      <c r="G2075" s="24" t="str">
        <f>IFERROR(__xludf.DUMMYFUNCTION("""COMPUTED_VALUE"""),"Opey")</f>
        <v>Opey</v>
      </c>
      <c r="H2075" s="24">
        <f>IFERROR(__xludf.DUMMYFUNCTION("""COMPUTED_VALUE"""),1106.0)</f>
        <v>1106</v>
      </c>
      <c r="I2075" s="24" t="str">
        <f>IFERROR(__xludf.DUMMYFUNCTION("""COMPUTED_VALUE"""),"Assorted Dry")</f>
        <v>Assorted Dry</v>
      </c>
    </row>
    <row r="2076">
      <c r="A2076" s="23">
        <f>IFERROR(__xludf.DUMMYFUNCTION("""COMPUTED_VALUE"""),44877.68047829861)</f>
        <v>44877.68048</v>
      </c>
      <c r="B2076" s="24"/>
      <c r="C2076" s="24">
        <f>IFERROR(__xludf.DUMMYFUNCTION("""COMPUTED_VALUE"""),-146.0)</f>
        <v>-146</v>
      </c>
      <c r="D2076" s="24" t="str">
        <f>IFERROR(__xludf.DUMMYFUNCTION("""COMPUTED_VALUE"""),"Snacks")</f>
        <v>Snacks</v>
      </c>
      <c r="F2076" s="23">
        <f>IFERROR(__xludf.DUMMYFUNCTION("""COMPUTED_VALUE"""),44815.67960964121)</f>
        <v>44815.67961</v>
      </c>
      <c r="G2076" s="24" t="str">
        <f>IFERROR(__xludf.DUMMYFUNCTION("""COMPUTED_VALUE"""),"Zoe")</f>
        <v>Zoe</v>
      </c>
      <c r="H2076" s="24">
        <f>IFERROR(__xludf.DUMMYFUNCTION("""COMPUTED_VALUE"""),19.0)</f>
        <v>19</v>
      </c>
      <c r="I2076" s="24" t="str">
        <f>IFERROR(__xludf.DUMMYFUNCTION("""COMPUTED_VALUE"""),"Sandtown quakers")</f>
        <v>Sandtown quakers</v>
      </c>
    </row>
    <row r="2077">
      <c r="A2077" s="23">
        <f>IFERROR(__xludf.DUMMYFUNCTION("""COMPUTED_VALUE"""),44878.515730115745)</f>
        <v>44878.51573</v>
      </c>
      <c r="B2077" s="24" t="str">
        <f>IFERROR(__xludf.DUMMYFUNCTION("""COMPUTED_VALUE"""),"Dorja ")</f>
        <v>Dorja </v>
      </c>
      <c r="C2077" s="24">
        <f>IFERROR(__xludf.DUMMYFUNCTION("""COMPUTED_VALUE"""),466.0)</f>
        <v>466</v>
      </c>
      <c r="D2077" s="24" t="str">
        <f>IFERROR(__xludf.DUMMYFUNCTION("""COMPUTED_VALUE"""),"Dole fruit cups")</f>
        <v>Dole fruit cups</v>
      </c>
      <c r="F2077" s="23">
        <f>IFERROR(__xludf.DUMMYFUNCTION("""COMPUTED_VALUE"""),44815.68005928241)</f>
        <v>44815.68006</v>
      </c>
      <c r="G2077" s="24" t="str">
        <f>IFERROR(__xludf.DUMMYFUNCTION("""COMPUTED_VALUE"""),"Opey")</f>
        <v>Opey</v>
      </c>
      <c r="H2077" s="24">
        <f>IFERROR(__xludf.DUMMYFUNCTION("""COMPUTED_VALUE"""),85.0)</f>
        <v>85</v>
      </c>
      <c r="I2077" s="24" t="str">
        <f>IFERROR(__xludf.DUMMYFUNCTION("""COMPUTED_VALUE"""),"Assorted Dry")</f>
        <v>Assorted Dry</v>
      </c>
    </row>
    <row r="2078">
      <c r="A2078" s="23">
        <f>IFERROR(__xludf.DUMMYFUNCTION("""COMPUTED_VALUE"""),44878.5163746875)</f>
        <v>44878.51637</v>
      </c>
      <c r="B2078" s="24" t="str">
        <f>IFERROR(__xludf.DUMMYFUNCTION("""COMPUTED_VALUE"""),"Dorja")</f>
        <v>Dorja</v>
      </c>
      <c r="C2078" s="24">
        <f>IFERROR(__xludf.DUMMYFUNCTION("""COMPUTED_VALUE"""),48.0)</f>
        <v>48</v>
      </c>
      <c r="D2078" s="24" t="str">
        <f>IFERROR(__xludf.DUMMYFUNCTION("""COMPUTED_VALUE"""),"Snacks")</f>
        <v>Snacks</v>
      </c>
      <c r="F2078" s="23">
        <f>IFERROR(__xludf.DUMMYFUNCTION("""COMPUTED_VALUE"""),44815.68021114583)</f>
        <v>44815.68021</v>
      </c>
      <c r="G2078" s="24" t="str">
        <f>IFERROR(__xludf.DUMMYFUNCTION("""COMPUTED_VALUE"""),"Zoe")</f>
        <v>Zoe</v>
      </c>
      <c r="H2078" s="24">
        <f>IFERROR(__xludf.DUMMYFUNCTION("""COMPUTED_VALUE"""),132.0)</f>
        <v>132</v>
      </c>
      <c r="I2078" s="24" t="str">
        <f>IFERROR(__xludf.DUMMYFUNCTION("""COMPUTED_VALUE"""),"Arce")</f>
        <v>Arce</v>
      </c>
    </row>
    <row r="2079">
      <c r="A2079" s="23">
        <f>IFERROR(__xludf.DUMMYFUNCTION("""COMPUTED_VALUE"""),44878.523037743056)</f>
        <v>44878.52304</v>
      </c>
      <c r="B2079" s="24" t="str">
        <f>IFERROR(__xludf.DUMMYFUNCTION("""COMPUTED_VALUE"""),"Dorja")</f>
        <v>Dorja</v>
      </c>
      <c r="C2079" s="24">
        <f>IFERROR(__xludf.DUMMYFUNCTION("""COMPUTED_VALUE"""),81.0)</f>
        <v>81</v>
      </c>
      <c r="D2079" s="24" t="str">
        <f>IFERROR(__xludf.DUMMYFUNCTION("""COMPUTED_VALUE"""),"Produce")</f>
        <v>Produce</v>
      </c>
      <c r="F2079" s="23">
        <f>IFERROR(__xludf.DUMMYFUNCTION("""COMPUTED_VALUE"""),44815.68142570602)</f>
        <v>44815.68143</v>
      </c>
      <c r="G2079" s="24" t="str">
        <f>IFERROR(__xludf.DUMMYFUNCTION("""COMPUTED_VALUE"""),"Opey")</f>
        <v>Opey</v>
      </c>
      <c r="H2079" s="24">
        <f>IFERROR(__xludf.DUMMYFUNCTION("""COMPUTED_VALUE"""),837.0)</f>
        <v>837</v>
      </c>
      <c r="I2079" s="24" t="str">
        <f>IFERROR(__xludf.DUMMYFUNCTION("""COMPUTED_VALUE"""),"Assorted Fridge")</f>
        <v>Assorted Fridge</v>
      </c>
    </row>
    <row r="2080">
      <c r="A2080" s="23">
        <f>IFERROR(__xludf.DUMMYFUNCTION("""COMPUTED_VALUE"""),44878.0)</f>
        <v>44878</v>
      </c>
      <c r="B2080" s="24" t="str">
        <f>IFERROR(__xludf.DUMMYFUNCTION("""COMPUTED_VALUE"""),"Claire")</f>
        <v>Claire</v>
      </c>
      <c r="C2080" s="24">
        <f>IFERROR(__xludf.DUMMYFUNCTION("""COMPUTED_VALUE"""),322.0)</f>
        <v>322</v>
      </c>
      <c r="D2080" s="24" t="str">
        <f>IFERROR(__xludf.DUMMYFUNCTION("""COMPUTED_VALUE"""),"Assorted Dry")</f>
        <v>Assorted Dry</v>
      </c>
      <c r="F2080" s="23">
        <f>IFERROR(__xludf.DUMMYFUNCTION("""COMPUTED_VALUE"""),44816.68644114583)</f>
        <v>44816.68644</v>
      </c>
      <c r="G2080" s="24" t="str">
        <f>IFERROR(__xludf.DUMMYFUNCTION("""COMPUTED_VALUE"""),"JC")</f>
        <v>JC</v>
      </c>
      <c r="H2080" s="24">
        <f>IFERROR(__xludf.DUMMYFUNCTION("""COMPUTED_VALUE"""),344.0)</f>
        <v>344</v>
      </c>
      <c r="I2080" s="24" t="str">
        <f>IFERROR(__xludf.DUMMYFUNCTION("""COMPUTED_VALUE"""),"Amazon")</f>
        <v>Amazon</v>
      </c>
    </row>
    <row r="2081">
      <c r="A2081" s="23">
        <f>IFERROR(__xludf.DUMMYFUNCTION("""COMPUTED_VALUE"""),44878.0)</f>
        <v>44878</v>
      </c>
      <c r="B2081" s="24" t="str">
        <f>IFERROR(__xludf.DUMMYFUNCTION("""COMPUTED_VALUE"""),"Claire")</f>
        <v>Claire</v>
      </c>
      <c r="C2081" s="24">
        <f>IFERROR(__xludf.DUMMYFUNCTION("""COMPUTED_VALUE"""),160.0)</f>
        <v>160</v>
      </c>
      <c r="D2081" s="24" t="str">
        <f>IFERROR(__xludf.DUMMYFUNCTION("""COMPUTED_VALUE"""),"Dairy")</f>
        <v>Dairy</v>
      </c>
      <c r="F2081" s="23">
        <f>IFERROR(__xludf.DUMMYFUNCTION("""COMPUTED_VALUE"""),44816.68671373843)</f>
        <v>44816.68671</v>
      </c>
      <c r="G2081" s="24" t="str">
        <f>IFERROR(__xludf.DUMMYFUNCTION("""COMPUTED_VALUE"""),"JC")</f>
        <v>JC</v>
      </c>
      <c r="H2081" s="24">
        <f>IFERROR(__xludf.DUMMYFUNCTION("""COMPUTED_VALUE"""),331.0)</f>
        <v>331</v>
      </c>
      <c r="I2081" s="24" t="str">
        <f>IFERROR(__xludf.DUMMYFUNCTION("""COMPUTED_VALUE"""),"Amazon")</f>
        <v>Amazon</v>
      </c>
    </row>
    <row r="2082">
      <c r="A2082" s="23">
        <f>IFERROR(__xludf.DUMMYFUNCTION("""COMPUTED_VALUE"""),44878.0)</f>
        <v>44878</v>
      </c>
      <c r="B2082" s="24" t="str">
        <f>IFERROR(__xludf.DUMMYFUNCTION("""COMPUTED_VALUE"""),"Claire")</f>
        <v>Claire</v>
      </c>
      <c r="C2082" s="24">
        <f>IFERROR(__xludf.DUMMYFUNCTION("""COMPUTED_VALUE"""),74.0)</f>
        <v>74</v>
      </c>
      <c r="D2082" s="24" t="str">
        <f>IFERROR(__xludf.DUMMYFUNCTION("""COMPUTED_VALUE"""),"Snacks")</f>
        <v>Snacks</v>
      </c>
      <c r="F2082" s="23">
        <f>IFERROR(__xludf.DUMMYFUNCTION("""COMPUTED_VALUE"""),44816.686999108795)</f>
        <v>44816.687</v>
      </c>
      <c r="G2082" s="24" t="str">
        <f>IFERROR(__xludf.DUMMYFUNCTION("""COMPUTED_VALUE"""),"JC")</f>
        <v>JC</v>
      </c>
      <c r="H2082" s="24">
        <f>IFERROR(__xludf.DUMMYFUNCTION("""COMPUTED_VALUE"""),838.0)</f>
        <v>838</v>
      </c>
      <c r="I2082" s="24" t="str">
        <f>IFERROR(__xludf.DUMMYFUNCTION("""COMPUTED_VALUE"""),"Amazon")</f>
        <v>Amazon</v>
      </c>
    </row>
    <row r="2083">
      <c r="A2083" s="23">
        <f>IFERROR(__xludf.DUMMYFUNCTION("""COMPUTED_VALUE"""),44878.0)</f>
        <v>44878</v>
      </c>
      <c r="B2083" s="24" t="str">
        <f>IFERROR(__xludf.DUMMYFUNCTION("""COMPUTED_VALUE"""),"Claire")</f>
        <v>Claire</v>
      </c>
      <c r="C2083" s="24">
        <f>IFERROR(__xludf.DUMMYFUNCTION("""COMPUTED_VALUE"""),148.0)</f>
        <v>148</v>
      </c>
      <c r="D2083" s="24" t="str">
        <f>IFERROR(__xludf.DUMMYFUNCTION("""COMPUTED_VALUE"""),"Dairy")</f>
        <v>Dairy</v>
      </c>
      <c r="F2083" s="23">
        <f>IFERROR(__xludf.DUMMYFUNCTION("""COMPUTED_VALUE"""),44816.68728121528)</f>
        <v>44816.68728</v>
      </c>
      <c r="G2083" s="24" t="str">
        <f>IFERROR(__xludf.DUMMYFUNCTION("""COMPUTED_VALUE"""),"JC")</f>
        <v>JC</v>
      </c>
      <c r="H2083" s="24">
        <f>IFERROR(__xludf.DUMMYFUNCTION("""COMPUTED_VALUE"""),813.0)</f>
        <v>813</v>
      </c>
      <c r="I2083" s="24" t="str">
        <f>IFERROR(__xludf.DUMMYFUNCTION("""COMPUTED_VALUE"""),"Amazon")</f>
        <v>Amazon</v>
      </c>
    </row>
    <row r="2084">
      <c r="A2084" s="23">
        <f>IFERROR(__xludf.DUMMYFUNCTION("""COMPUTED_VALUE"""),44878.0)</f>
        <v>44878</v>
      </c>
      <c r="B2084" s="24" t="str">
        <f>IFERROR(__xludf.DUMMYFUNCTION("""COMPUTED_VALUE"""),"Claire")</f>
        <v>Claire</v>
      </c>
      <c r="C2084" s="24">
        <f>IFERROR(__xludf.DUMMYFUNCTION("""COMPUTED_VALUE"""),86.0)</f>
        <v>86</v>
      </c>
      <c r="D2084" s="24" t="str">
        <f>IFERROR(__xludf.DUMMYFUNCTION("""COMPUTED_VALUE"""),"Assorted Dry")</f>
        <v>Assorted Dry</v>
      </c>
      <c r="F2084" s="23">
        <f>IFERROR(__xludf.DUMMYFUNCTION("""COMPUTED_VALUE"""),44817.0)</f>
        <v>44817</v>
      </c>
      <c r="G2084" s="24" t="str">
        <f>IFERROR(__xludf.DUMMYFUNCTION("""COMPUTED_VALUE"""),"Barbara Jordan")</f>
        <v>Barbara Jordan</v>
      </c>
      <c r="H2084" s="24">
        <f>IFERROR(__xludf.DUMMYFUNCTION("""COMPUTED_VALUE"""),20.0)</f>
        <v>20</v>
      </c>
      <c r="I2084" s="24"/>
    </row>
    <row r="2085">
      <c r="A2085" s="23">
        <f>IFERROR(__xludf.DUMMYFUNCTION("""COMPUTED_VALUE"""),44878.0)</f>
        <v>44878</v>
      </c>
      <c r="B2085" s="24" t="str">
        <f>IFERROR(__xludf.DUMMYFUNCTION("""COMPUTED_VALUE"""),"Claire")</f>
        <v>Claire</v>
      </c>
      <c r="C2085" s="24">
        <f>IFERROR(__xludf.DUMMYFUNCTION("""COMPUTED_VALUE"""),42.0)</f>
        <v>42</v>
      </c>
      <c r="D2085" s="24" t="str">
        <f>IFERROR(__xludf.DUMMYFUNCTION("""COMPUTED_VALUE"""),"Pet Supplies")</f>
        <v>Pet Supplies</v>
      </c>
      <c r="F2085" s="23">
        <f>IFERROR(__xludf.DUMMYFUNCTION("""COMPUTED_VALUE"""),44817.0)</f>
        <v>44817</v>
      </c>
      <c r="G2085" s="24" t="str">
        <f>IFERROR(__xludf.DUMMYFUNCTION("""COMPUTED_VALUE"""),"Barbara Jordan")</f>
        <v>Barbara Jordan</v>
      </c>
      <c r="H2085" s="24">
        <f>IFERROR(__xludf.DUMMYFUNCTION("""COMPUTED_VALUE"""),7.0)</f>
        <v>7</v>
      </c>
      <c r="I2085" s="24"/>
    </row>
    <row r="2086">
      <c r="A2086" s="23">
        <f>IFERROR(__xludf.DUMMYFUNCTION("""COMPUTED_VALUE"""),44878.655165219905)</f>
        <v>44878.65517</v>
      </c>
      <c r="B2086" s="24" t="str">
        <f>IFERROR(__xludf.DUMMYFUNCTION("""COMPUTED_VALUE"""),"Opeyemi ")</f>
        <v>Opeyemi </v>
      </c>
      <c r="C2086" s="24">
        <f>IFERROR(__xludf.DUMMYFUNCTION("""COMPUTED_VALUE"""),1159.0)</f>
        <v>1159</v>
      </c>
      <c r="D2086" s="24" t="str">
        <f>IFERROR(__xludf.DUMMYFUNCTION("""COMPUTED_VALUE"""),"Assorted Dry")</f>
        <v>Assorted Dry</v>
      </c>
      <c r="F2086" s="23">
        <f>IFERROR(__xludf.DUMMYFUNCTION("""COMPUTED_VALUE"""),44817.0)</f>
        <v>44817</v>
      </c>
      <c r="G2086" s="24" t="str">
        <f>IFERROR(__xludf.DUMMYFUNCTION("""COMPUTED_VALUE"""),"Jean")</f>
        <v>Jean</v>
      </c>
      <c r="H2086" s="24">
        <f>IFERROR(__xludf.DUMMYFUNCTION("""COMPUTED_VALUE"""),17.0)</f>
        <v>17</v>
      </c>
      <c r="I2086" s="24"/>
    </row>
    <row r="2087">
      <c r="A2087" s="23">
        <f>IFERROR(__xludf.DUMMYFUNCTION("""COMPUTED_VALUE"""),44880.62486859953)</f>
        <v>44880.62487</v>
      </c>
      <c r="B2087" s="24" t="str">
        <f>IFERROR(__xludf.DUMMYFUNCTION("""COMPUTED_VALUE"""),"Beverly Pinn")</f>
        <v>Beverly Pinn</v>
      </c>
      <c r="C2087" s="24">
        <f>IFERROR(__xludf.DUMMYFUNCTION("""COMPUTED_VALUE"""),1490.0)</f>
        <v>1490</v>
      </c>
      <c r="D2087" s="24" t="str">
        <f>IFERROR(__xludf.DUMMYFUNCTION("""COMPUTED_VALUE"""),"Health &amp; Beauty Products")</f>
        <v>Health &amp; Beauty Products</v>
      </c>
      <c r="F2087" s="23">
        <f>IFERROR(__xludf.DUMMYFUNCTION("""COMPUTED_VALUE"""),44817.0)</f>
        <v>44817</v>
      </c>
      <c r="G2087" s="24" t="str">
        <f>IFERROR(__xludf.DUMMYFUNCTION("""COMPUTED_VALUE"""),"Jean")</f>
        <v>Jean</v>
      </c>
      <c r="H2087" s="24">
        <f>IFERROR(__xludf.DUMMYFUNCTION("""COMPUTED_VALUE"""),16.0)</f>
        <v>16</v>
      </c>
      <c r="I2087" s="24"/>
    </row>
    <row r="2088">
      <c r="A2088" s="23">
        <f>IFERROR(__xludf.DUMMYFUNCTION("""COMPUTED_VALUE"""),44881.79287081018)</f>
        <v>44881.79287</v>
      </c>
      <c r="B2088" s="24" t="str">
        <f>IFERROR(__xludf.DUMMYFUNCTION("""COMPUTED_VALUE"""),"Claire")</f>
        <v>Claire</v>
      </c>
      <c r="C2088" s="24">
        <f>IFERROR(__xludf.DUMMYFUNCTION("""COMPUTED_VALUE"""),300.0)</f>
        <v>300</v>
      </c>
      <c r="D2088" s="24" t="str">
        <f>IFERROR(__xludf.DUMMYFUNCTION("""COMPUTED_VALUE"""),"Fruit cups")</f>
        <v>Fruit cups</v>
      </c>
      <c r="F2088" s="23">
        <f>IFERROR(__xludf.DUMMYFUNCTION("""COMPUTED_VALUE"""),44817.0)</f>
        <v>44817</v>
      </c>
      <c r="G2088" s="24" t="str">
        <f>IFERROR(__xludf.DUMMYFUNCTION("""COMPUTED_VALUE"""),"Doris Parker tuggle")</f>
        <v>Doris Parker tuggle</v>
      </c>
      <c r="H2088" s="24">
        <f>IFERROR(__xludf.DUMMYFUNCTION("""COMPUTED_VALUE"""),20.0)</f>
        <v>20</v>
      </c>
      <c r="I2088" s="24"/>
    </row>
    <row r="2089">
      <c r="A2089" s="23">
        <f>IFERROR(__xludf.DUMMYFUNCTION("""COMPUTED_VALUE"""),44881.793198437495)</f>
        <v>44881.7932</v>
      </c>
      <c r="B2089" s="24" t="str">
        <f>IFERROR(__xludf.DUMMYFUNCTION("""COMPUTED_VALUE"""),"Claire")</f>
        <v>Claire</v>
      </c>
      <c r="C2089" s="24">
        <f>IFERROR(__xludf.DUMMYFUNCTION("""COMPUTED_VALUE"""),476.0)</f>
        <v>476</v>
      </c>
      <c r="D2089" s="24" t="str">
        <f>IFERROR(__xludf.DUMMYFUNCTION("""COMPUTED_VALUE"""),"Fruit cups")</f>
        <v>Fruit cups</v>
      </c>
      <c r="F2089" s="23">
        <f>IFERROR(__xludf.DUMMYFUNCTION("""COMPUTED_VALUE"""),44817.63697892361)</f>
        <v>44817.63698</v>
      </c>
      <c r="G2089" s="24" t="str">
        <f>IFERROR(__xludf.DUMMYFUNCTION("""COMPUTED_VALUE"""),"First Fruit Farm - Corn")</f>
        <v>First Fruit Farm - Corn</v>
      </c>
      <c r="H2089" s="24">
        <f>IFERROR(__xludf.DUMMYFUNCTION("""COMPUTED_VALUE"""),529.0)</f>
        <v>529</v>
      </c>
      <c r="I2089" s="24" t="str">
        <f>IFERROR(__xludf.DUMMYFUNCTION("""COMPUTED_VALUE"""),"First Fruit Farms ")</f>
        <v>First Fruit Farms </v>
      </c>
    </row>
    <row r="2090">
      <c r="A2090" s="23">
        <f>IFERROR(__xludf.DUMMYFUNCTION("""COMPUTED_VALUE"""),44881.793530254625)</f>
        <v>44881.79353</v>
      </c>
      <c r="B2090" s="24" t="str">
        <f>IFERROR(__xludf.DUMMYFUNCTION("""COMPUTED_VALUE"""),"Claire")</f>
        <v>Claire</v>
      </c>
      <c r="C2090" s="24">
        <f>IFERROR(__xludf.DUMMYFUNCTION("""COMPUTED_VALUE"""),50.0)</f>
        <v>50</v>
      </c>
      <c r="D2090" s="24" t="str">
        <f>IFERROR(__xludf.DUMMYFUNCTION("""COMPUTED_VALUE"""),"Fruit cups")</f>
        <v>Fruit cups</v>
      </c>
      <c r="F2090" s="23">
        <f>IFERROR(__xludf.DUMMYFUNCTION("""COMPUTED_VALUE"""),44817.63765929398)</f>
        <v>44817.63766</v>
      </c>
      <c r="G2090" s="24" t="str">
        <f>IFERROR(__xludf.DUMMYFUNCTION("""COMPUTED_VALUE"""),"First Fruit Farm")</f>
        <v>First Fruit Farm</v>
      </c>
      <c r="H2090" s="24">
        <f>IFERROR(__xludf.DUMMYFUNCTION("""COMPUTED_VALUE"""),525.0)</f>
        <v>525</v>
      </c>
      <c r="I2090" s="24" t="str">
        <f>IFERROR(__xludf.DUMMYFUNCTION("""COMPUTED_VALUE"""),"First Fruit Farm ")</f>
        <v>First Fruit Farm </v>
      </c>
    </row>
    <row r="2091">
      <c r="A2091" s="23">
        <f>IFERROR(__xludf.DUMMYFUNCTION("""COMPUTED_VALUE"""),44881.79374361111)</f>
        <v>44881.79374</v>
      </c>
      <c r="B2091" s="24" t="str">
        <f>IFERROR(__xludf.DUMMYFUNCTION("""COMPUTED_VALUE"""),"Claire")</f>
        <v>Claire</v>
      </c>
      <c r="C2091" s="24">
        <f>IFERROR(__xludf.DUMMYFUNCTION("""COMPUTED_VALUE"""),70.0)</f>
        <v>70</v>
      </c>
      <c r="D2091" s="24" t="str">
        <f>IFERROR(__xludf.DUMMYFUNCTION("""COMPUTED_VALUE"""),"Fruit cups")</f>
        <v>Fruit cups</v>
      </c>
      <c r="F2091" s="23">
        <f>IFERROR(__xludf.DUMMYFUNCTION("""COMPUTED_VALUE"""),44817.6382390625)</f>
        <v>44817.63824</v>
      </c>
      <c r="G2091" s="24" t="str">
        <f>IFERROR(__xludf.DUMMYFUNCTION("""COMPUTED_VALUE"""),"First Fruit Farm")</f>
        <v>First Fruit Farm</v>
      </c>
      <c r="H2091" s="24">
        <f>IFERROR(__xludf.DUMMYFUNCTION("""COMPUTED_VALUE"""),967.0)</f>
        <v>967</v>
      </c>
      <c r="I2091" s="24" t="str">
        <f>IFERROR(__xludf.DUMMYFUNCTION("""COMPUTED_VALUE"""),"First Fruit Farm")</f>
        <v>First Fruit Farm</v>
      </c>
    </row>
    <row r="2092">
      <c r="A2092" s="23">
        <f>IFERROR(__xludf.DUMMYFUNCTION("""COMPUTED_VALUE"""),44882.0)</f>
        <v>44882</v>
      </c>
      <c r="B2092" s="24" t="str">
        <f>IFERROR(__xludf.DUMMYFUNCTION("""COMPUTED_VALUE"""),"Claire")</f>
        <v>Claire</v>
      </c>
      <c r="C2092" s="24">
        <f>IFERROR(__xludf.DUMMYFUNCTION("""COMPUTED_VALUE"""),205.0)</f>
        <v>205</v>
      </c>
      <c r="D2092" s="24" t="str">
        <f>IFERROR(__xludf.DUMMYFUNCTION("""COMPUTED_VALUE"""),"Fruit cups")</f>
        <v>Fruit cups</v>
      </c>
      <c r="F2092" s="23">
        <f>IFERROR(__xludf.DUMMYFUNCTION("""COMPUTED_VALUE"""),44817.638700034724)</f>
        <v>44817.6387</v>
      </c>
      <c r="G2092" s="24" t="str">
        <f>IFERROR(__xludf.DUMMYFUNCTION("""COMPUTED_VALUE"""),"First Fruit Farm")</f>
        <v>First Fruit Farm</v>
      </c>
      <c r="H2092" s="24">
        <f>IFERROR(__xludf.DUMMYFUNCTION("""COMPUTED_VALUE"""),934.0)</f>
        <v>934</v>
      </c>
      <c r="I2092" s="24" t="str">
        <f>IFERROR(__xludf.DUMMYFUNCTION("""COMPUTED_VALUE"""),"First Fruit Farm")</f>
        <v>First Fruit Farm</v>
      </c>
    </row>
    <row r="2093">
      <c r="A2093" s="23">
        <f>IFERROR(__xludf.DUMMYFUNCTION("""COMPUTED_VALUE"""),44882.0)</f>
        <v>44882</v>
      </c>
      <c r="B2093" s="24" t="str">
        <f>IFERROR(__xludf.DUMMYFUNCTION("""COMPUTED_VALUE"""),"Claire")</f>
        <v>Claire</v>
      </c>
      <c r="C2093" s="24">
        <f>IFERROR(__xludf.DUMMYFUNCTION("""COMPUTED_VALUE"""),144.0)</f>
        <v>144</v>
      </c>
      <c r="D2093" s="24" t="str">
        <f>IFERROR(__xludf.DUMMYFUNCTION("""COMPUTED_VALUE"""),"Frozen [Not Meat]")</f>
        <v>Frozen [Not Meat]</v>
      </c>
      <c r="F2093" s="23">
        <f>IFERROR(__xludf.DUMMYFUNCTION("""COMPUTED_VALUE"""),44817.63988420139)</f>
        <v>44817.63988</v>
      </c>
      <c r="G2093" s="24" t="str">
        <f>IFERROR(__xludf.DUMMYFUNCTION("""COMPUTED_VALUE"""),"First Fruit Farm")</f>
        <v>First Fruit Farm</v>
      </c>
      <c r="H2093" s="24">
        <f>IFERROR(__xludf.DUMMYFUNCTION("""COMPUTED_VALUE"""),316.0)</f>
        <v>316</v>
      </c>
      <c r="I2093" s="24" t="str">
        <f>IFERROR(__xludf.DUMMYFUNCTION("""COMPUTED_VALUE"""),"First Fruit Farm")</f>
        <v>First Fruit Farm</v>
      </c>
    </row>
    <row r="2094">
      <c r="A2094" s="23">
        <f>IFERROR(__xludf.DUMMYFUNCTION("""COMPUTED_VALUE"""),44882.0)</f>
        <v>44882</v>
      </c>
      <c r="B2094" s="24" t="str">
        <f>IFERROR(__xludf.DUMMYFUNCTION("""COMPUTED_VALUE"""),"Claire")</f>
        <v>Claire</v>
      </c>
      <c r="C2094" s="24">
        <f>IFERROR(__xludf.DUMMYFUNCTION("""COMPUTED_VALUE"""),72.0)</f>
        <v>72</v>
      </c>
      <c r="D2094" s="24" t="str">
        <f>IFERROR(__xludf.DUMMYFUNCTION("""COMPUTED_VALUE"""),"Dairy")</f>
        <v>Dairy</v>
      </c>
      <c r="F2094" s="23">
        <f>IFERROR(__xludf.DUMMYFUNCTION("""COMPUTED_VALUE"""),44817.6413609838)</f>
        <v>44817.64136</v>
      </c>
      <c r="G2094" s="24" t="str">
        <f>IFERROR(__xludf.DUMMYFUNCTION("""COMPUTED_VALUE"""),"First Fruit Farm")</f>
        <v>First Fruit Farm</v>
      </c>
      <c r="H2094" s="24">
        <f>IFERROR(__xludf.DUMMYFUNCTION("""COMPUTED_VALUE"""),959.0)</f>
        <v>959</v>
      </c>
      <c r="I2094" s="24" t="str">
        <f>IFERROR(__xludf.DUMMYFUNCTION("""COMPUTED_VALUE"""),"First Fruit Farm")</f>
        <v>First Fruit Farm</v>
      </c>
    </row>
    <row r="2095">
      <c r="A2095" s="23">
        <f>IFERROR(__xludf.DUMMYFUNCTION("""COMPUTED_VALUE"""),44882.65798305556)</f>
        <v>44882.65798</v>
      </c>
      <c r="B2095" s="24" t="str">
        <f>IFERROR(__xludf.DUMMYFUNCTION("""COMPUTED_VALUE"""),"Jean")</f>
        <v>Jean</v>
      </c>
      <c r="C2095" s="24">
        <f>IFERROR(__xludf.DUMMYFUNCTION("""COMPUTED_VALUE"""),240.0)</f>
        <v>240</v>
      </c>
      <c r="D2095" s="24" t="str">
        <f>IFERROR(__xludf.DUMMYFUNCTION("""COMPUTED_VALUE"""),"Dole fruit cups")</f>
        <v>Dole fruit cups</v>
      </c>
      <c r="F2095" s="23">
        <f>IFERROR(__xludf.DUMMYFUNCTION("""COMPUTED_VALUE"""),44817.64220682871)</f>
        <v>44817.64221</v>
      </c>
      <c r="G2095" s="24" t="str">
        <f>IFERROR(__xludf.DUMMYFUNCTION("""COMPUTED_VALUE"""),"First Fruit Farm")</f>
        <v>First Fruit Farm</v>
      </c>
      <c r="H2095" s="24">
        <f>IFERROR(__xludf.DUMMYFUNCTION("""COMPUTED_VALUE"""),878.0)</f>
        <v>878</v>
      </c>
      <c r="I2095" s="24" t="str">
        <f>IFERROR(__xludf.DUMMYFUNCTION("""COMPUTED_VALUE"""),"First Fruit Farm")</f>
        <v>First Fruit Farm</v>
      </c>
    </row>
    <row r="2096">
      <c r="A2096" s="23">
        <f>IFERROR(__xludf.DUMMYFUNCTION("""COMPUTED_VALUE"""),44883.61899530092)</f>
        <v>44883.619</v>
      </c>
      <c r="B2096" s="24" t="str">
        <f>IFERROR(__xludf.DUMMYFUNCTION("""COMPUTED_VALUE"""),"Juanita Chandler ")</f>
        <v>Juanita Chandler </v>
      </c>
      <c r="C2096" s="24">
        <f>IFERROR(__xludf.DUMMYFUNCTION("""COMPUTED_VALUE"""),1212.0)</f>
        <v>1212</v>
      </c>
      <c r="D2096" s="24" t="str">
        <f>IFERROR(__xludf.DUMMYFUNCTION("""COMPUTED_VALUE"""),"Dole fruit cup ")</f>
        <v>Dole fruit cup </v>
      </c>
      <c r="F2096" s="23">
        <f>IFERROR(__xludf.DUMMYFUNCTION("""COMPUTED_VALUE"""),44817.703065648144)</f>
        <v>44817.70307</v>
      </c>
      <c r="G2096" s="24" t="str">
        <f>IFERROR(__xludf.DUMMYFUNCTION("""COMPUTED_VALUE"""),"Treston")</f>
        <v>Treston</v>
      </c>
      <c r="H2096" s="24">
        <f>IFERROR(__xludf.DUMMYFUNCTION("""COMPUTED_VALUE"""),18.0)</f>
        <v>18</v>
      </c>
      <c r="I2096" s="24"/>
    </row>
    <row r="2097">
      <c r="A2097" s="23">
        <f>IFERROR(__xludf.DUMMYFUNCTION("""COMPUTED_VALUE"""),44883.62007032407)</f>
        <v>44883.62007</v>
      </c>
      <c r="B2097" s="24" t="str">
        <f>IFERROR(__xludf.DUMMYFUNCTION("""COMPUTED_VALUE"""),"Juanita Chandler ")</f>
        <v>Juanita Chandler </v>
      </c>
      <c r="C2097" s="24">
        <f>IFERROR(__xludf.DUMMYFUNCTION("""COMPUTED_VALUE"""),1244.0)</f>
        <v>1244</v>
      </c>
      <c r="D2097" s="24" t="str">
        <f>IFERROR(__xludf.DUMMYFUNCTION("""COMPUTED_VALUE"""),"Dole fruit cup ")</f>
        <v>Dole fruit cup </v>
      </c>
      <c r="F2097" s="23">
        <f>IFERROR(__xludf.DUMMYFUNCTION("""COMPUTED_VALUE"""),44817.70596517361)</f>
        <v>44817.70597</v>
      </c>
      <c r="G2097" s="24" t="str">
        <f>IFERROR(__xludf.DUMMYFUNCTION("""COMPUTED_VALUE"""),"Beverly Graham")</f>
        <v>Beverly Graham</v>
      </c>
      <c r="H2097" s="24">
        <f>IFERROR(__xludf.DUMMYFUNCTION("""COMPUTED_VALUE"""),18.0)</f>
        <v>18</v>
      </c>
      <c r="I2097" s="24"/>
    </row>
    <row r="2098">
      <c r="A2098" s="23">
        <f>IFERROR(__xludf.DUMMYFUNCTION("""COMPUTED_VALUE"""),44883.62088631944)</f>
        <v>44883.62089</v>
      </c>
      <c r="B2098" s="24" t="str">
        <f>IFERROR(__xludf.DUMMYFUNCTION("""COMPUTED_VALUE"""),"Juanita Chandler ")</f>
        <v>Juanita Chandler </v>
      </c>
      <c r="C2098" s="24">
        <f>IFERROR(__xludf.DUMMYFUNCTION("""COMPUTED_VALUE"""),340.0)</f>
        <v>340</v>
      </c>
      <c r="D2098" s="24" t="str">
        <f>IFERROR(__xludf.DUMMYFUNCTION("""COMPUTED_VALUE"""),"Produce")</f>
        <v>Produce</v>
      </c>
      <c r="F2098" s="23">
        <f>IFERROR(__xludf.DUMMYFUNCTION("""COMPUTED_VALUE"""),44817.70599)</f>
        <v>44817.70599</v>
      </c>
      <c r="G2098" s="24" t="str">
        <f>IFERROR(__xludf.DUMMYFUNCTION("""COMPUTED_VALUE"""),"Romaine Bouldin ")</f>
        <v>Romaine Bouldin </v>
      </c>
      <c r="H2098" s="24">
        <f>IFERROR(__xludf.DUMMYFUNCTION("""COMPUTED_VALUE"""),13.0)</f>
        <v>13</v>
      </c>
      <c r="I2098" s="24"/>
    </row>
    <row r="2099">
      <c r="A2099" s="23">
        <f>IFERROR(__xludf.DUMMYFUNCTION("""COMPUTED_VALUE"""),44883.62143577546)</f>
        <v>44883.62144</v>
      </c>
      <c r="B2099" s="24" t="str">
        <f>IFERROR(__xludf.DUMMYFUNCTION("""COMPUTED_VALUE"""),"Juanita Chandler ")</f>
        <v>Juanita Chandler </v>
      </c>
      <c r="C2099" s="24">
        <f>IFERROR(__xludf.DUMMYFUNCTION("""COMPUTED_VALUE"""),268.0)</f>
        <v>268</v>
      </c>
      <c r="D2099" s="24" t="str">
        <f>IFERROR(__xludf.DUMMYFUNCTION("""COMPUTED_VALUE"""),"Produce")</f>
        <v>Produce</v>
      </c>
      <c r="F2099" s="23">
        <f>IFERROR(__xludf.DUMMYFUNCTION("""COMPUTED_VALUE"""),44817.70634943287)</f>
        <v>44817.70635</v>
      </c>
      <c r="G2099" s="24" t="str">
        <f>IFERROR(__xludf.DUMMYFUNCTION("""COMPUTED_VALUE"""),"Romaine Bouldin ")</f>
        <v>Romaine Bouldin </v>
      </c>
      <c r="H2099" s="24">
        <f>IFERROR(__xludf.DUMMYFUNCTION("""COMPUTED_VALUE"""),5.0)</f>
        <v>5</v>
      </c>
      <c r="I2099" s="24"/>
    </row>
    <row r="2100">
      <c r="A2100" s="23">
        <f>IFERROR(__xludf.DUMMYFUNCTION("""COMPUTED_VALUE"""),44883.622127939816)</f>
        <v>44883.62213</v>
      </c>
      <c r="B2100" s="24" t="str">
        <f>IFERROR(__xludf.DUMMYFUNCTION("""COMPUTED_VALUE"""),"Juanita Chandler ")</f>
        <v>Juanita Chandler </v>
      </c>
      <c r="C2100" s="24">
        <f>IFERROR(__xludf.DUMMYFUNCTION("""COMPUTED_VALUE"""),390.0)</f>
        <v>390</v>
      </c>
      <c r="D2100" s="24" t="str">
        <f>IFERROR(__xludf.DUMMYFUNCTION("""COMPUTED_VALUE"""),"Frozen [Not Meat]")</f>
        <v>Frozen [Not Meat]</v>
      </c>
      <c r="F2100" s="23">
        <f>IFERROR(__xludf.DUMMYFUNCTION("""COMPUTED_VALUE"""),44817.7064097338)</f>
        <v>44817.70641</v>
      </c>
      <c r="G2100" s="24" t="str">
        <f>IFERROR(__xludf.DUMMYFUNCTION("""COMPUTED_VALUE"""),"Beverly Graham")</f>
        <v>Beverly Graham</v>
      </c>
      <c r="H2100" s="24">
        <f>IFERROR(__xludf.DUMMYFUNCTION("""COMPUTED_VALUE"""),11.0)</f>
        <v>11</v>
      </c>
      <c r="I2100" s="24"/>
    </row>
    <row r="2101">
      <c r="A2101" s="23">
        <f>IFERROR(__xludf.DUMMYFUNCTION("""COMPUTED_VALUE"""),44883.622795243056)</f>
        <v>44883.6228</v>
      </c>
      <c r="B2101" s="24" t="str">
        <f>IFERROR(__xludf.DUMMYFUNCTION("""COMPUTED_VALUE"""),"Juanita Chandler ")</f>
        <v>Juanita Chandler </v>
      </c>
      <c r="C2101" s="24">
        <f>IFERROR(__xludf.DUMMYFUNCTION("""COMPUTED_VALUE"""),440.0)</f>
        <v>440</v>
      </c>
      <c r="D2101" s="24" t="str">
        <f>IFERROR(__xludf.DUMMYFUNCTION("""COMPUTED_VALUE"""),"Frozen [Not Meat]")</f>
        <v>Frozen [Not Meat]</v>
      </c>
      <c r="F2101" s="23">
        <f>IFERROR(__xludf.DUMMYFUNCTION("""COMPUTED_VALUE"""),44817.70791476852)</f>
        <v>44817.70791</v>
      </c>
      <c r="G2101" s="24" t="str">
        <f>IFERROR(__xludf.DUMMYFUNCTION("""COMPUTED_VALUE"""),"Doris Parker tuggle")</f>
        <v>Doris Parker tuggle</v>
      </c>
      <c r="H2101" s="24">
        <f>IFERROR(__xludf.DUMMYFUNCTION("""COMPUTED_VALUE"""),15.0)</f>
        <v>15</v>
      </c>
      <c r="I2101" s="24"/>
    </row>
    <row r="2102">
      <c r="A2102" s="23">
        <f>IFERROR(__xludf.DUMMYFUNCTION("""COMPUTED_VALUE"""),44883.6245477662)</f>
        <v>44883.62455</v>
      </c>
      <c r="B2102" s="24" t="str">
        <f>IFERROR(__xludf.DUMMYFUNCTION("""COMPUTED_VALUE"""),"Juanita Chandler ")</f>
        <v>Juanita Chandler </v>
      </c>
      <c r="C2102" s="24">
        <f>IFERROR(__xludf.DUMMYFUNCTION("""COMPUTED_VALUE"""),1151.0)</f>
        <v>1151</v>
      </c>
      <c r="D2102" s="24" t="str">
        <f>IFERROR(__xludf.DUMMYFUNCTION("""COMPUTED_VALUE"""),"Dole fruit cup ")</f>
        <v>Dole fruit cup </v>
      </c>
      <c r="F2102" s="23">
        <f>IFERROR(__xludf.DUMMYFUNCTION("""COMPUTED_VALUE"""),44817.710013275464)</f>
        <v>44817.71001</v>
      </c>
      <c r="G2102" s="24" t="str">
        <f>IFERROR(__xludf.DUMMYFUNCTION("""COMPUTED_VALUE"""),"Kaneesha ")</f>
        <v>Kaneesha </v>
      </c>
      <c r="H2102" s="24">
        <f>IFERROR(__xludf.DUMMYFUNCTION("""COMPUTED_VALUE"""),20.0)</f>
        <v>20</v>
      </c>
      <c r="I2102" s="24"/>
    </row>
    <row r="2103">
      <c r="A2103" s="23">
        <f>IFERROR(__xludf.DUMMYFUNCTION("""COMPUTED_VALUE"""),44883.6253334375)</f>
        <v>44883.62533</v>
      </c>
      <c r="B2103" s="24" t="str">
        <f>IFERROR(__xludf.DUMMYFUNCTION("""COMPUTED_VALUE"""),"Juanita Chandler ")</f>
        <v>Juanita Chandler </v>
      </c>
      <c r="C2103" s="24">
        <f>IFERROR(__xludf.DUMMYFUNCTION("""COMPUTED_VALUE"""),936.0)</f>
        <v>936</v>
      </c>
      <c r="D2103" s="24" t="str">
        <f>IFERROR(__xludf.DUMMYFUNCTION("""COMPUTED_VALUE"""),"Fruit Cup Dole")</f>
        <v>Fruit Cup Dole</v>
      </c>
      <c r="F2103" s="23">
        <f>IFERROR(__xludf.DUMMYFUNCTION("""COMPUTED_VALUE"""),44817.71015651621)</f>
        <v>44817.71016</v>
      </c>
      <c r="G2103" s="24" t="str">
        <f>IFERROR(__xludf.DUMMYFUNCTION("""COMPUTED_VALUE"""),"Treston (extra)")</f>
        <v>Treston (extra)</v>
      </c>
      <c r="H2103" s="24">
        <f>IFERROR(__xludf.DUMMYFUNCTION("""COMPUTED_VALUE"""),16.0)</f>
        <v>16</v>
      </c>
      <c r="I2103" s="24"/>
    </row>
    <row r="2104">
      <c r="A2104" s="23">
        <f>IFERROR(__xludf.DUMMYFUNCTION("""COMPUTED_VALUE"""),44883.62588453704)</f>
        <v>44883.62588</v>
      </c>
      <c r="B2104" s="24" t="str">
        <f>IFERROR(__xludf.DUMMYFUNCTION("""COMPUTED_VALUE"""),"Juanita Chandler ")</f>
        <v>Juanita Chandler </v>
      </c>
      <c r="C2104" s="24">
        <f>IFERROR(__xludf.DUMMYFUNCTION("""COMPUTED_VALUE"""),291.0)</f>
        <v>291</v>
      </c>
      <c r="D2104" s="24" t="str">
        <f>IFERROR(__xludf.DUMMYFUNCTION("""COMPUTED_VALUE"""),"Frozen [Not Meat]")</f>
        <v>Frozen [Not Meat]</v>
      </c>
      <c r="F2104" s="23">
        <f>IFERROR(__xludf.DUMMYFUNCTION("""COMPUTED_VALUE"""),44817.710206365744)</f>
        <v>44817.71021</v>
      </c>
      <c r="G2104" s="24" t="str">
        <f>IFERROR(__xludf.DUMMYFUNCTION("""COMPUTED_VALUE"""),"Kaneesha ")</f>
        <v>Kaneesha </v>
      </c>
      <c r="H2104" s="24">
        <f>IFERROR(__xludf.DUMMYFUNCTION("""COMPUTED_VALUE"""),9.0)</f>
        <v>9</v>
      </c>
      <c r="I2104" s="24"/>
    </row>
    <row r="2105">
      <c r="A2105" s="23">
        <f>IFERROR(__xludf.DUMMYFUNCTION("""COMPUTED_VALUE"""),44883.70423130787)</f>
        <v>44883.70423</v>
      </c>
      <c r="B2105" s="24" t="str">
        <f>IFERROR(__xludf.DUMMYFUNCTION("""COMPUTED_VALUE"""),"Sunita pathik")</f>
        <v>Sunita pathik</v>
      </c>
      <c r="C2105" s="24">
        <f>IFERROR(__xludf.DUMMYFUNCTION("""COMPUTED_VALUE"""),164.0)</f>
        <v>164</v>
      </c>
      <c r="D2105" s="24" t="str">
        <f>IFERROR(__xludf.DUMMYFUNCTION("""COMPUTED_VALUE"""),"Assorted Fridge")</f>
        <v>Assorted Fridge</v>
      </c>
      <c r="F2105" s="23">
        <f>IFERROR(__xludf.DUMMYFUNCTION("""COMPUTED_VALUE"""),44817.71155049768)</f>
        <v>44817.71155</v>
      </c>
      <c r="G2105" s="24" t="str">
        <f>IFERROR(__xludf.DUMMYFUNCTION("""COMPUTED_VALUE"""),"Beverly Pinn")</f>
        <v>Beverly Pinn</v>
      </c>
      <c r="H2105" s="24">
        <f>IFERROR(__xludf.DUMMYFUNCTION("""COMPUTED_VALUE"""),20.0)</f>
        <v>20</v>
      </c>
      <c r="I2105" s="24"/>
    </row>
    <row r="2106">
      <c r="A2106" s="23">
        <f>IFERROR(__xludf.DUMMYFUNCTION("""COMPUTED_VALUE"""),44884.0)</f>
        <v>44884</v>
      </c>
      <c r="B2106" s="24" t="str">
        <f>IFERROR(__xludf.DUMMYFUNCTION("""COMPUTED_VALUE"""),"Claire")</f>
        <v>Claire</v>
      </c>
      <c r="C2106" s="24">
        <f>IFERROR(__xludf.DUMMYFUNCTION("""COMPUTED_VALUE"""),491.0)</f>
        <v>491</v>
      </c>
      <c r="D2106" s="24" t="str">
        <f>IFERROR(__xludf.DUMMYFUNCTION("""COMPUTED_VALUE"""),"Produce")</f>
        <v>Produce</v>
      </c>
      <c r="F2106" s="23">
        <f>IFERROR(__xludf.DUMMYFUNCTION("""COMPUTED_VALUE"""),44817.71177061342)</f>
        <v>44817.71177</v>
      </c>
      <c r="G2106" s="24" t="str">
        <f>IFERROR(__xludf.DUMMYFUNCTION("""COMPUTED_VALUE"""),"Beverly Pinn")</f>
        <v>Beverly Pinn</v>
      </c>
      <c r="H2106" s="24">
        <f>IFERROR(__xludf.DUMMYFUNCTION("""COMPUTED_VALUE"""),11.0)</f>
        <v>11</v>
      </c>
      <c r="I2106" s="24"/>
    </row>
    <row r="2107">
      <c r="A2107" s="23">
        <f>IFERROR(__xludf.DUMMYFUNCTION("""COMPUTED_VALUE"""),44884.0)</f>
        <v>44884</v>
      </c>
      <c r="B2107" s="24" t="str">
        <f>IFERROR(__xludf.DUMMYFUNCTION("""COMPUTED_VALUE"""),"Claire")</f>
        <v>Claire</v>
      </c>
      <c r="C2107" s="24">
        <f>IFERROR(__xludf.DUMMYFUNCTION("""COMPUTED_VALUE"""),695.0)</f>
        <v>695</v>
      </c>
      <c r="D2107" s="24" t="str">
        <f>IFERROR(__xludf.DUMMYFUNCTION("""COMPUTED_VALUE"""),"Produce")</f>
        <v>Produce</v>
      </c>
      <c r="F2107" s="23">
        <f>IFERROR(__xludf.DUMMYFUNCTION("""COMPUTED_VALUE"""),44818.0)</f>
        <v>44818</v>
      </c>
      <c r="G2107" s="24" t="str">
        <f>IFERROR(__xludf.DUMMYFUNCTION("""COMPUTED_VALUE"""),"Doris Parker tuggle")</f>
        <v>Doris Parker tuggle</v>
      </c>
      <c r="H2107" s="24">
        <f>IFERROR(__xludf.DUMMYFUNCTION("""COMPUTED_VALUE"""),19.0)</f>
        <v>19</v>
      </c>
      <c r="I2107" s="24"/>
    </row>
    <row r="2108">
      <c r="A2108" s="23">
        <f>IFERROR(__xludf.DUMMYFUNCTION("""COMPUTED_VALUE"""),44884.0)</f>
        <v>44884</v>
      </c>
      <c r="B2108" s="24" t="str">
        <f>IFERROR(__xludf.DUMMYFUNCTION("""COMPUTED_VALUE"""),"Claire")</f>
        <v>Claire</v>
      </c>
      <c r="C2108" s="24">
        <f>IFERROR(__xludf.DUMMYFUNCTION("""COMPUTED_VALUE"""),876.0)</f>
        <v>876</v>
      </c>
      <c r="D2108" s="24" t="str">
        <f>IFERROR(__xludf.DUMMYFUNCTION("""COMPUTED_VALUE"""),"Frozen [Not Meat]")</f>
        <v>Frozen [Not Meat]</v>
      </c>
      <c r="F2108" s="23">
        <f>IFERROR(__xludf.DUMMYFUNCTION("""COMPUTED_VALUE"""),44818.0)</f>
        <v>44818</v>
      </c>
      <c r="G2108" s="24" t="str">
        <f>IFERROR(__xludf.DUMMYFUNCTION("""COMPUTED_VALUE"""),"Juanita Chandler")</f>
        <v>Juanita Chandler</v>
      </c>
      <c r="H2108" s="24">
        <f>IFERROR(__xludf.DUMMYFUNCTION("""COMPUTED_VALUE"""),13.0)</f>
        <v>13</v>
      </c>
      <c r="I2108" s="24"/>
    </row>
    <row r="2109">
      <c r="A2109" s="23">
        <f>IFERROR(__xludf.DUMMYFUNCTION("""COMPUTED_VALUE"""),44884.70193254629)</f>
        <v>44884.70193</v>
      </c>
      <c r="B2109" s="24" t="str">
        <f>IFERROR(__xludf.DUMMYFUNCTION("""COMPUTED_VALUE"""),"Claire")</f>
        <v>Claire</v>
      </c>
      <c r="C2109" s="24">
        <f>IFERROR(__xludf.DUMMYFUNCTION("""COMPUTED_VALUE"""),1460.0)</f>
        <v>1460</v>
      </c>
      <c r="D2109" s="24" t="str">
        <f>IFERROR(__xludf.DUMMYFUNCTION("""COMPUTED_VALUE"""),"Produce")</f>
        <v>Produce</v>
      </c>
      <c r="F2109" s="23">
        <f>IFERROR(__xludf.DUMMYFUNCTION("""COMPUTED_VALUE"""),44818.0)</f>
        <v>44818</v>
      </c>
      <c r="G2109" s="24" t="str">
        <f>IFERROR(__xludf.DUMMYFUNCTION("""COMPUTED_VALUE"""),"Juanita Chandler")</f>
        <v>Juanita Chandler</v>
      </c>
      <c r="H2109" s="24">
        <f>IFERROR(__xludf.DUMMYFUNCTION("""COMPUTED_VALUE"""),34.0)</f>
        <v>34</v>
      </c>
      <c r="I2109" s="24"/>
    </row>
    <row r="2110">
      <c r="A2110" s="23">
        <f>IFERROR(__xludf.DUMMYFUNCTION("""COMPUTED_VALUE"""),44884.70270357639)</f>
        <v>44884.7027</v>
      </c>
      <c r="B2110" s="24" t="str">
        <f>IFERROR(__xludf.DUMMYFUNCTION("""COMPUTED_VALUE"""),"Claire")</f>
        <v>Claire</v>
      </c>
      <c r="C2110" s="24">
        <f>IFERROR(__xludf.DUMMYFUNCTION("""COMPUTED_VALUE"""),1234.0)</f>
        <v>1234</v>
      </c>
      <c r="D2110" s="24" t="str">
        <f>IFERROR(__xludf.DUMMYFUNCTION("""COMPUTED_VALUE"""),"Fruit cups")</f>
        <v>Fruit cups</v>
      </c>
      <c r="F2110" s="23">
        <f>IFERROR(__xludf.DUMMYFUNCTION("""COMPUTED_VALUE"""),44818.61182284722)</f>
        <v>44818.61182</v>
      </c>
      <c r="G2110" s="24" t="str">
        <f>IFERROR(__xludf.DUMMYFUNCTION("""COMPUTED_VALUE"""),"Bud-Sisson st dpw drinks ")</f>
        <v>Bud-Sisson st dpw drinks </v>
      </c>
      <c r="H2110" s="24">
        <f>IFERROR(__xludf.DUMMYFUNCTION("""COMPUTED_VALUE"""),16.0)</f>
        <v>16</v>
      </c>
      <c r="I2110" s="24"/>
    </row>
    <row r="2111">
      <c r="A2111" s="23">
        <f>IFERROR(__xludf.DUMMYFUNCTION("""COMPUTED_VALUE"""),44884.70292038194)</f>
        <v>44884.70292</v>
      </c>
      <c r="B2111" s="24" t="str">
        <f>IFERROR(__xludf.DUMMYFUNCTION("""COMPUTED_VALUE"""),"Claire")</f>
        <v>Claire</v>
      </c>
      <c r="C2111" s="24">
        <f>IFERROR(__xludf.DUMMYFUNCTION("""COMPUTED_VALUE"""),964.0)</f>
        <v>964</v>
      </c>
      <c r="D2111" s="24" t="str">
        <f>IFERROR(__xludf.DUMMYFUNCTION("""COMPUTED_VALUE"""),"Fruit cups")</f>
        <v>Fruit cups</v>
      </c>
      <c r="F2111" s="23">
        <f>IFERROR(__xludf.DUMMYFUNCTION("""COMPUTED_VALUE"""),44818.61225755787)</f>
        <v>44818.61226</v>
      </c>
      <c r="G2111" s="24" t="str">
        <f>IFERROR(__xludf.DUMMYFUNCTION("""COMPUTED_VALUE"""),"Bud Stracker - personal ")</f>
        <v>Bud Stracker - personal </v>
      </c>
      <c r="H2111" s="24">
        <f>IFERROR(__xludf.DUMMYFUNCTION("""COMPUTED_VALUE"""),12.0)</f>
        <v>12</v>
      </c>
      <c r="I2111" s="24"/>
    </row>
    <row r="2112">
      <c r="A2112" s="23">
        <f>IFERROR(__xludf.DUMMYFUNCTION("""COMPUTED_VALUE"""),44884.70319460648)</f>
        <v>44884.70319</v>
      </c>
      <c r="B2112" s="24" t="str">
        <f>IFERROR(__xludf.DUMMYFUNCTION("""COMPUTED_VALUE"""),"Claire")</f>
        <v>Claire</v>
      </c>
      <c r="C2112" s="24">
        <f>IFERROR(__xludf.DUMMYFUNCTION("""COMPUTED_VALUE"""),87.0)</f>
        <v>87</v>
      </c>
      <c r="D2112" s="24" t="str">
        <f>IFERROR(__xludf.DUMMYFUNCTION("""COMPUTED_VALUE"""),"Household")</f>
        <v>Household</v>
      </c>
      <c r="F2112" s="23">
        <f>IFERROR(__xludf.DUMMYFUNCTION("""COMPUTED_VALUE"""),44818.67582597222)</f>
        <v>44818.67583</v>
      </c>
      <c r="G2112" s="24" t="str">
        <f>IFERROR(__xludf.DUMMYFUNCTION("""COMPUTED_VALUE"""),"Claire")</f>
        <v>Claire</v>
      </c>
      <c r="H2112" s="24">
        <f>IFERROR(__xludf.DUMMYFUNCTION("""COMPUTED_VALUE"""),276.0)</f>
        <v>276</v>
      </c>
      <c r="I2112" s="24" t="str">
        <f>IFERROR(__xludf.DUMMYFUNCTION("""COMPUTED_VALUE"""),"Assorted Dry")</f>
        <v>Assorted Dry</v>
      </c>
    </row>
    <row r="2113">
      <c r="A2113" s="23">
        <f>IFERROR(__xludf.DUMMYFUNCTION("""COMPUTED_VALUE"""),44884.70338057871)</f>
        <v>44884.70338</v>
      </c>
      <c r="B2113" s="24" t="str">
        <f>IFERROR(__xludf.DUMMYFUNCTION("""COMPUTED_VALUE"""),"Claire")</f>
        <v>Claire</v>
      </c>
      <c r="C2113" s="24">
        <f>IFERROR(__xludf.DUMMYFUNCTION("""COMPUTED_VALUE"""),171.0)</f>
        <v>171</v>
      </c>
      <c r="D2113" s="24" t="str">
        <f>IFERROR(__xludf.DUMMYFUNCTION("""COMPUTED_VALUE"""),"Produce")</f>
        <v>Produce</v>
      </c>
      <c r="F2113" s="23">
        <f>IFERROR(__xludf.DUMMYFUNCTION("""COMPUTED_VALUE"""),44818.67610876158)</f>
        <v>44818.67611</v>
      </c>
      <c r="G2113" s="24" t="str">
        <f>IFERROR(__xludf.DUMMYFUNCTION("""COMPUTED_VALUE"""),"Claire")</f>
        <v>Claire</v>
      </c>
      <c r="H2113" s="24">
        <f>IFERROR(__xludf.DUMMYFUNCTION("""COMPUTED_VALUE"""),84.0)</f>
        <v>84</v>
      </c>
      <c r="I2113" s="24" t="str">
        <f>IFERROR(__xludf.DUMMYFUNCTION("""COMPUTED_VALUE"""),"Snacks")</f>
        <v>Snacks</v>
      </c>
    </row>
    <row r="2114">
      <c r="A2114" s="23">
        <f>IFERROR(__xludf.DUMMYFUNCTION("""COMPUTED_VALUE"""),44884.71498001157)</f>
        <v>44884.71498</v>
      </c>
      <c r="B2114" s="24" t="str">
        <f>IFERROR(__xludf.DUMMYFUNCTION("""COMPUTED_VALUE"""),"Claire")</f>
        <v>Claire</v>
      </c>
      <c r="C2114" s="24">
        <f>IFERROR(__xludf.DUMMYFUNCTION("""COMPUTED_VALUE"""),307.0)</f>
        <v>307</v>
      </c>
      <c r="D2114" s="24" t="str">
        <f>IFERROR(__xludf.DUMMYFUNCTION("""COMPUTED_VALUE"""),"Produce")</f>
        <v>Produce</v>
      </c>
      <c r="F2114" s="23">
        <f>IFERROR(__xludf.DUMMYFUNCTION("""COMPUTED_VALUE"""),44818.67640445602)</f>
        <v>44818.6764</v>
      </c>
      <c r="G2114" s="24" t="str">
        <f>IFERROR(__xludf.DUMMYFUNCTION("""COMPUTED_VALUE"""),"Claire")</f>
        <v>Claire</v>
      </c>
      <c r="H2114" s="24">
        <f>IFERROR(__xludf.DUMMYFUNCTION("""COMPUTED_VALUE"""),560.0)</f>
        <v>560</v>
      </c>
      <c r="I2114" s="24" t="str">
        <f>IFERROR(__xludf.DUMMYFUNCTION("""COMPUTED_VALUE"""),"Assorted Fridge")</f>
        <v>Assorted Fridge</v>
      </c>
    </row>
    <row r="2115">
      <c r="A2115" s="23">
        <f>IFERROR(__xludf.DUMMYFUNCTION("""COMPUTED_VALUE"""),44884.71568188658)</f>
        <v>44884.71568</v>
      </c>
      <c r="B2115" s="24" t="str">
        <f>IFERROR(__xludf.DUMMYFUNCTION("""COMPUTED_VALUE"""),"Claire")</f>
        <v>Claire</v>
      </c>
      <c r="C2115" s="24">
        <f>IFERROR(__xludf.DUMMYFUNCTION("""COMPUTED_VALUE"""),620.0)</f>
        <v>620</v>
      </c>
      <c r="D2115" s="24" t="str">
        <f>IFERROR(__xludf.DUMMYFUNCTION("""COMPUTED_VALUE"""),"Produce")</f>
        <v>Produce</v>
      </c>
      <c r="F2115" s="23">
        <f>IFERROR(__xludf.DUMMYFUNCTION("""COMPUTED_VALUE"""),44818.676828020834)</f>
        <v>44818.67683</v>
      </c>
      <c r="G2115" s="24" t="str">
        <f>IFERROR(__xludf.DUMMYFUNCTION("""COMPUTED_VALUE"""),"Claire")</f>
        <v>Claire</v>
      </c>
      <c r="H2115" s="24">
        <f>IFERROR(__xludf.DUMMYFUNCTION("""COMPUTED_VALUE"""),614.0)</f>
        <v>614</v>
      </c>
      <c r="I2115" s="24" t="str">
        <f>IFERROR(__xludf.DUMMYFUNCTION("""COMPUTED_VALUE"""),"Produce")</f>
        <v>Produce</v>
      </c>
    </row>
    <row r="2116">
      <c r="A2116" s="23">
        <f>IFERROR(__xludf.DUMMYFUNCTION("""COMPUTED_VALUE"""),44884.71594734954)</f>
        <v>44884.71595</v>
      </c>
      <c r="B2116" s="24" t="str">
        <f>IFERROR(__xludf.DUMMYFUNCTION("""COMPUTED_VALUE"""),"Claire")</f>
        <v>Claire</v>
      </c>
      <c r="C2116" s="24">
        <f>IFERROR(__xludf.DUMMYFUNCTION("""COMPUTED_VALUE"""),108.0)</f>
        <v>108</v>
      </c>
      <c r="D2116" s="24" t="str">
        <f>IFERROR(__xludf.DUMMYFUNCTION("""COMPUTED_VALUE"""),"Snacks")</f>
        <v>Snacks</v>
      </c>
      <c r="F2116" s="23">
        <f>IFERROR(__xludf.DUMMYFUNCTION("""COMPUTED_VALUE"""),44818.84018355324)</f>
        <v>44818.84018</v>
      </c>
      <c r="G2116" s="24" t="str">
        <f>IFERROR(__xludf.DUMMYFUNCTION("""COMPUTED_VALUE"""),"Connor Gephart")</f>
        <v>Connor Gephart</v>
      </c>
      <c r="H2116" s="24">
        <f>IFERROR(__xludf.DUMMYFUNCTION("""COMPUTED_VALUE"""),10.0)</f>
        <v>10</v>
      </c>
      <c r="I2116" s="24"/>
    </row>
    <row r="2117">
      <c r="A2117" s="23">
        <f>IFERROR(__xludf.DUMMYFUNCTION("""COMPUTED_VALUE"""),44884.7161567361)</f>
        <v>44884.71616</v>
      </c>
      <c r="B2117" s="24" t="str">
        <f>IFERROR(__xludf.DUMMYFUNCTION("""COMPUTED_VALUE"""),"Claire")</f>
        <v>Claire</v>
      </c>
      <c r="C2117" s="24">
        <f>IFERROR(__xludf.DUMMYFUNCTION("""COMPUTED_VALUE"""),219.0)</f>
        <v>219</v>
      </c>
      <c r="D2117" s="24" t="str">
        <f>IFERROR(__xludf.DUMMYFUNCTION("""COMPUTED_VALUE"""),"Snacks")</f>
        <v>Snacks</v>
      </c>
      <c r="F2117" s="23">
        <f>IFERROR(__xludf.DUMMYFUNCTION("""COMPUTED_VALUE"""),44818.840447083334)</f>
        <v>44818.84045</v>
      </c>
      <c r="G2117" s="24" t="str">
        <f>IFERROR(__xludf.DUMMYFUNCTION("""COMPUTED_VALUE"""),"Cybil Bailey")</f>
        <v>Cybil Bailey</v>
      </c>
      <c r="H2117" s="24">
        <f>IFERROR(__xludf.DUMMYFUNCTION("""COMPUTED_VALUE"""),6.0)</f>
        <v>6</v>
      </c>
      <c r="I2117" s="24"/>
    </row>
    <row r="2118">
      <c r="A2118" s="23">
        <f>IFERROR(__xludf.DUMMYFUNCTION("""COMPUTED_VALUE"""),44884.71640915509)</f>
        <v>44884.71641</v>
      </c>
      <c r="B2118" s="24" t="str">
        <f>IFERROR(__xludf.DUMMYFUNCTION("""COMPUTED_VALUE"""),"Claire")</f>
        <v>Claire</v>
      </c>
      <c r="C2118" s="24">
        <f>IFERROR(__xludf.DUMMYFUNCTION("""COMPUTED_VALUE"""),1486.0)</f>
        <v>1486</v>
      </c>
      <c r="D2118" s="24" t="str">
        <f>IFERROR(__xludf.DUMMYFUNCTION("""COMPUTED_VALUE"""),"Drinks [Dry]")</f>
        <v>Drinks [Dry]</v>
      </c>
      <c r="F2118" s="23">
        <f>IFERROR(__xludf.DUMMYFUNCTION("""COMPUTED_VALUE"""),44818.84054697917)</f>
        <v>44818.84055</v>
      </c>
      <c r="G2118" s="24" t="str">
        <f>IFERROR(__xludf.DUMMYFUNCTION("""COMPUTED_VALUE"""),"Maddie p ")</f>
        <v>Maddie p </v>
      </c>
      <c r="H2118" s="24">
        <f>IFERROR(__xludf.DUMMYFUNCTION("""COMPUTED_VALUE"""),9.0)</f>
        <v>9</v>
      </c>
      <c r="I2118" s="24"/>
    </row>
    <row r="2119">
      <c r="A2119" s="23">
        <f>IFERROR(__xludf.DUMMYFUNCTION("""COMPUTED_VALUE"""),44884.71666783565)</f>
        <v>44884.71667</v>
      </c>
      <c r="B2119" s="24" t="str">
        <f>IFERROR(__xludf.DUMMYFUNCTION("""COMPUTED_VALUE"""),"Claire")</f>
        <v>Claire</v>
      </c>
      <c r="C2119" s="24">
        <f>IFERROR(__xludf.DUMMYFUNCTION("""COMPUTED_VALUE"""),1023.0)</f>
        <v>1023</v>
      </c>
      <c r="D2119" s="24" t="str">
        <f>IFERROR(__xludf.DUMMYFUNCTION("""COMPUTED_VALUE"""),"Drinks [Dry]")</f>
        <v>Drinks [Dry]</v>
      </c>
      <c r="F2119" s="23">
        <f>IFERROR(__xludf.DUMMYFUNCTION("""COMPUTED_VALUE"""),44818.84056637731)</f>
        <v>44818.84057</v>
      </c>
      <c r="G2119" s="24" t="str">
        <f>IFERROR(__xludf.DUMMYFUNCTION("""COMPUTED_VALUE"""),"Joaiah")</f>
        <v>Joaiah</v>
      </c>
      <c r="H2119" s="24">
        <f>IFERROR(__xludf.DUMMYFUNCTION("""COMPUTED_VALUE"""),20.0)</f>
        <v>20</v>
      </c>
      <c r="I2119" s="24"/>
    </row>
    <row r="2120">
      <c r="A2120" s="23">
        <f>IFERROR(__xludf.DUMMYFUNCTION("""COMPUTED_VALUE"""),44884.71693232639)</f>
        <v>44884.71693</v>
      </c>
      <c r="B2120" s="24" t="str">
        <f>IFERROR(__xludf.DUMMYFUNCTION("""COMPUTED_VALUE"""),"Claire")</f>
        <v>Claire</v>
      </c>
      <c r="C2120" s="24">
        <f>IFERROR(__xludf.DUMMYFUNCTION("""COMPUTED_VALUE"""),241.0)</f>
        <v>241</v>
      </c>
      <c r="D2120" s="24" t="str">
        <f>IFERROR(__xludf.DUMMYFUNCTION("""COMPUTED_VALUE"""),"Meat [Raw]")</f>
        <v>Meat [Raw]</v>
      </c>
      <c r="F2120" s="23">
        <f>IFERROR(__xludf.DUMMYFUNCTION("""COMPUTED_VALUE"""),44818.84658798611)</f>
        <v>44818.84659</v>
      </c>
      <c r="G2120" s="24" t="str">
        <f>IFERROR(__xludf.DUMMYFUNCTION("""COMPUTED_VALUE"""),"Luke mayhew ")</f>
        <v>Luke mayhew </v>
      </c>
      <c r="H2120" s="24">
        <f>IFERROR(__xludf.DUMMYFUNCTION("""COMPUTED_VALUE"""),20.0)</f>
        <v>20</v>
      </c>
      <c r="I2120" s="24"/>
    </row>
    <row r="2121">
      <c r="A2121" s="23">
        <f>IFERROR(__xludf.DUMMYFUNCTION("""COMPUTED_VALUE"""),44884.717159432876)</f>
        <v>44884.71716</v>
      </c>
      <c r="B2121" s="24" t="str">
        <f>IFERROR(__xludf.DUMMYFUNCTION("""COMPUTED_VALUE"""),"Claire")</f>
        <v>Claire</v>
      </c>
      <c r="C2121" s="24">
        <f>IFERROR(__xludf.DUMMYFUNCTION("""COMPUTED_VALUE"""),37.0)</f>
        <v>37</v>
      </c>
      <c r="D2121" s="24" t="str">
        <f>IFERROR(__xludf.DUMMYFUNCTION("""COMPUTED_VALUE"""),"Meat [Raw]")</f>
        <v>Meat [Raw]</v>
      </c>
      <c r="F2121" s="23">
        <f>IFERROR(__xludf.DUMMYFUNCTION("""COMPUTED_VALUE"""),44818.846930451386)</f>
        <v>44818.84693</v>
      </c>
      <c r="G2121" s="24" t="str">
        <f>IFERROR(__xludf.DUMMYFUNCTION("""COMPUTED_VALUE"""),"Luke mayhew ")</f>
        <v>Luke mayhew </v>
      </c>
      <c r="H2121" s="24">
        <f>IFERROR(__xludf.DUMMYFUNCTION("""COMPUTED_VALUE"""),15.0)</f>
        <v>15</v>
      </c>
      <c r="I2121" s="24"/>
    </row>
    <row r="2122">
      <c r="A2122" s="23">
        <f>IFERROR(__xludf.DUMMYFUNCTION("""COMPUTED_VALUE"""),44884.71737810186)</f>
        <v>44884.71738</v>
      </c>
      <c r="B2122" s="24" t="str">
        <f>IFERROR(__xludf.DUMMYFUNCTION("""COMPUTED_VALUE"""),"Claire")</f>
        <v>Claire</v>
      </c>
      <c r="C2122" s="24">
        <f>IFERROR(__xludf.DUMMYFUNCTION("""COMPUTED_VALUE"""),165.0)</f>
        <v>165</v>
      </c>
      <c r="D2122" s="24" t="str">
        <f>IFERROR(__xludf.DUMMYFUNCTION("""COMPUTED_VALUE"""),"Grains (rice, pasta, etc.)")</f>
        <v>Grains (rice, pasta, etc.)</v>
      </c>
      <c r="F2122" s="23">
        <f>IFERROR(__xludf.DUMMYFUNCTION("""COMPUTED_VALUE"""),44819.0)</f>
        <v>44819</v>
      </c>
      <c r="G2122" s="24" t="str">
        <f>IFERROR(__xludf.DUMMYFUNCTION("""COMPUTED_VALUE"""),"Hong Xue")</f>
        <v>Hong Xue</v>
      </c>
      <c r="H2122" s="24">
        <f>IFERROR(__xludf.DUMMYFUNCTION("""COMPUTED_VALUE"""),19.0)</f>
        <v>19</v>
      </c>
      <c r="I2122" s="24"/>
    </row>
    <row r="2123">
      <c r="A2123" s="23">
        <f>IFERROR(__xludf.DUMMYFUNCTION("""COMPUTED_VALUE"""),44884.71757599537)</f>
        <v>44884.71758</v>
      </c>
      <c r="B2123" s="24" t="str">
        <f>IFERROR(__xludf.DUMMYFUNCTION("""COMPUTED_VALUE"""),"Claire")</f>
        <v>Claire</v>
      </c>
      <c r="C2123" s="24">
        <f>IFERROR(__xludf.DUMMYFUNCTION("""COMPUTED_VALUE"""),262.0)</f>
        <v>262</v>
      </c>
      <c r="D2123" s="24" t="str">
        <f>IFERROR(__xludf.DUMMYFUNCTION("""COMPUTED_VALUE"""),"Frozen [Not Meat]")</f>
        <v>Frozen [Not Meat]</v>
      </c>
      <c r="F2123" s="23">
        <f>IFERROR(__xludf.DUMMYFUNCTION("""COMPUTED_VALUE"""),44819.0)</f>
        <v>44819</v>
      </c>
      <c r="G2123" s="24" t="str">
        <f>IFERROR(__xludf.DUMMYFUNCTION("""COMPUTED_VALUE"""),"Hong Xue")</f>
        <v>Hong Xue</v>
      </c>
      <c r="H2123" s="24">
        <f>IFERROR(__xludf.DUMMYFUNCTION("""COMPUTED_VALUE"""),13.0)</f>
        <v>13</v>
      </c>
      <c r="I2123" s="24"/>
    </row>
    <row r="2124">
      <c r="A2124" s="23">
        <f>IFERROR(__xludf.DUMMYFUNCTION("""COMPUTED_VALUE"""),44884.71790055556)</f>
        <v>44884.7179</v>
      </c>
      <c r="B2124" s="24" t="str">
        <f>IFERROR(__xludf.DUMMYFUNCTION("""COMPUTED_VALUE"""),"Claire")</f>
        <v>Claire</v>
      </c>
      <c r="C2124" s="24">
        <f>IFERROR(__xludf.DUMMYFUNCTION("""COMPUTED_VALUE"""),127.0)</f>
        <v>127</v>
      </c>
      <c r="D2124" s="24" t="str">
        <f>IFERROR(__xludf.DUMMYFUNCTION("""COMPUTED_VALUE"""),"Produce")</f>
        <v>Produce</v>
      </c>
      <c r="F2124" s="23">
        <f>IFERROR(__xludf.DUMMYFUNCTION("""COMPUTED_VALUE"""),44819.0)</f>
        <v>44819</v>
      </c>
      <c r="G2124" s="24" t="str">
        <f>IFERROR(__xludf.DUMMYFUNCTION("""COMPUTED_VALUE"""),"Denise Brown")</f>
        <v>Denise Brown</v>
      </c>
      <c r="H2124" s="24">
        <f>IFERROR(__xludf.DUMMYFUNCTION("""COMPUTED_VALUE"""),20.0)</f>
        <v>20</v>
      </c>
      <c r="I2124" s="24"/>
    </row>
    <row r="2125">
      <c r="A2125" s="23">
        <f>IFERROR(__xludf.DUMMYFUNCTION("""COMPUTED_VALUE"""),44884.0)</f>
        <v>44884</v>
      </c>
      <c r="B2125" s="24" t="str">
        <f>IFERROR(__xludf.DUMMYFUNCTION("""COMPUTED_VALUE"""),"Claire")</f>
        <v>Claire</v>
      </c>
      <c r="C2125" s="24">
        <f>IFERROR(__xludf.DUMMYFUNCTION("""COMPUTED_VALUE"""),-120.0)</f>
        <v>-120</v>
      </c>
      <c r="D2125" s="24" t="str">
        <f>IFERROR(__xludf.DUMMYFUNCTION("""COMPUTED_VALUE"""),"Produce")</f>
        <v>Produce</v>
      </c>
      <c r="F2125" s="23">
        <f>IFERROR(__xludf.DUMMYFUNCTION("""COMPUTED_VALUE"""),44819.0)</f>
        <v>44819</v>
      </c>
      <c r="G2125" s="24" t="str">
        <f>IFERROR(__xludf.DUMMYFUNCTION("""COMPUTED_VALUE"""),"Denise Brown")</f>
        <v>Denise Brown</v>
      </c>
      <c r="H2125" s="24">
        <f>IFERROR(__xludf.DUMMYFUNCTION("""COMPUTED_VALUE"""),41.0)</f>
        <v>41</v>
      </c>
      <c r="I2125" s="24"/>
    </row>
    <row r="2126">
      <c r="A2126" s="23">
        <f>IFERROR(__xludf.DUMMYFUNCTION("""COMPUTED_VALUE"""),44884.71810244213)</f>
        <v>44884.7181</v>
      </c>
      <c r="B2126" s="24" t="str">
        <f>IFERROR(__xludf.DUMMYFUNCTION("""COMPUTED_VALUE"""),"Claire")</f>
        <v>Claire</v>
      </c>
      <c r="C2126" s="24">
        <f>IFERROR(__xludf.DUMMYFUNCTION("""COMPUTED_VALUE"""),-162.0)</f>
        <v>-162</v>
      </c>
      <c r="D2126" s="24" t="str">
        <f>IFERROR(__xludf.DUMMYFUNCTION("""COMPUTED_VALUE"""),"Produce")</f>
        <v>Produce</v>
      </c>
      <c r="F2126" s="23">
        <f>IFERROR(__xludf.DUMMYFUNCTION("""COMPUTED_VALUE"""),44819.69793773148)</f>
        <v>44819.69794</v>
      </c>
      <c r="G2126" s="24" t="str">
        <f>IFERROR(__xludf.DUMMYFUNCTION("""COMPUTED_VALUE"""),"Jean.  Extra")</f>
        <v>Jean.  Extra</v>
      </c>
      <c r="H2126" s="24">
        <f>IFERROR(__xludf.DUMMYFUNCTION("""COMPUTED_VALUE"""),16.0)</f>
        <v>16</v>
      </c>
      <c r="I2126" s="24"/>
    </row>
    <row r="2127">
      <c r="A2127" s="23">
        <f>IFERROR(__xludf.DUMMYFUNCTION("""COMPUTED_VALUE"""),44884.71830822917)</f>
        <v>44884.71831</v>
      </c>
      <c r="B2127" s="24" t="str">
        <f>IFERROR(__xludf.DUMMYFUNCTION("""COMPUTED_VALUE"""),"Claire")</f>
        <v>Claire</v>
      </c>
      <c r="C2127" s="24">
        <f>IFERROR(__xludf.DUMMYFUNCTION("""COMPUTED_VALUE"""),-451.0)</f>
        <v>-451</v>
      </c>
      <c r="D2127" s="24" t="str">
        <f>IFERROR(__xludf.DUMMYFUNCTION("""COMPUTED_VALUE"""),"Produce")</f>
        <v>Produce</v>
      </c>
      <c r="F2127" s="23">
        <f>IFERROR(__xludf.DUMMYFUNCTION("""COMPUTED_VALUE"""),44819.698156956016)</f>
        <v>44819.69816</v>
      </c>
      <c r="G2127" s="24" t="str">
        <f>IFERROR(__xludf.DUMMYFUNCTION("""COMPUTED_VALUE"""),"Norma")</f>
        <v>Norma</v>
      </c>
      <c r="H2127" s="24">
        <f>IFERROR(__xludf.DUMMYFUNCTION("""COMPUTED_VALUE"""),13.0)</f>
        <v>13</v>
      </c>
      <c r="I2127" s="24"/>
    </row>
    <row r="2128">
      <c r="A2128" s="23">
        <f>IFERROR(__xludf.DUMMYFUNCTION("""COMPUTED_VALUE"""),44884.718533148145)</f>
        <v>44884.71853</v>
      </c>
      <c r="B2128" s="24" t="str">
        <f>IFERROR(__xludf.DUMMYFUNCTION("""COMPUTED_VALUE"""),"Claire")</f>
        <v>Claire</v>
      </c>
      <c r="C2128" s="24">
        <f>IFERROR(__xludf.DUMMYFUNCTION("""COMPUTED_VALUE"""),-627.0)</f>
        <v>-627</v>
      </c>
      <c r="D2128" s="24" t="str">
        <f>IFERROR(__xludf.DUMMYFUNCTION("""COMPUTED_VALUE"""),"Fruit cups")</f>
        <v>Fruit cups</v>
      </c>
      <c r="F2128" s="23">
        <f>IFERROR(__xludf.DUMMYFUNCTION("""COMPUTED_VALUE"""),44819.698779756945)</f>
        <v>44819.69878</v>
      </c>
      <c r="G2128" s="24" t="str">
        <f>IFERROR(__xludf.DUMMYFUNCTION("""COMPUTED_VALUE"""),"Jean")</f>
        <v>Jean</v>
      </c>
      <c r="H2128" s="24">
        <f>IFERROR(__xludf.DUMMYFUNCTION("""COMPUTED_VALUE"""),32.0)</f>
        <v>32</v>
      </c>
      <c r="I2128" s="24"/>
    </row>
    <row r="2129">
      <c r="A2129" s="23">
        <f>IFERROR(__xludf.DUMMYFUNCTION("""COMPUTED_VALUE"""),44884.718751203705)</f>
        <v>44884.71875</v>
      </c>
      <c r="B2129" s="24" t="str">
        <f>IFERROR(__xludf.DUMMYFUNCTION("""COMPUTED_VALUE"""),"Claire")</f>
        <v>Claire</v>
      </c>
      <c r="C2129" s="24">
        <f>IFERROR(__xludf.DUMMYFUNCTION("""COMPUTED_VALUE"""),-540.0)</f>
        <v>-540</v>
      </c>
      <c r="D2129" s="24" t="str">
        <f>IFERROR(__xludf.DUMMYFUNCTION("""COMPUTED_VALUE"""),"Fruit cups")</f>
        <v>Fruit cups</v>
      </c>
      <c r="F2129" s="23">
        <f>IFERROR(__xludf.DUMMYFUNCTION("""COMPUTED_VALUE"""),44819.8459745486)</f>
        <v>44819.84597</v>
      </c>
      <c r="G2129" s="24" t="str">
        <f>IFERROR(__xludf.DUMMYFUNCTION("""COMPUTED_VALUE"""),"Vincent Faulk")</f>
        <v>Vincent Faulk</v>
      </c>
      <c r="H2129" s="24">
        <f>IFERROR(__xludf.DUMMYFUNCTION("""COMPUTED_VALUE"""),276.0)</f>
        <v>276</v>
      </c>
      <c r="I2129" s="24" t="str">
        <f>IFERROR(__xludf.DUMMYFUNCTION("""COMPUTED_VALUE"""),"Whitebox ")</f>
        <v>Whitebox </v>
      </c>
    </row>
    <row r="2130">
      <c r="A2130" s="23">
        <f>IFERROR(__xludf.DUMMYFUNCTION("""COMPUTED_VALUE"""),44884.7189427662)</f>
        <v>44884.71894</v>
      </c>
      <c r="B2130" s="24" t="str">
        <f>IFERROR(__xludf.DUMMYFUNCTION("""COMPUTED_VALUE"""),"Claire")</f>
        <v>Claire</v>
      </c>
      <c r="C2130" s="24">
        <f>IFERROR(__xludf.DUMMYFUNCTION("""COMPUTED_VALUE"""),-50.0)</f>
        <v>-50</v>
      </c>
      <c r="D2130" s="24" t="str">
        <f>IFERROR(__xludf.DUMMYFUNCTION("""COMPUTED_VALUE"""),"Snacks")</f>
        <v>Snacks</v>
      </c>
      <c r="F2130" s="23">
        <f>IFERROR(__xludf.DUMMYFUNCTION("""COMPUTED_VALUE"""),44819.847187037034)</f>
        <v>44819.84719</v>
      </c>
      <c r="G2130" s="24" t="str">
        <f>IFERROR(__xludf.DUMMYFUNCTION("""COMPUTED_VALUE"""),"Vincent Faulk")</f>
        <v>Vincent Faulk</v>
      </c>
      <c r="H2130" s="24">
        <f>IFERROR(__xludf.DUMMYFUNCTION("""COMPUTED_VALUE"""),444.0)</f>
        <v>444</v>
      </c>
      <c r="I2130" s="24" t="str">
        <f>IFERROR(__xludf.DUMMYFUNCTION("""COMPUTED_VALUE"""),"Whitebox ")</f>
        <v>Whitebox </v>
      </c>
    </row>
    <row r="2131">
      <c r="A2131" s="23">
        <f>IFERROR(__xludf.DUMMYFUNCTION("""COMPUTED_VALUE"""),44884.71913660879)</f>
        <v>44884.71914</v>
      </c>
      <c r="B2131" s="24" t="str">
        <f>IFERROR(__xludf.DUMMYFUNCTION("""COMPUTED_VALUE"""),"Claire")</f>
        <v>Claire</v>
      </c>
      <c r="C2131" s="24">
        <f>IFERROR(__xludf.DUMMYFUNCTION("""COMPUTED_VALUE"""),-615.0)</f>
        <v>-615</v>
      </c>
      <c r="D2131" s="24" t="str">
        <f>IFERROR(__xludf.DUMMYFUNCTION("""COMPUTED_VALUE"""),"Drinks [Dry]")</f>
        <v>Drinks [Dry]</v>
      </c>
      <c r="F2131" s="23">
        <f>IFERROR(__xludf.DUMMYFUNCTION("""COMPUTED_VALUE"""),44819.847805694444)</f>
        <v>44819.84781</v>
      </c>
      <c r="G2131" s="24" t="str">
        <f>IFERROR(__xludf.DUMMYFUNCTION("""COMPUTED_VALUE"""),"Vincent Faulk")</f>
        <v>Vincent Faulk</v>
      </c>
      <c r="H2131" s="24">
        <f>IFERROR(__xludf.DUMMYFUNCTION("""COMPUTED_VALUE"""),791.0)</f>
        <v>791</v>
      </c>
      <c r="I2131" s="24" t="str">
        <f>IFERROR(__xludf.DUMMYFUNCTION("""COMPUTED_VALUE"""),"Whitebox ")</f>
        <v>Whitebox </v>
      </c>
    </row>
    <row r="2132">
      <c r="A2132" s="23">
        <f>IFERROR(__xludf.DUMMYFUNCTION("""COMPUTED_VALUE"""),44885.55254266204)</f>
        <v>44885.55254</v>
      </c>
      <c r="B2132" s="24" t="str">
        <f>IFERROR(__xludf.DUMMYFUNCTION("""COMPUTED_VALUE"""),"Claire")</f>
        <v>Claire</v>
      </c>
      <c r="C2132" s="24">
        <f>IFERROR(__xludf.DUMMYFUNCTION("""COMPUTED_VALUE"""),540.0)</f>
        <v>540</v>
      </c>
      <c r="D2132" s="24" t="str">
        <f>IFERROR(__xludf.DUMMYFUNCTION("""COMPUTED_VALUE"""),"Fruit cups")</f>
        <v>Fruit cups</v>
      </c>
      <c r="F2132" s="23">
        <f>IFERROR(__xludf.DUMMYFUNCTION("""COMPUTED_VALUE"""),44819.84827416667)</f>
        <v>44819.84827</v>
      </c>
      <c r="G2132" s="24" t="str">
        <f>IFERROR(__xludf.DUMMYFUNCTION("""COMPUTED_VALUE"""),"Vincent Faulk")</f>
        <v>Vincent Faulk</v>
      </c>
      <c r="H2132" s="24">
        <f>IFERROR(__xludf.DUMMYFUNCTION("""COMPUTED_VALUE"""),357.0)</f>
        <v>357</v>
      </c>
      <c r="I2132" s="24" t="str">
        <f>IFERROR(__xludf.DUMMYFUNCTION("""COMPUTED_VALUE"""),"Whitebox ")</f>
        <v>Whitebox </v>
      </c>
    </row>
    <row r="2133">
      <c r="A2133" s="23">
        <f>IFERROR(__xludf.DUMMYFUNCTION("""COMPUTED_VALUE"""),44885.55287059028)</f>
        <v>44885.55287</v>
      </c>
      <c r="B2133" s="24" t="str">
        <f>IFERROR(__xludf.DUMMYFUNCTION("""COMPUTED_VALUE"""),"Claire")</f>
        <v>Claire</v>
      </c>
      <c r="C2133" s="24">
        <f>IFERROR(__xludf.DUMMYFUNCTION("""COMPUTED_VALUE"""),627.0)</f>
        <v>627</v>
      </c>
      <c r="D2133" s="24" t="str">
        <f>IFERROR(__xludf.DUMMYFUNCTION("""COMPUTED_VALUE"""),"Fruit cups")</f>
        <v>Fruit cups</v>
      </c>
      <c r="F2133" s="23">
        <f>IFERROR(__xludf.DUMMYFUNCTION("""COMPUTED_VALUE"""),44819.84952386574)</f>
        <v>44819.84952</v>
      </c>
      <c r="G2133" s="24" t="str">
        <f>IFERROR(__xludf.DUMMYFUNCTION("""COMPUTED_VALUE"""),"Vincent Faulk")</f>
        <v>Vincent Faulk</v>
      </c>
      <c r="H2133" s="24">
        <f>IFERROR(__xludf.DUMMYFUNCTION("""COMPUTED_VALUE"""),588.0)</f>
        <v>588</v>
      </c>
      <c r="I2133" s="24" t="str">
        <f>IFERROR(__xludf.DUMMYFUNCTION("""COMPUTED_VALUE"""),"Whitebox ")</f>
        <v>Whitebox </v>
      </c>
    </row>
    <row r="2134">
      <c r="A2134" s="23">
        <f>IFERROR(__xludf.DUMMYFUNCTION("""COMPUTED_VALUE"""),44885.55310425926)</f>
        <v>44885.5531</v>
      </c>
      <c r="B2134" s="24" t="str">
        <f>IFERROR(__xludf.DUMMYFUNCTION("""COMPUTED_VALUE"""),"Claire")</f>
        <v>Claire</v>
      </c>
      <c r="C2134" s="24">
        <f>IFERROR(__xludf.DUMMYFUNCTION("""COMPUTED_VALUE"""),545.0)</f>
        <v>545</v>
      </c>
      <c r="D2134" s="24" t="str">
        <f>IFERROR(__xludf.DUMMYFUNCTION("""COMPUTED_VALUE"""),"Produce")</f>
        <v>Produce</v>
      </c>
      <c r="F2134" s="23">
        <f>IFERROR(__xludf.DUMMYFUNCTION("""COMPUTED_VALUE"""),44819.85046667824)</f>
        <v>44819.85047</v>
      </c>
      <c r="G2134" s="24" t="str">
        <f>IFERROR(__xludf.DUMMYFUNCTION("""COMPUTED_VALUE"""),"Vincent Faulk")</f>
        <v>Vincent Faulk</v>
      </c>
      <c r="H2134" s="24">
        <f>IFERROR(__xludf.DUMMYFUNCTION("""COMPUTED_VALUE"""),448.0)</f>
        <v>448</v>
      </c>
      <c r="I2134" s="24" t="str">
        <f>IFERROR(__xludf.DUMMYFUNCTION("""COMPUTED_VALUE"""),"Whitebox ")</f>
        <v>Whitebox </v>
      </c>
    </row>
    <row r="2135">
      <c r="A2135" s="23">
        <f>IFERROR(__xludf.DUMMYFUNCTION("""COMPUTED_VALUE"""),44885.5665693287)</f>
        <v>44885.56657</v>
      </c>
      <c r="B2135" s="24" t="str">
        <f>IFERROR(__xludf.DUMMYFUNCTION("""COMPUTED_VALUE"""),"Claire")</f>
        <v>Claire</v>
      </c>
      <c r="C2135" s="24">
        <f>IFERROR(__xludf.DUMMYFUNCTION("""COMPUTED_VALUE"""),470.0)</f>
        <v>470</v>
      </c>
      <c r="D2135" s="24" t="str">
        <f>IFERROR(__xludf.DUMMYFUNCTION("""COMPUTED_VALUE"""),"Assorted Fridge")</f>
        <v>Assorted Fridge</v>
      </c>
      <c r="F2135" s="23">
        <f>IFERROR(__xludf.DUMMYFUNCTION("""COMPUTED_VALUE"""),44819.85071856481)</f>
        <v>44819.85072</v>
      </c>
      <c r="G2135" s="24" t="str">
        <f>IFERROR(__xludf.DUMMYFUNCTION("""COMPUTED_VALUE"""),"Sheneil Black ")</f>
        <v>Sheneil Black </v>
      </c>
      <c r="H2135" s="24">
        <f>IFERROR(__xludf.DUMMYFUNCTION("""COMPUTED_VALUE"""),239.0)</f>
        <v>239</v>
      </c>
      <c r="I2135" s="24" t="str">
        <f>IFERROR(__xludf.DUMMYFUNCTION("""COMPUTED_VALUE"""),"Bread")</f>
        <v>Bread</v>
      </c>
    </row>
    <row r="2136">
      <c r="A2136" s="23">
        <f>IFERROR(__xludf.DUMMYFUNCTION("""COMPUTED_VALUE"""),44885.56944721065)</f>
        <v>44885.56945</v>
      </c>
      <c r="B2136" s="24" t="str">
        <f>IFERROR(__xludf.DUMMYFUNCTION("""COMPUTED_VALUE"""),"Claire")</f>
        <v>Claire</v>
      </c>
      <c r="C2136" s="24">
        <f>IFERROR(__xludf.DUMMYFUNCTION("""COMPUTED_VALUE"""),205.0)</f>
        <v>205</v>
      </c>
      <c r="D2136" s="24" t="str">
        <f>IFERROR(__xludf.DUMMYFUNCTION("""COMPUTED_VALUE"""),"Assorted Fridge")</f>
        <v>Assorted Fridge</v>
      </c>
      <c r="F2136" s="23">
        <f>IFERROR(__xludf.DUMMYFUNCTION("""COMPUTED_VALUE"""),44819.851275243054)</f>
        <v>44819.85128</v>
      </c>
      <c r="G2136" s="24" t="str">
        <f>IFERROR(__xludf.DUMMYFUNCTION("""COMPUTED_VALUE"""),"Sheneil ")</f>
        <v>Sheneil </v>
      </c>
      <c r="H2136" s="24">
        <f>IFERROR(__xludf.DUMMYFUNCTION("""COMPUTED_VALUE"""),228.0)</f>
        <v>228</v>
      </c>
      <c r="I2136" s="24" t="str">
        <f>IFERROR(__xludf.DUMMYFUNCTION("""COMPUTED_VALUE"""),"Snacks")</f>
        <v>Snacks</v>
      </c>
    </row>
    <row r="2137">
      <c r="A2137" s="23">
        <f>IFERROR(__xludf.DUMMYFUNCTION("""COMPUTED_VALUE"""),44885.0)</f>
        <v>44885</v>
      </c>
      <c r="B2137" s="24" t="str">
        <f>IFERROR(__xludf.DUMMYFUNCTION("""COMPUTED_VALUE"""),"Claire")</f>
        <v>Claire</v>
      </c>
      <c r="C2137" s="24">
        <f>IFERROR(__xludf.DUMMYFUNCTION("""COMPUTED_VALUE"""),130.0)</f>
        <v>130</v>
      </c>
      <c r="D2137" s="24" t="str">
        <f>IFERROR(__xludf.DUMMYFUNCTION("""COMPUTED_VALUE"""),"Produce")</f>
        <v>Produce</v>
      </c>
      <c r="F2137" s="23">
        <f>IFERROR(__xludf.DUMMYFUNCTION("""COMPUTED_VALUE"""),44819.85148106481)</f>
        <v>44819.85148</v>
      </c>
      <c r="G2137" s="24" t="str">
        <f>IFERROR(__xludf.DUMMYFUNCTION("""COMPUTED_VALUE"""),"Vincent Faulk")</f>
        <v>Vincent Faulk</v>
      </c>
      <c r="H2137" s="24">
        <f>IFERROR(__xludf.DUMMYFUNCTION("""COMPUTED_VALUE"""),176.0)</f>
        <v>176</v>
      </c>
      <c r="I2137" s="24" t="str">
        <f>IFERROR(__xludf.DUMMYFUNCTION("""COMPUTED_VALUE"""),"Whitebox ")</f>
        <v>Whitebox </v>
      </c>
    </row>
    <row r="2138">
      <c r="A2138" s="23">
        <f>IFERROR(__xludf.DUMMYFUNCTION("""COMPUTED_VALUE"""),44885.616221157405)</f>
        <v>44885.61622</v>
      </c>
      <c r="B2138" s="24" t="str">
        <f>IFERROR(__xludf.DUMMYFUNCTION("""COMPUTED_VALUE"""),"Opeyemi ")</f>
        <v>Opeyemi </v>
      </c>
      <c r="C2138" s="24">
        <f>IFERROR(__xludf.DUMMYFUNCTION("""COMPUTED_VALUE"""),1080.0)</f>
        <v>1080</v>
      </c>
      <c r="D2138" s="24" t="str">
        <f>IFERROR(__xludf.DUMMYFUNCTION("""COMPUTED_VALUE"""),"Assorted Dry")</f>
        <v>Assorted Dry</v>
      </c>
      <c r="F2138" s="23">
        <f>IFERROR(__xludf.DUMMYFUNCTION("""COMPUTED_VALUE"""),44819.85162903935)</f>
        <v>44819.85163</v>
      </c>
      <c r="G2138" s="24" t="str">
        <f>IFERROR(__xludf.DUMMYFUNCTION("""COMPUTED_VALUE"""),"Sheneil ")</f>
        <v>Sheneil </v>
      </c>
      <c r="H2138" s="24">
        <f>IFERROR(__xludf.DUMMYFUNCTION("""COMPUTED_VALUE"""),149.0)</f>
        <v>149</v>
      </c>
      <c r="I2138" s="24" t="str">
        <f>IFERROR(__xludf.DUMMYFUNCTION("""COMPUTED_VALUE"""),"Snacks")</f>
        <v>Snacks</v>
      </c>
    </row>
    <row r="2139">
      <c r="A2139" s="23">
        <f>IFERROR(__xludf.DUMMYFUNCTION("""COMPUTED_VALUE"""),44887.6824772338)</f>
        <v>44887.68248</v>
      </c>
      <c r="B2139" s="24" t="str">
        <f>IFERROR(__xludf.DUMMYFUNCTION("""COMPUTED_VALUE"""),"Claire")</f>
        <v>Claire</v>
      </c>
      <c r="C2139" s="24">
        <f>IFERROR(__xludf.DUMMYFUNCTION("""COMPUTED_VALUE"""),752.0)</f>
        <v>752</v>
      </c>
      <c r="D2139" s="24" t="str">
        <f>IFERROR(__xludf.DUMMYFUNCTION("""COMPUTED_VALUE"""),"Boxes")</f>
        <v>Boxes</v>
      </c>
      <c r="F2139" s="23">
        <f>IFERROR(__xludf.DUMMYFUNCTION("""COMPUTED_VALUE"""),44819.852033993055)</f>
        <v>44819.85203</v>
      </c>
      <c r="G2139" s="24" t="str">
        <f>IFERROR(__xludf.DUMMYFUNCTION("""COMPUTED_VALUE"""),"Sheneil")</f>
        <v>Sheneil</v>
      </c>
      <c r="H2139" s="24">
        <f>IFERROR(__xludf.DUMMYFUNCTION("""COMPUTED_VALUE"""),183.0)</f>
        <v>183</v>
      </c>
      <c r="I2139" s="24" t="str">
        <f>IFERROR(__xludf.DUMMYFUNCTION("""COMPUTED_VALUE"""),"Toys")</f>
        <v>Toys</v>
      </c>
    </row>
    <row r="2140">
      <c r="A2140" s="23">
        <f>IFERROR(__xludf.DUMMYFUNCTION("""COMPUTED_VALUE"""),44887.68404347222)</f>
        <v>44887.68404</v>
      </c>
      <c r="B2140" s="24" t="str">
        <f>IFERROR(__xludf.DUMMYFUNCTION("""COMPUTED_VALUE"""),"Claire")</f>
        <v>Claire</v>
      </c>
      <c r="C2140" s="24">
        <f>IFERROR(__xludf.DUMMYFUNCTION("""COMPUTED_VALUE"""),698.0)</f>
        <v>698</v>
      </c>
      <c r="D2140" s="24" t="str">
        <f>IFERROR(__xludf.DUMMYFUNCTION("""COMPUTED_VALUE"""),"Boxes")</f>
        <v>Boxes</v>
      </c>
      <c r="F2140" s="23">
        <f>IFERROR(__xludf.DUMMYFUNCTION("""COMPUTED_VALUE"""),44819.85213337963)</f>
        <v>44819.85213</v>
      </c>
      <c r="G2140" s="24" t="str">
        <f>IFERROR(__xludf.DUMMYFUNCTION("""COMPUTED_VALUE"""),"Vincent Faulk")</f>
        <v>Vincent Faulk</v>
      </c>
      <c r="H2140" s="24">
        <f>IFERROR(__xludf.DUMMYFUNCTION("""COMPUTED_VALUE"""),217.0)</f>
        <v>217</v>
      </c>
      <c r="I2140" s="24" t="str">
        <f>IFERROR(__xludf.DUMMYFUNCTION("""COMPUTED_VALUE"""),"Whitebox ")</f>
        <v>Whitebox </v>
      </c>
    </row>
    <row r="2141">
      <c r="A2141" s="23">
        <f>IFERROR(__xludf.DUMMYFUNCTION("""COMPUTED_VALUE"""),44887.71758753472)</f>
        <v>44887.71759</v>
      </c>
      <c r="B2141" s="24" t="str">
        <f>IFERROR(__xludf.DUMMYFUNCTION("""COMPUTED_VALUE"""),"Claire")</f>
        <v>Claire</v>
      </c>
      <c r="C2141" s="24">
        <f>IFERROR(__xludf.DUMMYFUNCTION("""COMPUTED_VALUE"""),1310.0)</f>
        <v>1310</v>
      </c>
      <c r="D2141" s="24" t="str">
        <f>IFERROR(__xludf.DUMMYFUNCTION("""COMPUTED_VALUE"""),"Fruit cups")</f>
        <v>Fruit cups</v>
      </c>
      <c r="F2141" s="23">
        <f>IFERROR(__xludf.DUMMYFUNCTION("""COMPUTED_VALUE"""),44819.852698622686)</f>
        <v>44819.8527</v>
      </c>
      <c r="G2141" s="24" t="str">
        <f>IFERROR(__xludf.DUMMYFUNCTION("""COMPUTED_VALUE"""),"Vincent Faulk")</f>
        <v>Vincent Faulk</v>
      </c>
      <c r="H2141" s="24">
        <f>IFERROR(__xludf.DUMMYFUNCTION("""COMPUTED_VALUE"""),182.0)</f>
        <v>182</v>
      </c>
      <c r="I2141" s="24" t="str">
        <f>IFERROR(__xludf.DUMMYFUNCTION("""COMPUTED_VALUE"""),"Whitebox ")</f>
        <v>Whitebox </v>
      </c>
    </row>
    <row r="2142">
      <c r="A2142" s="23">
        <f>IFERROR(__xludf.DUMMYFUNCTION("""COMPUTED_VALUE"""),44887.71787905092)</f>
        <v>44887.71788</v>
      </c>
      <c r="B2142" s="24" t="str">
        <f>IFERROR(__xludf.DUMMYFUNCTION("""COMPUTED_VALUE"""),"Claire")</f>
        <v>Claire</v>
      </c>
      <c r="C2142" s="24">
        <f>IFERROR(__xludf.DUMMYFUNCTION("""COMPUTED_VALUE"""),1008.0)</f>
        <v>1008</v>
      </c>
      <c r="D2142" s="24" t="str">
        <f>IFERROR(__xludf.DUMMYFUNCTION("""COMPUTED_VALUE"""),"Fruit cups")</f>
        <v>Fruit cups</v>
      </c>
      <c r="F2142" s="23">
        <f>IFERROR(__xludf.DUMMYFUNCTION("""COMPUTED_VALUE"""),44819.85335515046)</f>
        <v>44819.85336</v>
      </c>
      <c r="G2142" s="24" t="str">
        <f>IFERROR(__xludf.DUMMYFUNCTION("""COMPUTED_VALUE"""),"Vincent Faulk")</f>
        <v>Vincent Faulk</v>
      </c>
      <c r="H2142" s="24">
        <f>IFERROR(__xludf.DUMMYFUNCTION("""COMPUTED_VALUE"""),159.0)</f>
        <v>159</v>
      </c>
      <c r="I2142" s="24" t="str">
        <f>IFERROR(__xludf.DUMMYFUNCTION("""COMPUTED_VALUE"""),"Whitebox ")</f>
        <v>Whitebox </v>
      </c>
    </row>
    <row r="2143">
      <c r="A2143" s="23">
        <f>IFERROR(__xludf.DUMMYFUNCTION("""COMPUTED_VALUE"""),44887.718501689815)</f>
        <v>44887.7185</v>
      </c>
      <c r="B2143" s="24" t="str">
        <f>IFERROR(__xludf.DUMMYFUNCTION("""COMPUTED_VALUE"""),"Claire")</f>
        <v>Claire</v>
      </c>
      <c r="C2143" s="24">
        <f>IFERROR(__xludf.DUMMYFUNCTION("""COMPUTED_VALUE"""),1134.0)</f>
        <v>1134</v>
      </c>
      <c r="D2143" s="24" t="str">
        <f>IFERROR(__xludf.DUMMYFUNCTION("""COMPUTED_VALUE"""),"Fruit cups")</f>
        <v>Fruit cups</v>
      </c>
      <c r="F2143" s="23">
        <f>IFERROR(__xludf.DUMMYFUNCTION("""COMPUTED_VALUE"""),44819.8535775463)</f>
        <v>44819.85358</v>
      </c>
      <c r="G2143" s="24" t="str">
        <f>IFERROR(__xludf.DUMMYFUNCTION("""COMPUTED_VALUE"""),"Sheneil")</f>
        <v>Sheneil</v>
      </c>
      <c r="H2143" s="24">
        <f>IFERROR(__xludf.DUMMYFUNCTION("""COMPUTED_VALUE"""),342.0)</f>
        <v>342</v>
      </c>
      <c r="I2143" s="24" t="str">
        <f>IFERROR(__xludf.DUMMYFUNCTION("""COMPUTED_VALUE"""),"Assorted Dry")</f>
        <v>Assorted Dry</v>
      </c>
    </row>
    <row r="2144">
      <c r="A2144" s="23">
        <f>IFERROR(__xludf.DUMMYFUNCTION("""COMPUTED_VALUE"""),44887.72746741898)</f>
        <v>44887.72747</v>
      </c>
      <c r="B2144" s="24" t="str">
        <f>IFERROR(__xludf.DUMMYFUNCTION("""COMPUTED_VALUE"""),"Claire")</f>
        <v>Claire</v>
      </c>
      <c r="C2144" s="24">
        <f>IFERROR(__xludf.DUMMYFUNCTION("""COMPUTED_VALUE"""),227.0)</f>
        <v>227</v>
      </c>
      <c r="D2144" s="24" t="str">
        <f>IFERROR(__xludf.DUMMYFUNCTION("""COMPUTED_VALUE"""),"Frozen [Not Meat]")</f>
        <v>Frozen [Not Meat]</v>
      </c>
      <c r="F2144" s="23">
        <f>IFERROR(__xludf.DUMMYFUNCTION("""COMPUTED_VALUE"""),44819.853921064816)</f>
        <v>44819.85392</v>
      </c>
      <c r="G2144" s="24" t="str">
        <f>IFERROR(__xludf.DUMMYFUNCTION("""COMPUTED_VALUE"""),"Vincent Faulk")</f>
        <v>Vincent Faulk</v>
      </c>
      <c r="H2144" s="24">
        <f>IFERROR(__xludf.DUMMYFUNCTION("""COMPUTED_VALUE"""),371.0)</f>
        <v>371</v>
      </c>
      <c r="I2144" s="24" t="str">
        <f>IFERROR(__xludf.DUMMYFUNCTION("""COMPUTED_VALUE"""),"Whitebox ")</f>
        <v>Whitebox </v>
      </c>
    </row>
    <row r="2145">
      <c r="A2145" s="23">
        <f>IFERROR(__xludf.DUMMYFUNCTION("""COMPUTED_VALUE"""),44888.576967974535)</f>
        <v>44888.57697</v>
      </c>
      <c r="B2145" s="24" t="str">
        <f>IFERROR(__xludf.DUMMYFUNCTION("""COMPUTED_VALUE"""),"JC")</f>
        <v>JC</v>
      </c>
      <c r="C2145" s="24">
        <f>IFERROR(__xludf.DUMMYFUNCTION("""COMPUTED_VALUE"""),998.0)</f>
        <v>998</v>
      </c>
      <c r="D2145" s="24" t="str">
        <f>IFERROR(__xludf.DUMMYFUNCTION("""COMPUTED_VALUE"""),"Dole")</f>
        <v>Dole</v>
      </c>
      <c r="F2145" s="23">
        <f>IFERROR(__xludf.DUMMYFUNCTION("""COMPUTED_VALUE"""),44819.85402626157)</f>
        <v>44819.85403</v>
      </c>
      <c r="G2145" s="24" t="str">
        <f>IFERROR(__xludf.DUMMYFUNCTION("""COMPUTED_VALUE"""),"Sheneil")</f>
        <v>Sheneil</v>
      </c>
      <c r="H2145" s="24">
        <f>IFERROR(__xludf.DUMMYFUNCTION("""COMPUTED_VALUE"""),304.0)</f>
        <v>304</v>
      </c>
      <c r="I2145" s="24" t="str">
        <f>IFERROR(__xludf.DUMMYFUNCTION("""COMPUTED_VALUE"""),"Frozen [Not Meat]")</f>
        <v>Frozen [Not Meat]</v>
      </c>
    </row>
    <row r="2146">
      <c r="A2146" s="23">
        <f>IFERROR(__xludf.DUMMYFUNCTION("""COMPUTED_VALUE"""),44888.577251006944)</f>
        <v>44888.57725</v>
      </c>
      <c r="B2146" s="24" t="str">
        <f>IFERROR(__xludf.DUMMYFUNCTION("""COMPUTED_VALUE"""),"JC")</f>
        <v>JC</v>
      </c>
      <c r="C2146" s="24">
        <f>IFERROR(__xludf.DUMMYFUNCTION("""COMPUTED_VALUE"""),982.0)</f>
        <v>982</v>
      </c>
      <c r="D2146" s="24" t="str">
        <f>IFERROR(__xludf.DUMMYFUNCTION("""COMPUTED_VALUE"""),"Dole")</f>
        <v>Dole</v>
      </c>
      <c r="F2146" s="23">
        <f>IFERROR(__xludf.DUMMYFUNCTION("""COMPUTED_VALUE"""),44819.85428435185)</f>
        <v>44819.85428</v>
      </c>
      <c r="G2146" s="24"/>
      <c r="H2146" s="24">
        <f>IFERROR(__xludf.DUMMYFUNCTION("""COMPUTED_VALUE"""),1345.0)</f>
        <v>1345</v>
      </c>
      <c r="I2146" s="24" t="str">
        <f>IFERROR(__xludf.DUMMYFUNCTION("""COMPUTED_VALUE"""),"Amazon")</f>
        <v>Amazon</v>
      </c>
    </row>
    <row r="2147">
      <c r="A2147" s="23">
        <f>IFERROR(__xludf.DUMMYFUNCTION("""COMPUTED_VALUE"""),44888.57759634259)</f>
        <v>44888.5776</v>
      </c>
      <c r="B2147" s="24" t="str">
        <f>IFERROR(__xludf.DUMMYFUNCTION("""COMPUTED_VALUE"""),"JC")</f>
        <v>JC</v>
      </c>
      <c r="C2147" s="24">
        <f>IFERROR(__xludf.DUMMYFUNCTION("""COMPUTED_VALUE"""),1040.0)</f>
        <v>1040</v>
      </c>
      <c r="D2147" s="24" t="str">
        <f>IFERROR(__xludf.DUMMYFUNCTION("""COMPUTED_VALUE"""),"Dole")</f>
        <v>Dole</v>
      </c>
      <c r="F2147" s="23">
        <f>IFERROR(__xludf.DUMMYFUNCTION("""COMPUTED_VALUE"""),44819.8546011574)</f>
        <v>44819.8546</v>
      </c>
      <c r="G2147" s="24" t="str">
        <f>IFERROR(__xludf.DUMMYFUNCTION("""COMPUTED_VALUE"""),"Vincent Faulk")</f>
        <v>Vincent Faulk</v>
      </c>
      <c r="H2147" s="24">
        <f>IFERROR(__xludf.DUMMYFUNCTION("""COMPUTED_VALUE"""),862.0)</f>
        <v>862</v>
      </c>
      <c r="I2147" s="24" t="str">
        <f>IFERROR(__xludf.DUMMYFUNCTION("""COMPUTED_VALUE"""),"Amazon")</f>
        <v>Amazon</v>
      </c>
    </row>
    <row r="2148">
      <c r="A2148" s="23">
        <f>IFERROR(__xludf.DUMMYFUNCTION("""COMPUTED_VALUE"""),44888.57815460649)</f>
        <v>44888.57815</v>
      </c>
      <c r="B2148" s="24" t="str">
        <f>IFERROR(__xludf.DUMMYFUNCTION("""COMPUTED_VALUE"""),"JC")</f>
        <v>JC</v>
      </c>
      <c r="C2148" s="24">
        <f>IFERROR(__xludf.DUMMYFUNCTION("""COMPUTED_VALUE"""),1532.0)</f>
        <v>1532</v>
      </c>
      <c r="D2148" s="24" t="str">
        <f>IFERROR(__xludf.DUMMYFUNCTION("""COMPUTED_VALUE"""),"Hand Sanizer")</f>
        <v>Hand Sanizer</v>
      </c>
      <c r="F2148" s="23">
        <f>IFERROR(__xludf.DUMMYFUNCTION("""COMPUTED_VALUE"""),44819.85467623843)</f>
        <v>44819.85468</v>
      </c>
      <c r="G2148" s="24" t="str">
        <f>IFERROR(__xludf.DUMMYFUNCTION("""COMPUTED_VALUE"""),"Sheneil")</f>
        <v>Sheneil</v>
      </c>
      <c r="H2148" s="24">
        <f>IFERROR(__xludf.DUMMYFUNCTION("""COMPUTED_VALUE"""),456.0)</f>
        <v>456</v>
      </c>
      <c r="I2148" s="24" t="str">
        <f>IFERROR(__xludf.DUMMYFUNCTION("""COMPUTED_VALUE"""),"Produce")</f>
        <v>Produce</v>
      </c>
    </row>
    <row r="2149">
      <c r="A2149" s="23">
        <f>IFERROR(__xludf.DUMMYFUNCTION("""COMPUTED_VALUE"""),44892.566055868054)</f>
        <v>44892.56606</v>
      </c>
      <c r="B2149" s="24" t="str">
        <f>IFERROR(__xludf.DUMMYFUNCTION("""COMPUTED_VALUE"""),"JUANITA Chandler ")</f>
        <v>JUANITA Chandler </v>
      </c>
      <c r="C2149" s="24">
        <f>IFERROR(__xludf.DUMMYFUNCTION("""COMPUTED_VALUE"""),796.0)</f>
        <v>796</v>
      </c>
      <c r="D2149" s="24" t="str">
        <f>IFERROR(__xludf.DUMMYFUNCTION("""COMPUTED_VALUE"""),"Dole fruit Cup ")</f>
        <v>Dole fruit Cup </v>
      </c>
      <c r="F2149" s="23">
        <f>IFERROR(__xludf.DUMMYFUNCTION("""COMPUTED_VALUE"""),44819.86643475694)</f>
        <v>44819.86643</v>
      </c>
      <c r="G2149" s="24" t="str">
        <f>IFERROR(__xludf.DUMMYFUNCTION("""COMPUTED_VALUE"""),"Sheneil")</f>
        <v>Sheneil</v>
      </c>
      <c r="H2149" s="24">
        <f>IFERROR(__xludf.DUMMYFUNCTION("""COMPUTED_VALUE"""),20.0)</f>
        <v>20</v>
      </c>
      <c r="I2149" s="24"/>
    </row>
    <row r="2150">
      <c r="A2150" s="23">
        <f>IFERROR(__xludf.DUMMYFUNCTION("""COMPUTED_VALUE"""),44892.62601940973)</f>
        <v>44892.62602</v>
      </c>
      <c r="B2150" s="24" t="str">
        <f>IFERROR(__xludf.DUMMYFUNCTION("""COMPUTED_VALUE"""),"JUANITA Chandler ")</f>
        <v>JUANITA Chandler </v>
      </c>
      <c r="C2150" s="24">
        <f>IFERROR(__xludf.DUMMYFUNCTION("""COMPUTED_VALUE"""),46.0)</f>
        <v>46</v>
      </c>
      <c r="D2150" s="24" t="str">
        <f>IFERROR(__xludf.DUMMYFUNCTION("""COMPUTED_VALUE"""),"Assorted Dry")</f>
        <v>Assorted Dry</v>
      </c>
      <c r="F2150" s="23">
        <f>IFERROR(__xludf.DUMMYFUNCTION("""COMPUTED_VALUE"""),44820.0)</f>
        <v>44820</v>
      </c>
      <c r="G2150" s="24" t="str">
        <f>IFERROR(__xludf.DUMMYFUNCTION("""COMPUTED_VALUE"""),"Juanita Chandler")</f>
        <v>Juanita Chandler</v>
      </c>
      <c r="H2150" s="24">
        <f>IFERROR(__xludf.DUMMYFUNCTION("""COMPUTED_VALUE"""),5.0)</f>
        <v>5</v>
      </c>
      <c r="I2150" s="24"/>
    </row>
    <row r="2151">
      <c r="A2151" s="23">
        <f>IFERROR(__xludf.DUMMYFUNCTION("""COMPUTED_VALUE"""),44892.627428101856)</f>
        <v>44892.62743</v>
      </c>
      <c r="B2151" s="24" t="str">
        <f>IFERROR(__xludf.DUMMYFUNCTION("""COMPUTED_VALUE"""),"Juanita Chandler ")</f>
        <v>Juanita Chandler </v>
      </c>
      <c r="C2151" s="24">
        <f>IFERROR(__xludf.DUMMYFUNCTION("""COMPUTED_VALUE"""),189.0)</f>
        <v>189</v>
      </c>
      <c r="D2151" s="24" t="str">
        <f>IFERROR(__xludf.DUMMYFUNCTION("""COMPUTED_VALUE"""),"Assorted Dry")</f>
        <v>Assorted Dry</v>
      </c>
      <c r="F2151" s="23">
        <f>IFERROR(__xludf.DUMMYFUNCTION("""COMPUTED_VALUE"""),44820.0)</f>
        <v>44820</v>
      </c>
      <c r="G2151" s="24" t="str">
        <f>IFERROR(__xludf.DUMMYFUNCTION("""COMPUTED_VALUE"""),"Juanita Chandler")</f>
        <v>Juanita Chandler</v>
      </c>
      <c r="H2151" s="24">
        <f>IFERROR(__xludf.DUMMYFUNCTION("""COMPUTED_VALUE"""),6.0)</f>
        <v>6</v>
      </c>
      <c r="I2151" s="24"/>
    </row>
    <row r="2152">
      <c r="A2152" s="23">
        <f>IFERROR(__xludf.DUMMYFUNCTION("""COMPUTED_VALUE"""),44892.62894304399)</f>
        <v>44892.62894</v>
      </c>
      <c r="B2152" s="24" t="str">
        <f>IFERROR(__xludf.DUMMYFUNCTION("""COMPUTED_VALUE"""),"JUANITA Chandler ")</f>
        <v>JUANITA Chandler </v>
      </c>
      <c r="C2152" s="24">
        <f>IFERROR(__xludf.DUMMYFUNCTION("""COMPUTED_VALUE"""),362.0)</f>
        <v>362</v>
      </c>
      <c r="D2152" s="24" t="str">
        <f>IFERROR(__xludf.DUMMYFUNCTION("""COMPUTED_VALUE"""),"Produce")</f>
        <v>Produce</v>
      </c>
      <c r="F2152" s="23">
        <f>IFERROR(__xludf.DUMMYFUNCTION("""COMPUTED_VALUE"""),44820.0)</f>
        <v>44820</v>
      </c>
      <c r="G2152" s="24" t="str">
        <f>IFERROR(__xludf.DUMMYFUNCTION("""COMPUTED_VALUE"""),"Beth Torres")</f>
        <v>Beth Torres</v>
      </c>
      <c r="H2152" s="24">
        <f>IFERROR(__xludf.DUMMYFUNCTION("""COMPUTED_VALUE"""),12.0)</f>
        <v>12</v>
      </c>
      <c r="I2152" s="24"/>
    </row>
    <row r="2153">
      <c r="A2153" s="23">
        <f>IFERROR(__xludf.DUMMYFUNCTION("""COMPUTED_VALUE"""),44892.62970628472)</f>
        <v>44892.62971</v>
      </c>
      <c r="B2153" s="24" t="str">
        <f>IFERROR(__xludf.DUMMYFUNCTION("""COMPUTED_VALUE"""),"JUANITA Chandler ")</f>
        <v>JUANITA Chandler </v>
      </c>
      <c r="C2153" s="24">
        <f>IFERROR(__xludf.DUMMYFUNCTION("""COMPUTED_VALUE"""),103.0)</f>
        <v>103</v>
      </c>
      <c r="D2153" s="24" t="str">
        <f>IFERROR(__xludf.DUMMYFUNCTION("""COMPUTED_VALUE"""),"Assorted Dry")</f>
        <v>Assorted Dry</v>
      </c>
      <c r="F2153" s="23">
        <f>IFERROR(__xludf.DUMMYFUNCTION("""COMPUTED_VALUE"""),44820.0)</f>
        <v>44820</v>
      </c>
      <c r="G2153" s="24" t="str">
        <f>IFERROR(__xludf.DUMMYFUNCTION("""COMPUTED_VALUE"""),"Beth Torres")</f>
        <v>Beth Torres</v>
      </c>
      <c r="H2153" s="24">
        <f>IFERROR(__xludf.DUMMYFUNCTION("""COMPUTED_VALUE"""),21.0)</f>
        <v>21</v>
      </c>
      <c r="I2153" s="24"/>
    </row>
    <row r="2154">
      <c r="A2154" s="23">
        <f>IFERROR(__xludf.DUMMYFUNCTION("""COMPUTED_VALUE"""),44892.63765597222)</f>
        <v>44892.63766</v>
      </c>
      <c r="B2154" s="24" t="str">
        <f>IFERROR(__xludf.DUMMYFUNCTION("""COMPUTED_VALUE"""),"Zoe")</f>
        <v>Zoe</v>
      </c>
      <c r="C2154" s="24">
        <f>IFERROR(__xludf.DUMMYFUNCTION("""COMPUTED_VALUE"""),994.0)</f>
        <v>994</v>
      </c>
      <c r="D2154" s="24" t="str">
        <f>IFERROR(__xludf.DUMMYFUNCTION("""COMPUTED_VALUE"""),"Assorted Dry")</f>
        <v>Assorted Dry</v>
      </c>
      <c r="F2154" s="23">
        <f>IFERROR(__xludf.DUMMYFUNCTION("""COMPUTED_VALUE"""),44820.0)</f>
        <v>44820</v>
      </c>
      <c r="G2154" s="24" t="str">
        <f>IFERROR(__xludf.DUMMYFUNCTION("""COMPUTED_VALUE"""),"Marci")</f>
        <v>Marci</v>
      </c>
      <c r="H2154" s="24">
        <f>IFERROR(__xludf.DUMMYFUNCTION("""COMPUTED_VALUE"""),9.0)</f>
        <v>9</v>
      </c>
      <c r="I2154" s="24"/>
    </row>
    <row r="2155">
      <c r="A2155" s="23">
        <f>IFERROR(__xludf.DUMMYFUNCTION("""COMPUTED_VALUE"""),44896.63720168982)</f>
        <v>44896.6372</v>
      </c>
      <c r="B2155" s="24" t="str">
        <f>IFERROR(__xludf.DUMMYFUNCTION("""COMPUTED_VALUE"""),"Jean")</f>
        <v>Jean</v>
      </c>
      <c r="C2155" s="24">
        <f>IFERROR(__xludf.DUMMYFUNCTION("""COMPUTED_VALUE"""),312.0)</f>
        <v>312</v>
      </c>
      <c r="D2155" s="24" t="str">
        <f>IFERROR(__xludf.DUMMYFUNCTION("""COMPUTED_VALUE"""),"Assorted Fridge")</f>
        <v>Assorted Fridge</v>
      </c>
      <c r="F2155" s="23">
        <f>IFERROR(__xludf.DUMMYFUNCTION("""COMPUTED_VALUE"""),44820.0)</f>
        <v>44820</v>
      </c>
      <c r="G2155" s="24" t="str">
        <f>IFERROR(__xludf.DUMMYFUNCTION("""COMPUTED_VALUE"""),"Marci")</f>
        <v>Marci</v>
      </c>
      <c r="H2155" s="24">
        <f>IFERROR(__xludf.DUMMYFUNCTION("""COMPUTED_VALUE"""),8.0)</f>
        <v>8</v>
      </c>
      <c r="I2155" s="24"/>
    </row>
    <row r="2156">
      <c r="A2156" s="23">
        <f>IFERROR(__xludf.DUMMYFUNCTION("""COMPUTED_VALUE"""),44896.64054111111)</f>
        <v>44896.64054</v>
      </c>
      <c r="B2156" s="24" t="str">
        <f>IFERROR(__xludf.DUMMYFUNCTION("""COMPUTED_VALUE"""),"Jean")</f>
        <v>Jean</v>
      </c>
      <c r="C2156" s="24">
        <f>IFERROR(__xludf.DUMMYFUNCTION("""COMPUTED_VALUE"""),430.0)</f>
        <v>430</v>
      </c>
      <c r="D2156" s="24" t="str">
        <f>IFERROR(__xludf.DUMMYFUNCTION("""COMPUTED_VALUE"""),"Assorted Dry")</f>
        <v>Assorted Dry</v>
      </c>
      <c r="F2156" s="23">
        <f>IFERROR(__xludf.DUMMYFUNCTION("""COMPUTED_VALUE"""),44820.69036083333)</f>
        <v>44820.69036</v>
      </c>
      <c r="G2156" s="24" t="str">
        <f>IFERROR(__xludf.DUMMYFUNCTION("""COMPUTED_VALUE"""),"Claire")</f>
        <v>Claire</v>
      </c>
      <c r="H2156" s="24">
        <f>IFERROR(__xludf.DUMMYFUNCTION("""COMPUTED_VALUE"""),145.0)</f>
        <v>145</v>
      </c>
      <c r="I2156" s="24" t="str">
        <f>IFERROR(__xludf.DUMMYFUNCTION("""COMPUTED_VALUE"""),"Meat [Raw]")</f>
        <v>Meat [Raw]</v>
      </c>
    </row>
    <row r="2157">
      <c r="A2157" s="23">
        <f>IFERROR(__xludf.DUMMYFUNCTION("""COMPUTED_VALUE"""),44896.6436456713)</f>
        <v>44896.64365</v>
      </c>
      <c r="B2157" s="24" t="str">
        <f>IFERROR(__xludf.DUMMYFUNCTION("""COMPUTED_VALUE"""),"Jean")</f>
        <v>Jean</v>
      </c>
      <c r="C2157" s="24">
        <f>IFERROR(__xludf.DUMMYFUNCTION("""COMPUTED_VALUE"""),238.0)</f>
        <v>238</v>
      </c>
      <c r="D2157" s="24" t="str">
        <f>IFERROR(__xludf.DUMMYFUNCTION("""COMPUTED_VALUE"""),"Assorted Dry")</f>
        <v>Assorted Dry</v>
      </c>
      <c r="F2157" s="23">
        <f>IFERROR(__xludf.DUMMYFUNCTION("""COMPUTED_VALUE"""),44820.69069640047)</f>
        <v>44820.6907</v>
      </c>
      <c r="G2157" s="24" t="str">
        <f>IFERROR(__xludf.DUMMYFUNCTION("""COMPUTED_VALUE"""),"Claire")</f>
        <v>Claire</v>
      </c>
      <c r="H2157" s="24">
        <f>IFERROR(__xludf.DUMMYFUNCTION("""COMPUTED_VALUE"""),95.0)</f>
        <v>95</v>
      </c>
      <c r="I2157" s="24" t="str">
        <f>IFERROR(__xludf.DUMMYFUNCTION("""COMPUTED_VALUE"""),"Household")</f>
        <v>Household</v>
      </c>
    </row>
    <row r="2158">
      <c r="A2158" s="23">
        <f>IFERROR(__xludf.DUMMYFUNCTION("""COMPUTED_VALUE"""),44896.644129120374)</f>
        <v>44896.64413</v>
      </c>
      <c r="B2158" s="24" t="str">
        <f>IFERROR(__xludf.DUMMYFUNCTION("""COMPUTED_VALUE"""),"Jean")</f>
        <v>Jean</v>
      </c>
      <c r="C2158" s="24">
        <f>IFERROR(__xludf.DUMMYFUNCTION("""COMPUTED_VALUE"""),54.0)</f>
        <v>54</v>
      </c>
      <c r="D2158" s="24" t="str">
        <f>IFERROR(__xludf.DUMMYFUNCTION("""COMPUTED_VALUE"""),"Drinks [Dry]")</f>
        <v>Drinks [Dry]</v>
      </c>
      <c r="F2158" s="23">
        <f>IFERROR(__xludf.DUMMYFUNCTION("""COMPUTED_VALUE"""),44820.692136620375)</f>
        <v>44820.69214</v>
      </c>
      <c r="G2158" s="24" t="str">
        <f>IFERROR(__xludf.DUMMYFUNCTION("""COMPUTED_VALUE"""),"Claire")</f>
        <v>Claire</v>
      </c>
      <c r="H2158" s="24">
        <f>IFERROR(__xludf.DUMMYFUNCTION("""COMPUTED_VALUE"""),276.0)</f>
        <v>276</v>
      </c>
      <c r="I2158" s="24" t="str">
        <f>IFERROR(__xludf.DUMMYFUNCTION("""COMPUTED_VALUE"""),"STEAM toys")</f>
        <v>STEAM toys</v>
      </c>
    </row>
    <row r="2159">
      <c r="A2159" s="23">
        <f>IFERROR(__xludf.DUMMYFUNCTION("""COMPUTED_VALUE"""),44896.0)</f>
        <v>44896</v>
      </c>
      <c r="B2159" s="24" t="str">
        <f>IFERROR(__xludf.DUMMYFUNCTION("""COMPUTED_VALUE"""),"Claire")</f>
        <v>Claire</v>
      </c>
      <c r="C2159" s="24">
        <f>IFERROR(__xludf.DUMMYFUNCTION("""COMPUTED_VALUE"""),41.0)</f>
        <v>41</v>
      </c>
      <c r="D2159" s="24" t="str">
        <f>IFERROR(__xludf.DUMMYFUNCTION("""COMPUTED_VALUE"""),"Assorted Dry")</f>
        <v>Assorted Dry</v>
      </c>
      <c r="F2159" s="23">
        <f>IFERROR(__xludf.DUMMYFUNCTION("""COMPUTED_VALUE"""),44820.69237310185)</f>
        <v>44820.69237</v>
      </c>
      <c r="G2159" s="24" t="str">
        <f>IFERROR(__xludf.DUMMYFUNCTION("""COMPUTED_VALUE"""),"Claire")</f>
        <v>Claire</v>
      </c>
      <c r="H2159" s="24">
        <f>IFERROR(__xludf.DUMMYFUNCTION("""COMPUTED_VALUE"""),335.0)</f>
        <v>335</v>
      </c>
      <c r="I2159" s="24" t="str">
        <f>IFERROR(__xludf.DUMMYFUNCTION("""COMPUTED_VALUE"""),"Produce")</f>
        <v>Produce</v>
      </c>
    </row>
    <row r="2160">
      <c r="A2160" s="23">
        <f>IFERROR(__xludf.DUMMYFUNCTION("""COMPUTED_VALUE"""),44896.0)</f>
        <v>44896</v>
      </c>
      <c r="B2160" s="24" t="str">
        <f>IFERROR(__xludf.DUMMYFUNCTION("""COMPUTED_VALUE"""),"Claire")</f>
        <v>Claire</v>
      </c>
      <c r="C2160" s="24">
        <f>IFERROR(__xludf.DUMMYFUNCTION("""COMPUTED_VALUE"""),6.0)</f>
        <v>6</v>
      </c>
      <c r="D2160" s="24" t="str">
        <f>IFERROR(__xludf.DUMMYFUNCTION("""COMPUTED_VALUE"""),"Assorted Dry")</f>
        <v>Assorted Dry</v>
      </c>
      <c r="F2160" s="23">
        <f>IFERROR(__xludf.DUMMYFUNCTION("""COMPUTED_VALUE"""),44820.69270958333)</f>
        <v>44820.69271</v>
      </c>
      <c r="G2160" s="24" t="str">
        <f>IFERROR(__xludf.DUMMYFUNCTION("""COMPUTED_VALUE"""),"Claire")</f>
        <v>Claire</v>
      </c>
      <c r="H2160" s="24">
        <f>IFERROR(__xludf.DUMMYFUNCTION("""COMPUTED_VALUE"""),122.0)</f>
        <v>122</v>
      </c>
      <c r="I2160" s="24" t="str">
        <f>IFERROR(__xludf.DUMMYFUNCTION("""COMPUTED_VALUE"""),"Snacks")</f>
        <v>Snacks</v>
      </c>
    </row>
    <row r="2161">
      <c r="A2161" s="23">
        <f>IFERROR(__xludf.DUMMYFUNCTION("""COMPUTED_VALUE"""),44897.65012627315)</f>
        <v>44897.65013</v>
      </c>
      <c r="B2161" s="24" t="str">
        <f>IFERROR(__xludf.DUMMYFUNCTION("""COMPUTED_VALUE"""),"JUANITA Chandler ")</f>
        <v>JUANITA Chandler </v>
      </c>
      <c r="C2161" s="24">
        <f>IFERROR(__xludf.DUMMYFUNCTION("""COMPUTED_VALUE"""),1005.0)</f>
        <v>1005</v>
      </c>
      <c r="D2161" s="24" t="str">
        <f>IFERROR(__xludf.DUMMYFUNCTION("""COMPUTED_VALUE"""),"Dole")</f>
        <v>Dole</v>
      </c>
      <c r="F2161" s="23">
        <f>IFERROR(__xludf.DUMMYFUNCTION("""COMPUTED_VALUE"""),44820.69303202547)</f>
        <v>44820.69303</v>
      </c>
      <c r="G2161" s="24" t="str">
        <f>IFERROR(__xludf.DUMMYFUNCTION("""COMPUTED_VALUE"""),"Claire")</f>
        <v>Claire</v>
      </c>
      <c r="H2161" s="24">
        <f>IFERROR(__xludf.DUMMYFUNCTION("""COMPUTED_VALUE"""),215.0)</f>
        <v>215</v>
      </c>
      <c r="I2161" s="24" t="str">
        <f>IFERROR(__xludf.DUMMYFUNCTION("""COMPUTED_VALUE"""),"Snacks")</f>
        <v>Snacks</v>
      </c>
    </row>
    <row r="2162">
      <c r="A2162" s="23">
        <f>IFERROR(__xludf.DUMMYFUNCTION("""COMPUTED_VALUE"""),44897.68226766204)</f>
        <v>44897.68227</v>
      </c>
      <c r="B2162" s="24" t="str">
        <f>IFERROR(__xludf.DUMMYFUNCTION("""COMPUTED_VALUE"""),"JUANITA Chandler ")</f>
        <v>JUANITA Chandler </v>
      </c>
      <c r="C2162" s="24">
        <f>IFERROR(__xludf.DUMMYFUNCTION("""COMPUTED_VALUE"""),443.0)</f>
        <v>443</v>
      </c>
      <c r="D2162" s="24" t="str">
        <f>IFERROR(__xludf.DUMMYFUNCTION("""COMPUTED_VALUE"""),"Mix")</f>
        <v>Mix</v>
      </c>
      <c r="F2162" s="23">
        <f>IFERROR(__xludf.DUMMYFUNCTION("""COMPUTED_VALUE"""),44820.6983377662)</f>
        <v>44820.69834</v>
      </c>
      <c r="G2162" s="24" t="str">
        <f>IFERROR(__xludf.DUMMYFUNCTION("""COMPUTED_VALUE"""),"Claire")</f>
        <v>Claire</v>
      </c>
      <c r="H2162" s="24">
        <f>IFERROR(__xludf.DUMMYFUNCTION("""COMPUTED_VALUE"""),174.0)</f>
        <v>174</v>
      </c>
      <c r="I2162" s="24" t="str">
        <f>IFERROR(__xludf.DUMMYFUNCTION("""COMPUTED_VALUE"""),"Snacks")</f>
        <v>Snacks</v>
      </c>
    </row>
    <row r="2163">
      <c r="A2163" s="23">
        <f>IFERROR(__xludf.DUMMYFUNCTION("""COMPUTED_VALUE"""),44897.684260625)</f>
        <v>44897.68426</v>
      </c>
      <c r="B2163" s="24" t="str">
        <f>IFERROR(__xludf.DUMMYFUNCTION("""COMPUTED_VALUE"""),"JUANITA Chandler ")</f>
        <v>JUANITA Chandler </v>
      </c>
      <c r="C2163" s="24">
        <f>IFERROR(__xludf.DUMMYFUNCTION("""COMPUTED_VALUE"""),148.0)</f>
        <v>148</v>
      </c>
      <c r="D2163" s="24" t="str">
        <f>IFERROR(__xludf.DUMMYFUNCTION("""COMPUTED_VALUE"""),"COAT 🧥")</f>
        <v>COAT 🧥</v>
      </c>
      <c r="F2163" s="23">
        <f>IFERROR(__xludf.DUMMYFUNCTION("""COMPUTED_VALUE"""),44820.708599293976)</f>
        <v>44820.7086</v>
      </c>
      <c r="G2163" s="24" t="str">
        <f>IFERROR(__xludf.DUMMYFUNCTION("""COMPUTED_VALUE"""),"Sunita pathik")</f>
        <v>Sunita pathik</v>
      </c>
      <c r="H2163" s="24">
        <f>IFERROR(__xludf.DUMMYFUNCTION("""COMPUTED_VALUE"""),86.0)</f>
        <v>86</v>
      </c>
      <c r="I2163" s="24" t="str">
        <f>IFERROR(__xludf.DUMMYFUNCTION("""COMPUTED_VALUE"""),"Assorted Fridge")</f>
        <v>Assorted Fridge</v>
      </c>
    </row>
    <row r="2164">
      <c r="A2164" s="23">
        <f>IFERROR(__xludf.DUMMYFUNCTION("""COMPUTED_VALUE"""),44897.68566725694)</f>
        <v>44897.68567</v>
      </c>
      <c r="B2164" s="24" t="str">
        <f>IFERROR(__xludf.DUMMYFUNCTION("""COMPUTED_VALUE"""),"JUANITA Chandler ")</f>
        <v>JUANITA Chandler </v>
      </c>
      <c r="C2164" s="24">
        <f>IFERROR(__xludf.DUMMYFUNCTION("""COMPUTED_VALUE"""),105.0)</f>
        <v>105</v>
      </c>
      <c r="D2164" s="24" t="str">
        <f>IFERROR(__xludf.DUMMYFUNCTION("""COMPUTED_VALUE"""),"Coats Gloves")</f>
        <v>Coats Gloves</v>
      </c>
      <c r="F2164" s="23">
        <f>IFERROR(__xludf.DUMMYFUNCTION("""COMPUTED_VALUE"""),44820.709416956015)</f>
        <v>44820.70942</v>
      </c>
      <c r="G2164" s="24" t="str">
        <f>IFERROR(__xludf.DUMMYFUNCTION("""COMPUTED_VALUE"""),"Sunita pathik ")</f>
        <v>Sunita pathik </v>
      </c>
      <c r="H2164" s="24">
        <f>IFERROR(__xludf.DUMMYFUNCTION("""COMPUTED_VALUE"""),3.0)</f>
        <v>3</v>
      </c>
      <c r="I2164" s="24"/>
    </row>
    <row r="2165">
      <c r="A2165" s="23">
        <f>IFERROR(__xludf.DUMMYFUNCTION("""COMPUTED_VALUE"""),44897.68640935185)</f>
        <v>44897.68641</v>
      </c>
      <c r="B2165" s="24" t="str">
        <f>IFERROR(__xludf.DUMMYFUNCTION("""COMPUTED_VALUE"""),"JUANITA Chandler ")</f>
        <v>JUANITA Chandler </v>
      </c>
      <c r="C2165" s="24">
        <f>IFERROR(__xludf.DUMMYFUNCTION("""COMPUTED_VALUE"""),252.0)</f>
        <v>252</v>
      </c>
      <c r="D2165" s="24" t="str">
        <f>IFERROR(__xludf.DUMMYFUNCTION("""COMPUTED_VALUE"""),"Frozen [Not Meat]")</f>
        <v>Frozen [Not Meat]</v>
      </c>
      <c r="F2165" s="23">
        <f>IFERROR(__xludf.DUMMYFUNCTION("""COMPUTED_VALUE"""),44820.7105474537)</f>
        <v>44820.71055</v>
      </c>
      <c r="G2165" s="24" t="str">
        <f>IFERROR(__xludf.DUMMYFUNCTION("""COMPUTED_VALUE"""),"Sunita pathik")</f>
        <v>Sunita pathik</v>
      </c>
      <c r="H2165" s="24">
        <f>IFERROR(__xludf.DUMMYFUNCTION("""COMPUTED_VALUE"""),2.0)</f>
        <v>2</v>
      </c>
      <c r="I2165" s="24"/>
    </row>
    <row r="2166">
      <c r="A2166" s="23">
        <f>IFERROR(__xludf.DUMMYFUNCTION("""COMPUTED_VALUE"""),44897.68761876157)</f>
        <v>44897.68762</v>
      </c>
      <c r="B2166" s="24" t="str">
        <f>IFERROR(__xludf.DUMMYFUNCTION("""COMPUTED_VALUE"""),"JUANITA Chandler ")</f>
        <v>JUANITA Chandler </v>
      </c>
      <c r="C2166" s="24">
        <f>IFERROR(__xludf.DUMMYFUNCTION("""COMPUTED_VALUE"""),494.0)</f>
        <v>494</v>
      </c>
      <c r="D2166" s="24" t="str">
        <f>IFERROR(__xludf.DUMMYFUNCTION("""COMPUTED_VALUE"""),"Mix")</f>
        <v>Mix</v>
      </c>
      <c r="F2166" s="23">
        <f>IFERROR(__xludf.DUMMYFUNCTION("""COMPUTED_VALUE"""),44821.0)</f>
        <v>44821</v>
      </c>
      <c r="G2166" s="24" t="str">
        <f>IFERROR(__xludf.DUMMYFUNCTION("""COMPUTED_VALUE"""),"Emily Stucke")</f>
        <v>Emily Stucke</v>
      </c>
      <c r="H2166" s="24">
        <f>IFERROR(__xludf.DUMMYFUNCTION("""COMPUTED_VALUE"""),4.0)</f>
        <v>4</v>
      </c>
      <c r="I2166" s="24"/>
    </row>
    <row r="2167">
      <c r="A2167" s="23">
        <f>IFERROR(__xludf.DUMMYFUNCTION("""COMPUTED_VALUE"""),44897.688650902775)</f>
        <v>44897.68865</v>
      </c>
      <c r="B2167" s="24" t="str">
        <f>IFERROR(__xludf.DUMMYFUNCTION("""COMPUTED_VALUE"""),"JUANITA Chandler ")</f>
        <v>JUANITA Chandler </v>
      </c>
      <c r="C2167" s="24">
        <f>IFERROR(__xludf.DUMMYFUNCTION("""COMPUTED_VALUE"""),102.0)</f>
        <v>102</v>
      </c>
      <c r="D2167" s="24" t="str">
        <f>IFERROR(__xludf.DUMMYFUNCTION("""COMPUTED_VALUE"""),"COATS ")</f>
        <v>COATS </v>
      </c>
      <c r="F2167" s="23">
        <f>IFERROR(__xludf.DUMMYFUNCTION("""COMPUTED_VALUE"""),44821.0)</f>
        <v>44821</v>
      </c>
      <c r="G2167" s="24" t="str">
        <f>IFERROR(__xludf.DUMMYFUNCTION("""COMPUTED_VALUE"""),"Lee Little")</f>
        <v>Lee Little</v>
      </c>
      <c r="H2167" s="24">
        <f>IFERROR(__xludf.DUMMYFUNCTION("""COMPUTED_VALUE"""),13.0)</f>
        <v>13</v>
      </c>
      <c r="I2167" s="24"/>
    </row>
    <row r="2168">
      <c r="A2168" s="23">
        <f>IFERROR(__xludf.DUMMYFUNCTION("""COMPUTED_VALUE"""),44897.689751261576)</f>
        <v>44897.68975</v>
      </c>
      <c r="B2168" s="24" t="str">
        <f>IFERROR(__xludf.DUMMYFUNCTION("""COMPUTED_VALUE"""),"JUANITA Chandler ")</f>
        <v>JUANITA Chandler </v>
      </c>
      <c r="C2168" s="24">
        <f>IFERROR(__xludf.DUMMYFUNCTION("""COMPUTED_VALUE"""),494.0)</f>
        <v>494</v>
      </c>
      <c r="D2168" s="24" t="str">
        <f>IFERROR(__xludf.DUMMYFUNCTION("""COMPUTED_VALUE"""),"Assorted Dry")</f>
        <v>Assorted Dry</v>
      </c>
      <c r="F2168" s="23">
        <f>IFERROR(__xludf.DUMMYFUNCTION("""COMPUTED_VALUE"""),44821.0)</f>
        <v>44821</v>
      </c>
      <c r="G2168" s="24" t="str">
        <f>IFERROR(__xludf.DUMMYFUNCTION("""COMPUTED_VALUE"""),"Janet Lomax")</f>
        <v>Janet Lomax</v>
      </c>
      <c r="H2168" s="24">
        <f>IFERROR(__xludf.DUMMYFUNCTION("""COMPUTED_VALUE"""),20.0)</f>
        <v>20</v>
      </c>
      <c r="I2168" s="24"/>
    </row>
    <row r="2169">
      <c r="A2169" s="23">
        <f>IFERROR(__xludf.DUMMYFUNCTION("""COMPUTED_VALUE"""),44897.69036774305)</f>
        <v>44897.69037</v>
      </c>
      <c r="B2169" s="24" t="str">
        <f>IFERROR(__xludf.DUMMYFUNCTION("""COMPUTED_VALUE"""),"JUANITA Chandler ")</f>
        <v>JUANITA Chandler </v>
      </c>
      <c r="C2169" s="24">
        <f>IFERROR(__xludf.DUMMYFUNCTION("""COMPUTED_VALUE"""),232.0)</f>
        <v>232</v>
      </c>
      <c r="D2169" s="24" t="str">
        <f>IFERROR(__xludf.DUMMYFUNCTION("""COMPUTED_VALUE"""),"Frozen [Not Meat]")</f>
        <v>Frozen [Not Meat]</v>
      </c>
      <c r="F2169" s="23">
        <f>IFERROR(__xludf.DUMMYFUNCTION("""COMPUTED_VALUE"""),44821.0)</f>
        <v>44821</v>
      </c>
      <c r="G2169" s="24" t="str">
        <f>IFERROR(__xludf.DUMMYFUNCTION("""COMPUTED_VALUE"""),"Denise Brown")</f>
        <v>Denise Brown</v>
      </c>
      <c r="H2169" s="24">
        <f>IFERROR(__xludf.DUMMYFUNCTION("""COMPUTED_VALUE"""),12.0)</f>
        <v>12</v>
      </c>
      <c r="I2169" s="24"/>
    </row>
    <row r="2170">
      <c r="A2170" s="23">
        <f>IFERROR(__xludf.DUMMYFUNCTION("""COMPUTED_VALUE"""),44897.69092969908)</f>
        <v>44897.69093</v>
      </c>
      <c r="B2170" s="24" t="str">
        <f>IFERROR(__xludf.DUMMYFUNCTION("""COMPUTED_VALUE"""),"JUANITA Chandler ")</f>
        <v>JUANITA Chandler </v>
      </c>
      <c r="C2170" s="24">
        <f>IFERROR(__xludf.DUMMYFUNCTION("""COMPUTED_VALUE"""),76.0)</f>
        <v>76</v>
      </c>
      <c r="D2170" s="24" t="str">
        <f>IFERROR(__xludf.DUMMYFUNCTION("""COMPUTED_VALUE"""),"Snacks")</f>
        <v>Snacks</v>
      </c>
      <c r="F2170" s="23">
        <f>IFERROR(__xludf.DUMMYFUNCTION("""COMPUTED_VALUE"""),44821.0)</f>
        <v>44821</v>
      </c>
      <c r="G2170" s="24" t="str">
        <f>IFERROR(__xludf.DUMMYFUNCTION("""COMPUTED_VALUE"""),"Cheryl Utsey")</f>
        <v>Cheryl Utsey</v>
      </c>
      <c r="H2170" s="24">
        <f>IFERROR(__xludf.DUMMYFUNCTION("""COMPUTED_VALUE"""),20.0)</f>
        <v>20</v>
      </c>
      <c r="I2170" s="24"/>
    </row>
    <row r="2171">
      <c r="A2171" s="23">
        <f>IFERROR(__xludf.DUMMYFUNCTION("""COMPUTED_VALUE"""),44897.698862523146)</f>
        <v>44897.69886</v>
      </c>
      <c r="B2171" s="24" t="str">
        <f>IFERROR(__xludf.DUMMYFUNCTION("""COMPUTED_VALUE"""),"Sunita pathik ")</f>
        <v>Sunita pathik </v>
      </c>
      <c r="C2171" s="24">
        <f>IFERROR(__xludf.DUMMYFUNCTION("""COMPUTED_VALUE"""),134.0)</f>
        <v>134</v>
      </c>
      <c r="D2171" s="24" t="str">
        <f>IFERROR(__xludf.DUMMYFUNCTION("""COMPUTED_VALUE"""),"Assorted Fridge")</f>
        <v>Assorted Fridge</v>
      </c>
      <c r="F2171" s="23">
        <f>IFERROR(__xludf.DUMMYFUNCTION("""COMPUTED_VALUE"""),44821.0)</f>
        <v>44821</v>
      </c>
      <c r="G2171" s="24" t="str">
        <f>IFERROR(__xludf.DUMMYFUNCTION("""COMPUTED_VALUE"""),"Juanita Chandler")</f>
        <v>Juanita Chandler</v>
      </c>
      <c r="H2171" s="24">
        <f>IFERROR(__xludf.DUMMYFUNCTION("""COMPUTED_VALUE"""),8.0)</f>
        <v>8</v>
      </c>
      <c r="I2171" s="24"/>
    </row>
    <row r="2172">
      <c r="A2172" s="23">
        <f>IFERROR(__xludf.DUMMYFUNCTION("""COMPUTED_VALUE"""),44898.678899224535)</f>
        <v>44898.6789</v>
      </c>
      <c r="B2172" s="24" t="str">
        <f>IFERROR(__xludf.DUMMYFUNCTION("""COMPUTED_VALUE"""),"JUANITA Chandler ")</f>
        <v>JUANITA Chandler </v>
      </c>
      <c r="C2172" s="24">
        <f>IFERROR(__xludf.DUMMYFUNCTION("""COMPUTED_VALUE"""),1033.0)</f>
        <v>1033</v>
      </c>
      <c r="D2172" s="24" t="str">
        <f>IFERROR(__xludf.DUMMYFUNCTION("""COMPUTED_VALUE"""),"Dole Cup")</f>
        <v>Dole Cup</v>
      </c>
      <c r="F2172" s="23">
        <f>IFERROR(__xludf.DUMMYFUNCTION("""COMPUTED_VALUE"""),44821.0)</f>
        <v>44821</v>
      </c>
      <c r="G2172" s="24" t="str">
        <f>IFERROR(__xludf.DUMMYFUNCTION("""COMPUTED_VALUE"""),"Gabriela Cortez")</f>
        <v>Gabriela Cortez</v>
      </c>
      <c r="H2172" s="24">
        <f>IFERROR(__xludf.DUMMYFUNCTION("""COMPUTED_VALUE"""),14.0)</f>
        <v>14</v>
      </c>
      <c r="I2172" s="24"/>
    </row>
    <row r="2173">
      <c r="A2173" s="23">
        <f>IFERROR(__xludf.DUMMYFUNCTION("""COMPUTED_VALUE"""),44898.679337800924)</f>
        <v>44898.67934</v>
      </c>
      <c r="B2173" s="24" t="str">
        <f>IFERROR(__xludf.DUMMYFUNCTION("""COMPUTED_VALUE"""),"JUANITA Chandler ")</f>
        <v>JUANITA Chandler </v>
      </c>
      <c r="C2173" s="24">
        <f>IFERROR(__xludf.DUMMYFUNCTION("""COMPUTED_VALUE"""),218.0)</f>
        <v>218</v>
      </c>
      <c r="D2173" s="24" t="str">
        <f>IFERROR(__xludf.DUMMYFUNCTION("""COMPUTED_VALUE"""),"Snacks")</f>
        <v>Snacks</v>
      </c>
      <c r="F2173" s="23">
        <f>IFERROR(__xludf.DUMMYFUNCTION("""COMPUTED_VALUE"""),44821.0)</f>
        <v>44821</v>
      </c>
      <c r="G2173" s="24" t="str">
        <f>IFERROR(__xludf.DUMMYFUNCTION("""COMPUTED_VALUE"""),"Gilda Castillo")</f>
        <v>Gilda Castillo</v>
      </c>
      <c r="H2173" s="24">
        <f>IFERROR(__xludf.DUMMYFUNCTION("""COMPUTED_VALUE"""),20.0)</f>
        <v>20</v>
      </c>
      <c r="I2173" s="24"/>
    </row>
    <row r="2174">
      <c r="A2174" s="23">
        <f>IFERROR(__xludf.DUMMYFUNCTION("""COMPUTED_VALUE"""),44898.67987417824)</f>
        <v>44898.67987</v>
      </c>
      <c r="B2174" s="24" t="str">
        <f>IFERROR(__xludf.DUMMYFUNCTION("""COMPUTED_VALUE"""),"JUANITA Chandler ")</f>
        <v>JUANITA Chandler </v>
      </c>
      <c r="C2174" s="24">
        <f>IFERROR(__xludf.DUMMYFUNCTION("""COMPUTED_VALUE"""),592.0)</f>
        <v>592</v>
      </c>
      <c r="D2174" s="24" t="str">
        <f>IFERROR(__xludf.DUMMYFUNCTION("""COMPUTED_VALUE"""),"Drinks [Fridge]")</f>
        <v>Drinks [Fridge]</v>
      </c>
      <c r="F2174" s="23">
        <f>IFERROR(__xludf.DUMMYFUNCTION("""COMPUTED_VALUE"""),44821.0)</f>
        <v>44821</v>
      </c>
      <c r="G2174" s="24" t="str">
        <f>IFERROR(__xludf.DUMMYFUNCTION("""COMPUTED_VALUE"""),"Angeles Cortes")</f>
        <v>Angeles Cortes</v>
      </c>
      <c r="H2174" s="24">
        <f>IFERROR(__xludf.DUMMYFUNCTION("""COMPUTED_VALUE"""),20.0)</f>
        <v>20</v>
      </c>
      <c r="I2174" s="24"/>
    </row>
    <row r="2175">
      <c r="A2175" s="23">
        <f>IFERROR(__xludf.DUMMYFUNCTION("""COMPUTED_VALUE"""),44898.68044137731)</f>
        <v>44898.68044</v>
      </c>
      <c r="B2175" s="24" t="str">
        <f>IFERROR(__xludf.DUMMYFUNCTION("""COMPUTED_VALUE"""),"JUANITA Chandler ")</f>
        <v>JUANITA Chandler </v>
      </c>
      <c r="C2175" s="24">
        <f>IFERROR(__xludf.DUMMYFUNCTION("""COMPUTED_VALUE"""),1235.0)</f>
        <v>1235</v>
      </c>
      <c r="D2175" s="24" t="str">
        <f>IFERROR(__xludf.DUMMYFUNCTION("""COMPUTED_VALUE"""),"Drinks [Fridge]")</f>
        <v>Drinks [Fridge]</v>
      </c>
      <c r="F2175" s="23">
        <f>IFERROR(__xludf.DUMMYFUNCTION("""COMPUTED_VALUE"""),44821.0)</f>
        <v>44821</v>
      </c>
      <c r="G2175" s="24" t="str">
        <f>IFERROR(__xludf.DUMMYFUNCTION("""COMPUTED_VALUE"""),"Angeles Cortes")</f>
        <v>Angeles Cortes</v>
      </c>
      <c r="H2175" s="24">
        <f>IFERROR(__xludf.DUMMYFUNCTION("""COMPUTED_VALUE"""),4.0)</f>
        <v>4</v>
      </c>
      <c r="I2175" s="24"/>
    </row>
    <row r="2176">
      <c r="A2176" s="23">
        <f>IFERROR(__xludf.DUMMYFUNCTION("""COMPUTED_VALUE"""),44898.682927754635)</f>
        <v>44898.68293</v>
      </c>
      <c r="B2176" s="24" t="str">
        <f>IFERROR(__xludf.DUMMYFUNCTION("""COMPUTED_VALUE"""),"JUANITA Chandler ")</f>
        <v>JUANITA Chandler </v>
      </c>
      <c r="C2176" s="24">
        <f>IFERROR(__xludf.DUMMYFUNCTION("""COMPUTED_VALUE"""),108.0)</f>
        <v>108</v>
      </c>
      <c r="D2176" s="24" t="str">
        <f>IFERROR(__xludf.DUMMYFUNCTION("""COMPUTED_VALUE"""),"Gloves")</f>
        <v>Gloves</v>
      </c>
      <c r="F2176" s="23">
        <f>IFERROR(__xludf.DUMMYFUNCTION("""COMPUTED_VALUE"""),44821.0)</f>
        <v>44821</v>
      </c>
      <c r="G2176" s="24" t="str">
        <f>IFERROR(__xludf.DUMMYFUNCTION("""COMPUTED_VALUE"""),"Theresa Columbus")</f>
        <v>Theresa Columbus</v>
      </c>
      <c r="H2176" s="24">
        <f>IFERROR(__xludf.DUMMYFUNCTION("""COMPUTED_VALUE"""),18.0)</f>
        <v>18</v>
      </c>
      <c r="I2176" s="24"/>
    </row>
    <row r="2177">
      <c r="A2177" s="23">
        <f>IFERROR(__xludf.DUMMYFUNCTION("""COMPUTED_VALUE"""),44898.68390960648)</f>
        <v>44898.68391</v>
      </c>
      <c r="B2177" s="24" t="str">
        <f>IFERROR(__xludf.DUMMYFUNCTION("""COMPUTED_VALUE"""),"JUANITA Chandler ")</f>
        <v>JUANITA Chandler </v>
      </c>
      <c r="C2177" s="24">
        <f>IFERROR(__xludf.DUMMYFUNCTION("""COMPUTED_VALUE"""),73.0)</f>
        <v>73</v>
      </c>
      <c r="D2177" s="24" t="str">
        <f>IFERROR(__xludf.DUMMYFUNCTION("""COMPUTED_VALUE"""),"Household")</f>
        <v>Household</v>
      </c>
      <c r="F2177" s="23">
        <f>IFERROR(__xludf.DUMMYFUNCTION("""COMPUTED_VALUE"""),44821.0)</f>
        <v>44821</v>
      </c>
      <c r="G2177" s="24" t="str">
        <f>IFERROR(__xludf.DUMMYFUNCTION("""COMPUTED_VALUE"""),"Theresa Columbus")</f>
        <v>Theresa Columbus</v>
      </c>
      <c r="H2177" s="24">
        <f>IFERROR(__xludf.DUMMYFUNCTION("""COMPUTED_VALUE"""),8.0)</f>
        <v>8</v>
      </c>
      <c r="I2177" s="24"/>
    </row>
    <row r="2178">
      <c r="A2178" s="23">
        <f>IFERROR(__xludf.DUMMYFUNCTION("""COMPUTED_VALUE"""),44898.68438233796)</f>
        <v>44898.68438</v>
      </c>
      <c r="B2178" s="24" t="str">
        <f>IFERROR(__xludf.DUMMYFUNCTION("""COMPUTED_VALUE"""),"JUANITA Chandler ")</f>
        <v>JUANITA Chandler </v>
      </c>
      <c r="C2178" s="24">
        <f>IFERROR(__xludf.DUMMYFUNCTION("""COMPUTED_VALUE"""),272.0)</f>
        <v>272</v>
      </c>
      <c r="D2178" s="24" t="str">
        <f>IFERROR(__xludf.DUMMYFUNCTION("""COMPUTED_VALUE"""),"Produce")</f>
        <v>Produce</v>
      </c>
      <c r="F2178" s="23">
        <f>IFERROR(__xludf.DUMMYFUNCTION("""COMPUTED_VALUE"""),44821.0)</f>
        <v>44821</v>
      </c>
      <c r="G2178" s="24" t="str">
        <f>IFERROR(__xludf.DUMMYFUNCTION("""COMPUTED_VALUE"""),"Clarice Cook")</f>
        <v>Clarice Cook</v>
      </c>
      <c r="H2178" s="24">
        <f>IFERROR(__xludf.DUMMYFUNCTION("""COMPUTED_VALUE"""),31.0)</f>
        <v>31</v>
      </c>
      <c r="I2178" s="24"/>
    </row>
    <row r="2179">
      <c r="A2179" s="23">
        <f>IFERROR(__xludf.DUMMYFUNCTION("""COMPUTED_VALUE"""),44898.685681863426)</f>
        <v>44898.68568</v>
      </c>
      <c r="B2179" s="24" t="str">
        <f>IFERROR(__xludf.DUMMYFUNCTION("""COMPUTED_VALUE"""),"JUANITA Chandler ")</f>
        <v>JUANITA Chandler </v>
      </c>
      <c r="C2179" s="24">
        <f>IFERROR(__xludf.DUMMYFUNCTION("""COMPUTED_VALUE"""),446.0)</f>
        <v>446</v>
      </c>
      <c r="D2179" s="24" t="str">
        <f>IFERROR(__xludf.DUMMYFUNCTION("""COMPUTED_VALUE"""),"Frozen [Not Meat]")</f>
        <v>Frozen [Not Meat]</v>
      </c>
      <c r="F2179" s="23">
        <f>IFERROR(__xludf.DUMMYFUNCTION("""COMPUTED_VALUE"""),44821.0)</f>
        <v>44821</v>
      </c>
      <c r="G2179" s="24" t="str">
        <f>IFERROR(__xludf.DUMMYFUNCTION("""COMPUTED_VALUE"""),"Dean Chien")</f>
        <v>Dean Chien</v>
      </c>
      <c r="H2179" s="24">
        <f>IFERROR(__xludf.DUMMYFUNCTION("""COMPUTED_VALUE"""),1.0)</f>
        <v>1</v>
      </c>
      <c r="I2179" s="24"/>
    </row>
    <row r="2180">
      <c r="A2180" s="23">
        <f>IFERROR(__xludf.DUMMYFUNCTION("""COMPUTED_VALUE"""),44898.68780194444)</f>
        <v>44898.6878</v>
      </c>
      <c r="B2180" s="24" t="str">
        <f>IFERROR(__xludf.DUMMYFUNCTION("""COMPUTED_VALUE"""),"JUANITA Chandler ")</f>
        <v>JUANITA Chandler </v>
      </c>
      <c r="C2180" s="24">
        <f>IFERROR(__xludf.DUMMYFUNCTION("""COMPUTED_VALUE"""),261.0)</f>
        <v>261</v>
      </c>
      <c r="D2180" s="24" t="str">
        <f>IFERROR(__xludf.DUMMYFUNCTION("""COMPUTED_VALUE"""),"Meat [Raw]")</f>
        <v>Meat [Raw]</v>
      </c>
      <c r="F2180" s="23">
        <f>IFERROR(__xludf.DUMMYFUNCTION("""COMPUTED_VALUE"""),44821.48842769676)</f>
        <v>44821.48843</v>
      </c>
      <c r="G2180" s="24" t="str">
        <f>IFERROR(__xludf.DUMMYFUNCTION("""COMPUTED_VALUE"""),"Claire")</f>
        <v>Claire</v>
      </c>
      <c r="H2180" s="24">
        <f>IFERROR(__xludf.DUMMYFUNCTION("""COMPUTED_VALUE"""),226.0)</f>
        <v>226</v>
      </c>
      <c r="I2180" s="24" t="str">
        <f>IFERROR(__xludf.DUMMYFUNCTION("""COMPUTED_VALUE"""),"Amazon")</f>
        <v>Amazon</v>
      </c>
    </row>
    <row r="2181">
      <c r="A2181" s="23">
        <f>IFERROR(__xludf.DUMMYFUNCTION("""COMPUTED_VALUE"""),44898.68828747685)</f>
        <v>44898.68829</v>
      </c>
      <c r="B2181" s="24" t="str">
        <f>IFERROR(__xludf.DUMMYFUNCTION("""COMPUTED_VALUE"""),"JUANITA Chandler ")</f>
        <v>JUANITA Chandler </v>
      </c>
      <c r="C2181" s="24">
        <f>IFERROR(__xludf.DUMMYFUNCTION("""COMPUTED_VALUE"""),219.0)</f>
        <v>219</v>
      </c>
      <c r="D2181" s="24" t="str">
        <f>IFERROR(__xludf.DUMMYFUNCTION("""COMPUTED_VALUE"""),"Dairy")</f>
        <v>Dairy</v>
      </c>
      <c r="F2181" s="23">
        <f>IFERROR(__xludf.DUMMYFUNCTION("""COMPUTED_VALUE"""),44821.488656354166)</f>
        <v>44821.48866</v>
      </c>
      <c r="G2181" s="24" t="str">
        <f>IFERROR(__xludf.DUMMYFUNCTION("""COMPUTED_VALUE"""),"Claire")</f>
        <v>Claire</v>
      </c>
      <c r="H2181" s="24">
        <f>IFERROR(__xludf.DUMMYFUNCTION("""COMPUTED_VALUE"""),712.0)</f>
        <v>712</v>
      </c>
      <c r="I2181" s="24" t="str">
        <f>IFERROR(__xludf.DUMMYFUNCTION("""COMPUTED_VALUE"""),"Amazon")</f>
        <v>Amazon</v>
      </c>
    </row>
    <row r="2182">
      <c r="A2182" s="23">
        <f>IFERROR(__xludf.DUMMYFUNCTION("""COMPUTED_VALUE"""),44898.688792256944)</f>
        <v>44898.68879</v>
      </c>
      <c r="B2182" s="24" t="str">
        <f>IFERROR(__xludf.DUMMYFUNCTION("""COMPUTED_VALUE"""),"JUANITA Chandler ")</f>
        <v>JUANITA Chandler </v>
      </c>
      <c r="C2182" s="24">
        <f>IFERROR(__xludf.DUMMYFUNCTION("""COMPUTED_VALUE"""),190.0)</f>
        <v>190</v>
      </c>
      <c r="D2182" s="24" t="str">
        <f>IFERROR(__xludf.DUMMYFUNCTION("""COMPUTED_VALUE"""),"Produce")</f>
        <v>Produce</v>
      </c>
      <c r="F2182" s="23">
        <f>IFERROR(__xludf.DUMMYFUNCTION("""COMPUTED_VALUE"""),44821.48905141204)</f>
        <v>44821.48905</v>
      </c>
      <c r="G2182" s="24" t="str">
        <f>IFERROR(__xludf.DUMMYFUNCTION("""COMPUTED_VALUE"""),"Claire")</f>
        <v>Claire</v>
      </c>
      <c r="H2182" s="24">
        <f>IFERROR(__xludf.DUMMYFUNCTION("""COMPUTED_VALUE"""),496.0)</f>
        <v>496</v>
      </c>
      <c r="I2182" s="24" t="str">
        <f>IFERROR(__xludf.DUMMYFUNCTION("""COMPUTED_VALUE"""),"Amazon")</f>
        <v>Amazon</v>
      </c>
    </row>
    <row r="2183">
      <c r="A2183" s="23">
        <f>IFERROR(__xludf.DUMMYFUNCTION("""COMPUTED_VALUE"""),44898.69018111111)</f>
        <v>44898.69018</v>
      </c>
      <c r="B2183" s="24" t="str">
        <f>IFERROR(__xludf.DUMMYFUNCTION("""COMPUTED_VALUE"""),"JUANITA Chandler ")</f>
        <v>JUANITA Chandler </v>
      </c>
      <c r="C2183" s="24">
        <f>IFERROR(__xludf.DUMMYFUNCTION("""COMPUTED_VALUE"""),477.0)</f>
        <v>477</v>
      </c>
      <c r="D2183" s="24" t="str">
        <f>IFERROR(__xludf.DUMMYFUNCTION("""COMPUTED_VALUE"""),"Assorted Fridge")</f>
        <v>Assorted Fridge</v>
      </c>
      <c r="F2183" s="23">
        <f>IFERROR(__xludf.DUMMYFUNCTION("""COMPUTED_VALUE"""),44821.68608674768)</f>
        <v>44821.68609</v>
      </c>
      <c r="G2183" s="24" t="str">
        <f>IFERROR(__xludf.DUMMYFUNCTION("""COMPUTED_VALUE"""),"Theresa Keil")</f>
        <v>Theresa Keil</v>
      </c>
      <c r="H2183" s="24">
        <f>IFERROR(__xludf.DUMMYFUNCTION("""COMPUTED_VALUE"""),30.0)</f>
        <v>30</v>
      </c>
      <c r="I2183" s="24"/>
    </row>
    <row r="2184">
      <c r="A2184" s="23">
        <f>IFERROR(__xludf.DUMMYFUNCTION("""COMPUTED_VALUE"""),44898.0)</f>
        <v>44898</v>
      </c>
      <c r="B2184" s="24" t="str">
        <f>IFERROR(__xludf.DUMMYFUNCTION("""COMPUTED_VALUE"""),"Claire")</f>
        <v>Claire</v>
      </c>
      <c r="C2184" s="24">
        <f>IFERROR(__xludf.DUMMYFUNCTION("""COMPUTED_VALUE"""),1080.0)</f>
        <v>1080</v>
      </c>
      <c r="D2184" s="24" t="str">
        <f>IFERROR(__xludf.DUMMYFUNCTION("""COMPUTED_VALUE"""),"Dole")</f>
        <v>Dole</v>
      </c>
      <c r="F2184" s="23">
        <f>IFERROR(__xludf.DUMMYFUNCTION("""COMPUTED_VALUE"""),44821.68943652778)</f>
        <v>44821.68944</v>
      </c>
      <c r="G2184" s="24" t="str">
        <f>IFERROR(__xludf.DUMMYFUNCTION("""COMPUTED_VALUE"""),"Claire")</f>
        <v>Claire</v>
      </c>
      <c r="H2184" s="24">
        <f>IFERROR(__xludf.DUMMYFUNCTION("""COMPUTED_VALUE"""),186.0)</f>
        <v>186</v>
      </c>
      <c r="I2184" s="24" t="str">
        <f>IFERROR(__xludf.DUMMYFUNCTION("""COMPUTED_VALUE"""),"Snacks")</f>
        <v>Snacks</v>
      </c>
    </row>
    <row r="2185">
      <c r="A2185" s="23">
        <f>IFERROR(__xludf.DUMMYFUNCTION("""COMPUTED_VALUE"""),44898.69112121528)</f>
        <v>44898.69112</v>
      </c>
      <c r="B2185" s="24" t="str">
        <f>IFERROR(__xludf.DUMMYFUNCTION("""COMPUTED_VALUE"""),"JUANITA Chandler ")</f>
        <v>JUANITA Chandler </v>
      </c>
      <c r="C2185" s="24">
        <f>IFERROR(__xludf.DUMMYFUNCTION("""COMPUTED_VALUE"""),-464.0)</f>
        <v>-464</v>
      </c>
      <c r="D2185" s="24" t="str">
        <f>IFERROR(__xludf.DUMMYFUNCTION("""COMPUTED_VALUE"""),"Dole Fruit Cup ")</f>
        <v>Dole Fruit Cup </v>
      </c>
      <c r="F2185" s="23">
        <f>IFERROR(__xludf.DUMMYFUNCTION("""COMPUTED_VALUE"""),44821.6899433912)</f>
        <v>44821.68994</v>
      </c>
      <c r="G2185" s="24" t="str">
        <f>IFERROR(__xludf.DUMMYFUNCTION("""COMPUTED_VALUE"""),"Claire")</f>
        <v>Claire</v>
      </c>
      <c r="H2185" s="24">
        <f>IFERROR(__xludf.DUMMYFUNCTION("""COMPUTED_VALUE"""),444.0)</f>
        <v>444</v>
      </c>
      <c r="I2185" s="24" t="str">
        <f>IFERROR(__xludf.DUMMYFUNCTION("""COMPUTED_VALUE"""),"STEAM toys")</f>
        <v>STEAM toys</v>
      </c>
    </row>
    <row r="2186">
      <c r="A2186" s="23">
        <f>IFERROR(__xludf.DUMMYFUNCTION("""COMPUTED_VALUE"""),44898.69197833333)</f>
        <v>44898.69198</v>
      </c>
      <c r="B2186" s="24" t="str">
        <f>IFERROR(__xludf.DUMMYFUNCTION("""COMPUTED_VALUE"""),"JUANITA Chandler ")</f>
        <v>JUANITA Chandler </v>
      </c>
      <c r="C2186" s="24">
        <f>IFERROR(__xludf.DUMMYFUNCTION("""COMPUTED_VALUE"""),-366.0)</f>
        <v>-366</v>
      </c>
      <c r="D2186" s="24" t="str">
        <f>IFERROR(__xludf.DUMMYFUNCTION("""COMPUTED_VALUE"""),"Produce &amp; Drinks")</f>
        <v>Produce &amp; Drinks</v>
      </c>
      <c r="F2186" s="23">
        <f>IFERROR(__xludf.DUMMYFUNCTION("""COMPUTED_VALUE"""),44821.690160972226)</f>
        <v>44821.69016</v>
      </c>
      <c r="G2186" s="24" t="str">
        <f>IFERROR(__xludf.DUMMYFUNCTION("""COMPUTED_VALUE"""),"Claire")</f>
        <v>Claire</v>
      </c>
      <c r="H2186" s="24">
        <f>IFERROR(__xludf.DUMMYFUNCTION("""COMPUTED_VALUE"""),122.0)</f>
        <v>122</v>
      </c>
      <c r="I2186" s="24" t="str">
        <f>IFERROR(__xludf.DUMMYFUNCTION("""COMPUTED_VALUE"""),"Snacks")</f>
        <v>Snacks</v>
      </c>
    </row>
    <row r="2187">
      <c r="A2187" s="23">
        <f>IFERROR(__xludf.DUMMYFUNCTION("""COMPUTED_VALUE"""),44898.69309861112)</f>
        <v>44898.6931</v>
      </c>
      <c r="B2187" s="24" t="str">
        <f>IFERROR(__xludf.DUMMYFUNCTION("""COMPUTED_VALUE"""),"JUANITA Chandler ")</f>
        <v>JUANITA Chandler </v>
      </c>
      <c r="C2187" s="24">
        <f>IFERROR(__xludf.DUMMYFUNCTION("""COMPUTED_VALUE"""),-52.0)</f>
        <v>-52</v>
      </c>
      <c r="D2187" s="24" t="str">
        <f>IFERROR(__xludf.DUMMYFUNCTION("""COMPUTED_VALUE"""),"Meat [Raw]")</f>
        <v>Meat [Raw]</v>
      </c>
      <c r="F2187" s="23">
        <f>IFERROR(__xludf.DUMMYFUNCTION("""COMPUTED_VALUE"""),44821.69065585648)</f>
        <v>44821.69066</v>
      </c>
      <c r="G2187" s="24" t="str">
        <f>IFERROR(__xludf.DUMMYFUNCTION("""COMPUTED_VALUE"""),"Claire")</f>
        <v>Claire</v>
      </c>
      <c r="H2187" s="24">
        <f>IFERROR(__xludf.DUMMYFUNCTION("""COMPUTED_VALUE"""),791.0)</f>
        <v>791</v>
      </c>
      <c r="I2187" s="24" t="str">
        <f>IFERROR(__xludf.DUMMYFUNCTION("""COMPUTED_VALUE"""),"STEAM toys ")</f>
        <v>STEAM toys </v>
      </c>
    </row>
    <row r="2188">
      <c r="A2188" s="23">
        <f>IFERROR(__xludf.DUMMYFUNCTION("""COMPUTED_VALUE"""),44898.69375741898)</f>
        <v>44898.69376</v>
      </c>
      <c r="B2188" s="24" t="str">
        <f>IFERROR(__xludf.DUMMYFUNCTION("""COMPUTED_VALUE"""),"JUANITA Chandler ")</f>
        <v>JUANITA Chandler </v>
      </c>
      <c r="C2188" s="24">
        <f>IFERROR(__xludf.DUMMYFUNCTION("""COMPUTED_VALUE"""),-54.0)</f>
        <v>-54</v>
      </c>
      <c r="D2188" s="24" t="str">
        <f>IFERROR(__xludf.DUMMYFUNCTION("""COMPUTED_VALUE"""),"Frozen [Not Meat]")</f>
        <v>Frozen [Not Meat]</v>
      </c>
      <c r="F2188" s="23">
        <f>IFERROR(__xludf.DUMMYFUNCTION("""COMPUTED_VALUE"""),44821.69108068287)</f>
        <v>44821.69108</v>
      </c>
      <c r="G2188" s="24" t="str">
        <f>IFERROR(__xludf.DUMMYFUNCTION("""COMPUTED_VALUE"""),"Claire")</f>
        <v>Claire</v>
      </c>
      <c r="H2188" s="24">
        <f>IFERROR(__xludf.DUMMYFUNCTION("""COMPUTED_VALUE"""),817.0)</f>
        <v>817</v>
      </c>
      <c r="I2188" s="24" t="str">
        <f>IFERROR(__xludf.DUMMYFUNCTION("""COMPUTED_VALUE"""),"Produce")</f>
        <v>Produce</v>
      </c>
    </row>
    <row r="2189">
      <c r="A2189" s="23">
        <f>IFERROR(__xludf.DUMMYFUNCTION("""COMPUTED_VALUE"""),44898.69435398148)</f>
        <v>44898.69435</v>
      </c>
      <c r="B2189" s="24" t="str">
        <f>IFERROR(__xludf.DUMMYFUNCTION("""COMPUTED_VALUE"""),"JUANITA Chandler ")</f>
        <v>JUANITA Chandler </v>
      </c>
      <c r="C2189" s="24">
        <f>IFERROR(__xludf.DUMMYFUNCTION("""COMPUTED_VALUE"""),-681.0)</f>
        <v>-681</v>
      </c>
      <c r="D2189" s="24" t="str">
        <f>IFERROR(__xludf.DUMMYFUNCTION("""COMPUTED_VALUE"""),"Dole ")</f>
        <v>Dole </v>
      </c>
      <c r="F2189" s="23">
        <f>IFERROR(__xludf.DUMMYFUNCTION("""COMPUTED_VALUE"""),44821.69143496528)</f>
        <v>44821.69143</v>
      </c>
      <c r="G2189" s="24" t="str">
        <f>IFERROR(__xludf.DUMMYFUNCTION("""COMPUTED_VALUE"""),"Claire")</f>
        <v>Claire</v>
      </c>
      <c r="H2189" s="24">
        <f>IFERROR(__xludf.DUMMYFUNCTION("""COMPUTED_VALUE"""),872.0)</f>
        <v>872</v>
      </c>
      <c r="I2189" s="24" t="str">
        <f>IFERROR(__xludf.DUMMYFUNCTION("""COMPUTED_VALUE"""),"Produce")</f>
        <v>Produce</v>
      </c>
    </row>
    <row r="2190">
      <c r="A2190" s="23">
        <f>IFERROR(__xludf.DUMMYFUNCTION("""COMPUTED_VALUE"""),44898.69548483796)</f>
        <v>44898.69548</v>
      </c>
      <c r="B2190" s="24" t="str">
        <f>IFERROR(__xludf.DUMMYFUNCTION("""COMPUTED_VALUE"""),"JUANITA Chandler ")</f>
        <v>JUANITA Chandler </v>
      </c>
      <c r="C2190" s="24">
        <f>IFERROR(__xludf.DUMMYFUNCTION("""COMPUTED_VALUE"""),-100.0)</f>
        <v>-100</v>
      </c>
      <c r="D2190" s="24" t="str">
        <f>IFERROR(__xludf.DUMMYFUNCTION("""COMPUTED_VALUE"""),"Produce")</f>
        <v>Produce</v>
      </c>
      <c r="F2190" s="23">
        <f>IFERROR(__xludf.DUMMYFUNCTION("""COMPUTED_VALUE"""),44821.69298423611)</f>
        <v>44821.69298</v>
      </c>
      <c r="G2190" s="24" t="str">
        <f>IFERROR(__xludf.DUMMYFUNCTION("""COMPUTED_VALUE"""),"Claire")</f>
        <v>Claire</v>
      </c>
      <c r="H2190" s="24">
        <f>IFERROR(__xludf.DUMMYFUNCTION("""COMPUTED_VALUE"""),940.0)</f>
        <v>940</v>
      </c>
      <c r="I2190" s="24" t="str">
        <f>IFERROR(__xludf.DUMMYFUNCTION("""COMPUTED_VALUE"""),"Produce")</f>
        <v>Produce</v>
      </c>
    </row>
    <row r="2191">
      <c r="A2191" s="23">
        <f>IFERROR(__xludf.DUMMYFUNCTION("""COMPUTED_VALUE"""),44898.69604385417)</f>
        <v>44898.69604</v>
      </c>
      <c r="B2191" s="24" t="str">
        <f>IFERROR(__xludf.DUMMYFUNCTION("""COMPUTED_VALUE"""),"JUANITA Chandler ")</f>
        <v>JUANITA Chandler </v>
      </c>
      <c r="C2191" s="24">
        <f>IFERROR(__xludf.DUMMYFUNCTION("""COMPUTED_VALUE"""),-409.0)</f>
        <v>-409</v>
      </c>
      <c r="D2191" s="24" t="str">
        <f>IFERROR(__xludf.DUMMYFUNCTION("""COMPUTED_VALUE"""),"Drinks [Fridge]")</f>
        <v>Drinks [Fridge]</v>
      </c>
      <c r="F2191" s="23">
        <f>IFERROR(__xludf.DUMMYFUNCTION("""COMPUTED_VALUE"""),44821.69420680556)</f>
        <v>44821.69421</v>
      </c>
      <c r="G2191" s="24" t="str">
        <f>IFERROR(__xludf.DUMMYFUNCTION("""COMPUTED_VALUE"""),"Claire")</f>
        <v>Claire</v>
      </c>
      <c r="H2191" s="24">
        <f>IFERROR(__xludf.DUMMYFUNCTION("""COMPUTED_VALUE"""),106.0)</f>
        <v>106</v>
      </c>
      <c r="I2191" s="24" t="str">
        <f>IFERROR(__xludf.DUMMYFUNCTION("""COMPUTED_VALUE"""),"Produce")</f>
        <v>Produce</v>
      </c>
    </row>
    <row r="2192">
      <c r="A2192" s="23">
        <f>IFERROR(__xludf.DUMMYFUNCTION("""COMPUTED_VALUE"""),44898.70153043982)</f>
        <v>44898.70153</v>
      </c>
      <c r="B2192" s="24" t="str">
        <f>IFERROR(__xludf.DUMMYFUNCTION("""COMPUTED_VALUE"""),"Claire")</f>
        <v>Claire</v>
      </c>
      <c r="C2192" s="24">
        <f>IFERROR(__xludf.DUMMYFUNCTION("""COMPUTED_VALUE"""),-52.0)</f>
        <v>-52</v>
      </c>
      <c r="D2192" s="24" t="str">
        <f>IFERROR(__xludf.DUMMYFUNCTION("""COMPUTED_VALUE"""),"Snacks")</f>
        <v>Snacks</v>
      </c>
      <c r="F2192" s="23">
        <f>IFERROR(__xludf.DUMMYFUNCTION("""COMPUTED_VALUE"""),44821.69444503472)</f>
        <v>44821.69445</v>
      </c>
      <c r="G2192" s="24" t="str">
        <f>IFERROR(__xludf.DUMMYFUNCTION("""COMPUTED_VALUE"""),"Claire")</f>
        <v>Claire</v>
      </c>
      <c r="H2192" s="24">
        <f>IFERROR(__xludf.DUMMYFUNCTION("""COMPUTED_VALUE"""),430.0)</f>
        <v>430</v>
      </c>
      <c r="I2192" s="24" t="str">
        <f>IFERROR(__xludf.DUMMYFUNCTION("""COMPUTED_VALUE"""),"Frozen [Not Meat]")</f>
        <v>Frozen [Not Meat]</v>
      </c>
    </row>
    <row r="2193">
      <c r="A2193" s="23">
        <f>IFERROR(__xludf.DUMMYFUNCTION("""COMPUTED_VALUE"""),44898.70299472222)</f>
        <v>44898.70299</v>
      </c>
      <c r="B2193" s="24" t="str">
        <f>IFERROR(__xludf.DUMMYFUNCTION("""COMPUTED_VALUE"""),"Claire")</f>
        <v>Claire</v>
      </c>
      <c r="C2193" s="24">
        <f>IFERROR(__xludf.DUMMYFUNCTION("""COMPUTED_VALUE"""),-102.0)</f>
        <v>-102</v>
      </c>
      <c r="D2193" s="24" t="str">
        <f>IFERROR(__xludf.DUMMYFUNCTION("""COMPUTED_VALUE"""),"Snacks")</f>
        <v>Snacks</v>
      </c>
      <c r="F2193" s="23">
        <f>IFERROR(__xludf.DUMMYFUNCTION("""COMPUTED_VALUE"""),44821.696509351845)</f>
        <v>44821.69651</v>
      </c>
      <c r="G2193" s="24" t="str">
        <f>IFERROR(__xludf.DUMMYFUNCTION("""COMPUTED_VALUE"""),"Claire")</f>
        <v>Claire</v>
      </c>
      <c r="H2193" s="24">
        <f>IFERROR(__xludf.DUMMYFUNCTION("""COMPUTED_VALUE"""),542.0)</f>
        <v>542</v>
      </c>
      <c r="I2193" s="24" t="str">
        <f>IFERROR(__xludf.DUMMYFUNCTION("""COMPUTED_VALUE"""),"Produce")</f>
        <v>Produce</v>
      </c>
    </row>
    <row r="2194">
      <c r="A2194" s="23">
        <f>IFERROR(__xludf.DUMMYFUNCTION("""COMPUTED_VALUE"""),44899.62539818288)</f>
        <v>44899.6254</v>
      </c>
      <c r="B2194" s="24" t="str">
        <f>IFERROR(__xludf.DUMMYFUNCTION("""COMPUTED_VALUE"""),"Opeyemi ")</f>
        <v>Opeyemi </v>
      </c>
      <c r="C2194" s="24">
        <f>IFERROR(__xludf.DUMMYFUNCTION("""COMPUTED_VALUE"""),1438.0)</f>
        <v>1438</v>
      </c>
      <c r="D2194" s="24" t="str">
        <f>IFERROR(__xludf.DUMMYFUNCTION("""COMPUTED_VALUE"""),"Assorted Dry")</f>
        <v>Assorted Dry</v>
      </c>
      <c r="F2194" s="23">
        <f>IFERROR(__xludf.DUMMYFUNCTION("""COMPUTED_VALUE"""),44821.69705047453)</f>
        <v>44821.69705</v>
      </c>
      <c r="G2194" s="24" t="str">
        <f>IFERROR(__xludf.DUMMYFUNCTION("""COMPUTED_VALUE"""),"Claire")</f>
        <v>Claire</v>
      </c>
      <c r="H2194" s="24">
        <f>IFERROR(__xludf.DUMMYFUNCTION("""COMPUTED_VALUE"""),555.0)</f>
        <v>555</v>
      </c>
      <c r="I2194" s="24" t="str">
        <f>IFERROR(__xludf.DUMMYFUNCTION("""COMPUTED_VALUE"""),"Assorted Fridge")</f>
        <v>Assorted Fridge</v>
      </c>
    </row>
    <row r="2195">
      <c r="A2195" s="23">
        <f>IFERROR(__xludf.DUMMYFUNCTION("""COMPUTED_VALUE"""),44899.667869467594)</f>
        <v>44899.66787</v>
      </c>
      <c r="B2195" s="24" t="str">
        <f>IFERROR(__xludf.DUMMYFUNCTION("""COMPUTED_VALUE"""),"Ms Jackee")</f>
        <v>Ms Jackee</v>
      </c>
      <c r="C2195" s="24">
        <f>IFERROR(__xludf.DUMMYFUNCTION("""COMPUTED_VALUE"""),51.0)</f>
        <v>51</v>
      </c>
      <c r="D2195" s="24" t="str">
        <f>IFERROR(__xludf.DUMMYFUNCTION("""COMPUTED_VALUE"""),"Shopping")</f>
        <v>Shopping</v>
      </c>
      <c r="F2195" s="23">
        <f>IFERROR(__xludf.DUMMYFUNCTION("""COMPUTED_VALUE"""),44821.69743497685)</f>
        <v>44821.69743</v>
      </c>
      <c r="G2195" s="24" t="str">
        <f>IFERROR(__xludf.DUMMYFUNCTION("""COMPUTED_VALUE"""),"Claire")</f>
        <v>Claire</v>
      </c>
      <c r="H2195" s="24">
        <f>IFERROR(__xludf.DUMMYFUNCTION("""COMPUTED_VALUE"""),576.0)</f>
        <v>576</v>
      </c>
      <c r="I2195" s="24" t="str">
        <f>IFERROR(__xludf.DUMMYFUNCTION("""COMPUTED_VALUE"""),"Assorted Dry")</f>
        <v>Assorted Dry</v>
      </c>
    </row>
    <row r="2196">
      <c r="A2196" s="23">
        <f>IFERROR(__xludf.DUMMYFUNCTION("""COMPUTED_VALUE"""),44899.0)</f>
        <v>44899</v>
      </c>
      <c r="B2196" s="24" t="str">
        <f>IFERROR(__xludf.DUMMYFUNCTION("""COMPUTED_VALUE"""),"Claire")</f>
        <v>Claire</v>
      </c>
      <c r="C2196" s="24">
        <f>IFERROR(__xludf.DUMMYFUNCTION("""COMPUTED_VALUE"""),464.0)</f>
        <v>464</v>
      </c>
      <c r="D2196" s="24" t="str">
        <f>IFERROR(__xludf.DUMMYFUNCTION("""COMPUTED_VALUE"""),"Dole")</f>
        <v>Dole</v>
      </c>
      <c r="F2196" s="23">
        <f>IFERROR(__xludf.DUMMYFUNCTION("""COMPUTED_VALUE"""),44821.70480291666)</f>
        <v>44821.7048</v>
      </c>
      <c r="G2196" s="24" t="str">
        <f>IFERROR(__xludf.DUMMYFUNCTION("""COMPUTED_VALUE"""),"Claire")</f>
        <v>Claire</v>
      </c>
      <c r="H2196" s="24">
        <f>IFERROR(__xludf.DUMMYFUNCTION("""COMPUTED_VALUE"""),271.0)</f>
        <v>271</v>
      </c>
      <c r="I2196" s="24" t="str">
        <f>IFERROR(__xludf.DUMMYFUNCTION("""COMPUTED_VALUE"""),"Meat [Raw]")</f>
        <v>Meat [Raw]</v>
      </c>
    </row>
    <row r="2197">
      <c r="A2197" s="23">
        <f>IFERROR(__xludf.DUMMYFUNCTION("""COMPUTED_VALUE"""),44899.0)</f>
        <v>44899</v>
      </c>
      <c r="B2197" s="24" t="str">
        <f>IFERROR(__xludf.DUMMYFUNCTION("""COMPUTED_VALUE"""),"Claire")</f>
        <v>Claire</v>
      </c>
      <c r="C2197" s="24">
        <f>IFERROR(__xludf.DUMMYFUNCTION("""COMPUTED_VALUE"""),137.0)</f>
        <v>137</v>
      </c>
      <c r="D2197" s="24" t="str">
        <f>IFERROR(__xludf.DUMMYFUNCTION("""COMPUTED_VALUE"""),"Assorted Dry")</f>
        <v>Assorted Dry</v>
      </c>
      <c r="F2197" s="23">
        <f>IFERROR(__xludf.DUMMYFUNCTION("""COMPUTED_VALUE"""),44821.705332592595)</f>
        <v>44821.70533</v>
      </c>
      <c r="G2197" s="24" t="str">
        <f>IFERROR(__xludf.DUMMYFUNCTION("""COMPUTED_VALUE"""),"nathan")</f>
        <v>nathan</v>
      </c>
      <c r="H2197" s="24">
        <f>IFERROR(__xludf.DUMMYFUNCTION("""COMPUTED_VALUE"""),17.0)</f>
        <v>17</v>
      </c>
      <c r="I2197" s="24"/>
    </row>
    <row r="2198">
      <c r="A2198" s="23">
        <f>IFERROR(__xludf.DUMMYFUNCTION("""COMPUTED_VALUE"""),44899.0)</f>
        <v>44899</v>
      </c>
      <c r="B2198" s="24" t="str">
        <f>IFERROR(__xludf.DUMMYFUNCTION("""COMPUTED_VALUE"""),"Claire")</f>
        <v>Claire</v>
      </c>
      <c r="C2198" s="24">
        <f>IFERROR(__xludf.DUMMYFUNCTION("""COMPUTED_VALUE"""),359.0)</f>
        <v>359</v>
      </c>
      <c r="D2198" s="24" t="str">
        <f>IFERROR(__xludf.DUMMYFUNCTION("""COMPUTED_VALUE"""),"Assorted Dry")</f>
        <v>Assorted Dry</v>
      </c>
      <c r="F2198" s="23">
        <f>IFERROR(__xludf.DUMMYFUNCTION("""COMPUTED_VALUE"""),44821.70629525463)</f>
        <v>44821.7063</v>
      </c>
      <c r="G2198" s="24" t="str">
        <f>IFERROR(__xludf.DUMMYFUNCTION("""COMPUTED_VALUE"""),"Yvette wilson")</f>
        <v>Yvette wilson</v>
      </c>
      <c r="H2198" s="24">
        <f>IFERROR(__xludf.DUMMYFUNCTION("""COMPUTED_VALUE"""),20.0)</f>
        <v>20</v>
      </c>
      <c r="I2198" s="24"/>
    </row>
    <row r="2199">
      <c r="A2199" s="23">
        <f>IFERROR(__xludf.DUMMYFUNCTION("""COMPUTED_VALUE"""),44899.0)</f>
        <v>44899</v>
      </c>
      <c r="B2199" s="24" t="str">
        <f>IFERROR(__xludf.DUMMYFUNCTION("""COMPUTED_VALUE"""),"Claire")</f>
        <v>Claire</v>
      </c>
      <c r="C2199" s="24">
        <f>IFERROR(__xludf.DUMMYFUNCTION("""COMPUTED_VALUE"""),207.0)</f>
        <v>207</v>
      </c>
      <c r="D2199" s="24" t="str">
        <f>IFERROR(__xludf.DUMMYFUNCTION("""COMPUTED_VALUE"""),"Assorted Dry")</f>
        <v>Assorted Dry</v>
      </c>
      <c r="F2199" s="23">
        <f>IFERROR(__xludf.DUMMYFUNCTION("""COMPUTED_VALUE"""),44821.70658435185)</f>
        <v>44821.70658</v>
      </c>
      <c r="G2199" s="24" t="str">
        <f>IFERROR(__xludf.DUMMYFUNCTION("""COMPUTED_VALUE"""),"Claire")</f>
        <v>Claire</v>
      </c>
      <c r="H2199" s="24">
        <f>IFERROR(__xludf.DUMMYFUNCTION("""COMPUTED_VALUE"""),528.0)</f>
        <v>528</v>
      </c>
      <c r="I2199" s="24" t="str">
        <f>IFERROR(__xludf.DUMMYFUNCTION("""COMPUTED_VALUE"""),"Canned Goods")</f>
        <v>Canned Goods</v>
      </c>
    </row>
    <row r="2200">
      <c r="A2200" s="23">
        <f>IFERROR(__xludf.DUMMYFUNCTION("""COMPUTED_VALUE"""),44899.0)</f>
        <v>44899</v>
      </c>
      <c r="B2200" s="24" t="str">
        <f>IFERROR(__xludf.DUMMYFUNCTION("""COMPUTED_VALUE"""),"Claire")</f>
        <v>Claire</v>
      </c>
      <c r="C2200" s="24">
        <f>IFERROR(__xludf.DUMMYFUNCTION("""COMPUTED_VALUE"""),70.0)</f>
        <v>70</v>
      </c>
      <c r="D2200" s="24" t="str">
        <f>IFERROR(__xludf.DUMMYFUNCTION("""COMPUTED_VALUE"""),"Meat [Raw]")</f>
        <v>Meat [Raw]</v>
      </c>
      <c r="F2200" s="23">
        <f>IFERROR(__xludf.DUMMYFUNCTION("""COMPUTED_VALUE"""),44821.7068781713)</f>
        <v>44821.70688</v>
      </c>
      <c r="G2200" s="24" t="str">
        <f>IFERROR(__xludf.DUMMYFUNCTION("""COMPUTED_VALUE"""),"Claire")</f>
        <v>Claire</v>
      </c>
      <c r="H2200" s="24">
        <f>IFERROR(__xludf.DUMMYFUNCTION("""COMPUTED_VALUE"""),39.0)</f>
        <v>39</v>
      </c>
      <c r="I2200" s="24" t="str">
        <f>IFERROR(__xludf.DUMMYFUNCTION("""COMPUTED_VALUE"""),"Meat [Raw]")</f>
        <v>Meat [Raw]</v>
      </c>
    </row>
    <row r="2201">
      <c r="A2201" s="23">
        <f>IFERROR(__xludf.DUMMYFUNCTION("""COMPUTED_VALUE"""),44899.0)</f>
        <v>44899</v>
      </c>
      <c r="B2201" s="24" t="str">
        <f>IFERROR(__xludf.DUMMYFUNCTION("""COMPUTED_VALUE"""),"Claire")</f>
        <v>Claire</v>
      </c>
      <c r="C2201" s="24">
        <f>IFERROR(__xludf.DUMMYFUNCTION("""COMPUTED_VALUE"""),407.0)</f>
        <v>407</v>
      </c>
      <c r="D2201" s="24" t="str">
        <f>IFERROR(__xludf.DUMMYFUNCTION("""COMPUTED_VALUE"""),"Assorted Dry")</f>
        <v>Assorted Dry</v>
      </c>
      <c r="F2201" s="23">
        <f>IFERROR(__xludf.DUMMYFUNCTION("""COMPUTED_VALUE"""),44821.707154375)</f>
        <v>44821.70715</v>
      </c>
      <c r="G2201" s="24" t="str">
        <f>IFERROR(__xludf.DUMMYFUNCTION("""COMPUTED_VALUE"""),"Claire")</f>
        <v>Claire</v>
      </c>
      <c r="H2201" s="24">
        <f>IFERROR(__xludf.DUMMYFUNCTION("""COMPUTED_VALUE"""),137.0)</f>
        <v>137</v>
      </c>
      <c r="I2201" s="24" t="str">
        <f>IFERROR(__xludf.DUMMYFUNCTION("""COMPUTED_VALUE"""),"Snacks")</f>
        <v>Snacks</v>
      </c>
    </row>
    <row r="2202">
      <c r="A2202" s="23">
        <f>IFERROR(__xludf.DUMMYFUNCTION("""COMPUTED_VALUE"""),44900.70389408565)</f>
        <v>44900.70389</v>
      </c>
      <c r="B2202" s="24" t="str">
        <f>IFERROR(__xludf.DUMMYFUNCTION("""COMPUTED_VALUE"""),"JC")</f>
        <v>JC</v>
      </c>
      <c r="C2202" s="24">
        <f>IFERROR(__xludf.DUMMYFUNCTION("""COMPUTED_VALUE"""),357.0)</f>
        <v>357</v>
      </c>
      <c r="D2202" s="24" t="str">
        <f>IFERROR(__xludf.DUMMYFUNCTION("""COMPUTED_VALUE"""),"Frozen [Not Meat]")</f>
        <v>Frozen [Not Meat]</v>
      </c>
      <c r="F2202" s="23">
        <f>IFERROR(__xludf.DUMMYFUNCTION("""COMPUTED_VALUE"""),44821.707382361106)</f>
        <v>44821.70738</v>
      </c>
      <c r="G2202" s="24" t="str">
        <f>IFERROR(__xludf.DUMMYFUNCTION("""COMPUTED_VALUE"""),"Claire")</f>
        <v>Claire</v>
      </c>
      <c r="H2202" s="24">
        <f>IFERROR(__xludf.DUMMYFUNCTION("""COMPUTED_VALUE"""),217.0)</f>
        <v>217</v>
      </c>
      <c r="I2202" s="24" t="str">
        <f>IFERROR(__xludf.DUMMYFUNCTION("""COMPUTED_VALUE"""),"Snacks")</f>
        <v>Snacks</v>
      </c>
    </row>
    <row r="2203">
      <c r="A2203" s="23">
        <f>IFERROR(__xludf.DUMMYFUNCTION("""COMPUTED_VALUE"""),44900.70437439815)</f>
        <v>44900.70437</v>
      </c>
      <c r="B2203" s="24" t="str">
        <f>IFERROR(__xludf.DUMMYFUNCTION("""COMPUTED_VALUE"""),"JC")</f>
        <v>JC</v>
      </c>
      <c r="C2203" s="24">
        <f>IFERROR(__xludf.DUMMYFUNCTION("""COMPUTED_VALUE"""),450.0)</f>
        <v>450</v>
      </c>
      <c r="D2203" s="24" t="str">
        <f>IFERROR(__xludf.DUMMYFUNCTION("""COMPUTED_VALUE"""),"Frozen [Not Meat]")</f>
        <v>Frozen [Not Meat]</v>
      </c>
      <c r="F2203" s="23">
        <f>IFERROR(__xludf.DUMMYFUNCTION("""COMPUTED_VALUE"""),44821.707504537044)</f>
        <v>44821.7075</v>
      </c>
      <c r="G2203" s="24" t="str">
        <f>IFERROR(__xludf.DUMMYFUNCTION("""COMPUTED_VALUE"""),"Beverly Pinn")</f>
        <v>Beverly Pinn</v>
      </c>
      <c r="H2203" s="24">
        <f>IFERROR(__xludf.DUMMYFUNCTION("""COMPUTED_VALUE"""),11.0)</f>
        <v>11</v>
      </c>
      <c r="I2203" s="24"/>
    </row>
    <row r="2204">
      <c r="A2204" s="23">
        <f>IFERROR(__xludf.DUMMYFUNCTION("""COMPUTED_VALUE"""),44900.704828912036)</f>
        <v>44900.70483</v>
      </c>
      <c r="B2204" s="24" t="str">
        <f>IFERROR(__xludf.DUMMYFUNCTION("""COMPUTED_VALUE"""),"JC")</f>
        <v>JC</v>
      </c>
      <c r="C2204" s="24">
        <f>IFERROR(__xludf.DUMMYFUNCTION("""COMPUTED_VALUE"""),374.0)</f>
        <v>374</v>
      </c>
      <c r="D2204" s="24" t="str">
        <f>IFERROR(__xludf.DUMMYFUNCTION("""COMPUTED_VALUE"""),"Frozen [Not Meat]")</f>
        <v>Frozen [Not Meat]</v>
      </c>
      <c r="F2204" s="23">
        <f>IFERROR(__xludf.DUMMYFUNCTION("""COMPUTED_VALUE"""),44821.70779465278)</f>
        <v>44821.70779</v>
      </c>
      <c r="G2204" s="24" t="str">
        <f>IFERROR(__xludf.DUMMYFUNCTION("""COMPUTED_VALUE"""),"Claire")</f>
        <v>Claire</v>
      </c>
      <c r="H2204" s="24">
        <f>IFERROR(__xludf.DUMMYFUNCTION("""COMPUTED_VALUE"""),-435.0)</f>
        <v>-435</v>
      </c>
      <c r="I2204" s="24" t="str">
        <f>IFERROR(__xludf.DUMMYFUNCTION("""COMPUTED_VALUE"""),"Produce")</f>
        <v>Produce</v>
      </c>
    </row>
    <row r="2205">
      <c r="A2205" s="23">
        <f>IFERROR(__xludf.DUMMYFUNCTION("""COMPUTED_VALUE"""),44900.70520232638)</f>
        <v>44900.7052</v>
      </c>
      <c r="B2205" s="24" t="str">
        <f>IFERROR(__xludf.DUMMYFUNCTION("""COMPUTED_VALUE"""),"JC")</f>
        <v>JC</v>
      </c>
      <c r="C2205" s="24">
        <f>IFERROR(__xludf.DUMMYFUNCTION("""COMPUTED_VALUE"""),980.0)</f>
        <v>980</v>
      </c>
      <c r="D2205" s="24" t="str">
        <f>IFERROR(__xludf.DUMMYFUNCTION("""COMPUTED_VALUE"""),"Frozen [Not Meat]")</f>
        <v>Frozen [Not Meat]</v>
      </c>
      <c r="F2205" s="23">
        <f>IFERROR(__xludf.DUMMYFUNCTION("""COMPUTED_VALUE"""),44821.70800712963)</f>
        <v>44821.70801</v>
      </c>
      <c r="G2205" s="24" t="str">
        <f>IFERROR(__xludf.DUMMYFUNCTION("""COMPUTED_VALUE"""),"Claire")</f>
        <v>Claire</v>
      </c>
      <c r="H2205" s="24">
        <f>IFERROR(__xludf.DUMMYFUNCTION("""COMPUTED_VALUE"""),-345.0)</f>
        <v>-345</v>
      </c>
      <c r="I2205" s="24" t="str">
        <f>IFERROR(__xludf.DUMMYFUNCTION("""COMPUTED_VALUE"""),"Produce")</f>
        <v>Produce</v>
      </c>
    </row>
    <row r="2206">
      <c r="A2206" s="23">
        <f>IFERROR(__xludf.DUMMYFUNCTION("""COMPUTED_VALUE"""),44900.7055206713)</f>
        <v>44900.70552</v>
      </c>
      <c r="B2206" s="24" t="str">
        <f>IFERROR(__xludf.DUMMYFUNCTION("""COMPUTED_VALUE"""),"JC")</f>
        <v>JC</v>
      </c>
      <c r="C2206" s="24">
        <f>IFERROR(__xludf.DUMMYFUNCTION("""COMPUTED_VALUE"""),749.0)</f>
        <v>749</v>
      </c>
      <c r="D2206" s="24" t="str">
        <f>IFERROR(__xludf.DUMMYFUNCTION("""COMPUTED_VALUE"""),"Frozen [Not Meat]")</f>
        <v>Frozen [Not Meat]</v>
      </c>
      <c r="F2206" s="23">
        <f>IFERROR(__xludf.DUMMYFUNCTION("""COMPUTED_VALUE"""),44821.70803761574)</f>
        <v>44821.70804</v>
      </c>
      <c r="G2206" s="24" t="str">
        <f>IFERROR(__xludf.DUMMYFUNCTION("""COMPUTED_VALUE"""),"Sara B. ")</f>
        <v>Sara B. </v>
      </c>
      <c r="H2206" s="24">
        <f>IFERROR(__xludf.DUMMYFUNCTION("""COMPUTED_VALUE"""),11.0)</f>
        <v>11</v>
      </c>
      <c r="I2206" s="24"/>
    </row>
    <row r="2207">
      <c r="A2207" s="23">
        <f>IFERROR(__xludf.DUMMYFUNCTION("""COMPUTED_VALUE"""),44900.70583047454)</f>
        <v>44900.70583</v>
      </c>
      <c r="B2207" s="24" t="str">
        <f>IFERROR(__xludf.DUMMYFUNCTION("""COMPUTED_VALUE"""),"JC")</f>
        <v>JC</v>
      </c>
      <c r="C2207" s="24">
        <f>IFERROR(__xludf.DUMMYFUNCTION("""COMPUTED_VALUE"""),698.0)</f>
        <v>698</v>
      </c>
      <c r="D2207" s="24" t="str">
        <f>IFERROR(__xludf.DUMMYFUNCTION("""COMPUTED_VALUE"""),"Frozen [Not Meat]")</f>
        <v>Frozen [Not Meat]</v>
      </c>
      <c r="F2207" s="23">
        <f>IFERROR(__xludf.DUMMYFUNCTION("""COMPUTED_VALUE"""),44821.70817092592)</f>
        <v>44821.70817</v>
      </c>
      <c r="G2207" s="24" t="str">
        <f>IFERROR(__xludf.DUMMYFUNCTION("""COMPUTED_VALUE"""),"Beverly Pinn")</f>
        <v>Beverly Pinn</v>
      </c>
      <c r="H2207" s="24">
        <f>IFERROR(__xludf.DUMMYFUNCTION("""COMPUTED_VALUE"""),2.0)</f>
        <v>2</v>
      </c>
      <c r="I2207" s="24"/>
    </row>
    <row r="2208">
      <c r="A2208" s="23">
        <f>IFERROR(__xludf.DUMMYFUNCTION("""COMPUTED_VALUE"""),44904.563661736116)</f>
        <v>44904.56366</v>
      </c>
      <c r="B2208" s="24" t="str">
        <f>IFERROR(__xludf.DUMMYFUNCTION("""COMPUTED_VALUE"""),"JUANITA Chandler ")</f>
        <v>JUANITA Chandler </v>
      </c>
      <c r="C2208" s="24">
        <f>IFERROR(__xludf.DUMMYFUNCTION("""COMPUTED_VALUE"""),840.0)</f>
        <v>840</v>
      </c>
      <c r="D2208" s="24" t="str">
        <f>IFERROR(__xludf.DUMMYFUNCTION("""COMPUTED_VALUE"""),"Dole&amp; Mix")</f>
        <v>Dole&amp; Mix</v>
      </c>
      <c r="F2208" s="23">
        <f>IFERROR(__xludf.DUMMYFUNCTION("""COMPUTED_VALUE"""),44821.70821965278)</f>
        <v>44821.70822</v>
      </c>
      <c r="G2208" s="24" t="str">
        <f>IFERROR(__xludf.DUMMYFUNCTION("""COMPUTED_VALUE"""),"Claire")</f>
        <v>Claire</v>
      </c>
      <c r="H2208" s="24">
        <f>IFERROR(__xludf.DUMMYFUNCTION("""COMPUTED_VALUE"""),-799.0)</f>
        <v>-799</v>
      </c>
      <c r="I2208" s="24" t="str">
        <f>IFERROR(__xludf.DUMMYFUNCTION("""COMPUTED_VALUE"""),"Produce")</f>
        <v>Produce</v>
      </c>
    </row>
    <row r="2209">
      <c r="A2209" s="23">
        <f>IFERROR(__xludf.DUMMYFUNCTION("""COMPUTED_VALUE"""),44904.56446806713)</f>
        <v>44904.56447</v>
      </c>
      <c r="B2209" s="24" t="str">
        <f>IFERROR(__xludf.DUMMYFUNCTION("""COMPUTED_VALUE"""),"JUANITA Chandler ")</f>
        <v>JUANITA Chandler </v>
      </c>
      <c r="C2209" s="24">
        <f>IFERROR(__xludf.DUMMYFUNCTION("""COMPUTED_VALUE"""),670.0)</f>
        <v>670</v>
      </c>
      <c r="D2209" s="24" t="str">
        <f>IFERROR(__xludf.DUMMYFUNCTION("""COMPUTED_VALUE"""),"Dole &amp; Mix")</f>
        <v>Dole &amp; Mix</v>
      </c>
      <c r="F2209" s="23">
        <f>IFERROR(__xludf.DUMMYFUNCTION("""COMPUTED_VALUE"""),44821.70824961806)</f>
        <v>44821.70825</v>
      </c>
      <c r="G2209" s="24" t="str">
        <f>IFERROR(__xludf.DUMMYFUNCTION("""COMPUTED_VALUE"""),"Dean Chien")</f>
        <v>Dean Chien</v>
      </c>
      <c r="H2209" s="24">
        <f>IFERROR(__xludf.DUMMYFUNCTION("""COMPUTED_VALUE"""),18.0)</f>
        <v>18</v>
      </c>
      <c r="I2209" s="24"/>
    </row>
    <row r="2210">
      <c r="A2210" s="23">
        <f>IFERROR(__xludf.DUMMYFUNCTION("""COMPUTED_VALUE"""),44904.59825274305)</f>
        <v>44904.59825</v>
      </c>
      <c r="B2210" s="24" t="str">
        <f>IFERROR(__xludf.DUMMYFUNCTION("""COMPUTED_VALUE"""),"JUANITA Chandler ")</f>
        <v>JUANITA Chandler </v>
      </c>
      <c r="C2210" s="24">
        <f>IFERROR(__xludf.DUMMYFUNCTION("""COMPUTED_VALUE"""),301.0)</f>
        <v>301</v>
      </c>
      <c r="D2210" s="24" t="str">
        <f>IFERROR(__xludf.DUMMYFUNCTION("""COMPUTED_VALUE"""),"Frozen [Not Meat]")</f>
        <v>Frozen [Not Meat]</v>
      </c>
      <c r="F2210" s="23">
        <f>IFERROR(__xludf.DUMMYFUNCTION("""COMPUTED_VALUE"""),44821.70836931712)</f>
        <v>44821.70837</v>
      </c>
      <c r="G2210" s="24" t="str">
        <f>IFERROR(__xludf.DUMMYFUNCTION("""COMPUTED_VALUE"""),"Sara B. (free)")</f>
        <v>Sara B. (free)</v>
      </c>
      <c r="H2210" s="24">
        <f>IFERROR(__xludf.DUMMYFUNCTION("""COMPUTED_VALUE"""),2.0)</f>
        <v>2</v>
      </c>
      <c r="I2210" s="24"/>
    </row>
    <row r="2211">
      <c r="A2211" s="23">
        <f>IFERROR(__xludf.DUMMYFUNCTION("""COMPUTED_VALUE"""),44904.598768344906)</f>
        <v>44904.59877</v>
      </c>
      <c r="B2211" s="24" t="str">
        <f>IFERROR(__xludf.DUMMYFUNCTION("""COMPUTED_VALUE"""),"JUANITA Chandler ")</f>
        <v>JUANITA Chandler </v>
      </c>
      <c r="C2211" s="24">
        <f>IFERROR(__xludf.DUMMYFUNCTION("""COMPUTED_VALUE"""),246.0)</f>
        <v>246</v>
      </c>
      <c r="D2211" s="24" t="str">
        <f>IFERROR(__xludf.DUMMYFUNCTION("""COMPUTED_VALUE"""),"Frozen [Not Meat]")</f>
        <v>Frozen [Not Meat]</v>
      </c>
      <c r="F2211" s="23">
        <f>IFERROR(__xludf.DUMMYFUNCTION("""COMPUTED_VALUE"""),44821.70840488426)</f>
        <v>44821.7084</v>
      </c>
      <c r="G2211" s="24" t="str">
        <f>IFERROR(__xludf.DUMMYFUNCTION("""COMPUTED_VALUE"""),"Claire")</f>
        <v>Claire</v>
      </c>
      <c r="H2211" s="24">
        <f>IFERROR(__xludf.DUMMYFUNCTION("""COMPUTED_VALUE"""),-107.0)</f>
        <v>-107</v>
      </c>
      <c r="I2211" s="24" t="str">
        <f>IFERROR(__xludf.DUMMYFUNCTION("""COMPUTED_VALUE"""),"Snacks")</f>
        <v>Snacks</v>
      </c>
    </row>
    <row r="2212">
      <c r="A2212" s="23">
        <f>IFERROR(__xludf.DUMMYFUNCTION("""COMPUTED_VALUE"""),44904.65352150463)</f>
        <v>44904.65352</v>
      </c>
      <c r="B2212" s="24" t="str">
        <f>IFERROR(__xludf.DUMMYFUNCTION("""COMPUTED_VALUE"""),"JUANITA Chandler ")</f>
        <v>JUANITA Chandler </v>
      </c>
      <c r="C2212" s="24">
        <f>IFERROR(__xludf.DUMMYFUNCTION("""COMPUTED_VALUE"""),91.0)</f>
        <v>91</v>
      </c>
      <c r="D2212" s="24" t="str">
        <f>IFERROR(__xludf.DUMMYFUNCTION("""COMPUTED_VALUE"""),"Assorted Dry")</f>
        <v>Assorted Dry</v>
      </c>
      <c r="F2212" s="23">
        <f>IFERROR(__xludf.DUMMYFUNCTION("""COMPUTED_VALUE"""),44821.70866836805)</f>
        <v>44821.70867</v>
      </c>
      <c r="G2212" s="24" t="str">
        <f>IFERROR(__xludf.DUMMYFUNCTION("""COMPUTED_VALUE"""),"Claire")</f>
        <v>Claire</v>
      </c>
      <c r="H2212" s="24">
        <f>IFERROR(__xludf.DUMMYFUNCTION("""COMPUTED_VALUE"""),-112.0)</f>
        <v>-112</v>
      </c>
      <c r="I2212" s="24" t="str">
        <f>IFERROR(__xludf.DUMMYFUNCTION("""COMPUTED_VALUE"""),"Snacks")</f>
        <v>Snacks</v>
      </c>
    </row>
    <row r="2213">
      <c r="A2213" s="23">
        <f>IFERROR(__xludf.DUMMYFUNCTION("""COMPUTED_VALUE"""),44904.65443149306)</f>
        <v>44904.65443</v>
      </c>
      <c r="B2213" s="24" t="str">
        <f>IFERROR(__xludf.DUMMYFUNCTION("""COMPUTED_VALUE"""),"Juanita Chandler ")</f>
        <v>Juanita Chandler </v>
      </c>
      <c r="C2213" s="24">
        <f>IFERROR(__xludf.DUMMYFUNCTION("""COMPUTED_VALUE"""),97.0)</f>
        <v>97</v>
      </c>
      <c r="D2213" s="24" t="str">
        <f>IFERROR(__xludf.DUMMYFUNCTION("""COMPUTED_VALUE"""),"Assorted Dry")</f>
        <v>Assorted Dry</v>
      </c>
      <c r="F2213" s="23">
        <f>IFERROR(__xludf.DUMMYFUNCTION("""COMPUTED_VALUE"""),44821.709292210646)</f>
        <v>44821.70929</v>
      </c>
      <c r="G2213" s="24" t="str">
        <f>IFERROR(__xludf.DUMMYFUNCTION("""COMPUTED_VALUE"""),"Claire")</f>
        <v>Claire</v>
      </c>
      <c r="H2213" s="24">
        <f>IFERROR(__xludf.DUMMYFUNCTION("""COMPUTED_VALUE"""),-553.0)</f>
        <v>-553</v>
      </c>
      <c r="I2213" s="24" t="str">
        <f>IFERROR(__xludf.DUMMYFUNCTION("""COMPUTED_VALUE"""),"STEAM toys")</f>
        <v>STEAM toys</v>
      </c>
    </row>
    <row r="2214">
      <c r="A2214" s="23">
        <f>IFERROR(__xludf.DUMMYFUNCTION("""COMPUTED_VALUE"""),44904.711589074075)</f>
        <v>44904.71159</v>
      </c>
      <c r="B2214" s="24" t="str">
        <f>IFERROR(__xludf.DUMMYFUNCTION("""COMPUTED_VALUE"""),"Sunita pathik")</f>
        <v>Sunita pathik</v>
      </c>
      <c r="C2214" s="24">
        <f>IFERROR(__xludf.DUMMYFUNCTION("""COMPUTED_VALUE"""),150.0)</f>
        <v>150</v>
      </c>
      <c r="D2214" s="24" t="str">
        <f>IFERROR(__xludf.DUMMYFUNCTION("""COMPUTED_VALUE"""),"Assorted Fridge")</f>
        <v>Assorted Fridge</v>
      </c>
      <c r="F2214" s="23">
        <f>IFERROR(__xludf.DUMMYFUNCTION("""COMPUTED_VALUE"""),44821.70971935186)</f>
        <v>44821.70972</v>
      </c>
      <c r="G2214" s="24" t="str">
        <f>IFERROR(__xludf.DUMMYFUNCTION("""COMPUTED_VALUE"""),"Claire")</f>
        <v>Claire</v>
      </c>
      <c r="H2214" s="24">
        <f>IFERROR(__xludf.DUMMYFUNCTION("""COMPUTED_VALUE"""),-122.0)</f>
        <v>-122</v>
      </c>
      <c r="I2214" s="24" t="str">
        <f>IFERROR(__xludf.DUMMYFUNCTION("""COMPUTED_VALUE"""),"Canned Goods")</f>
        <v>Canned Goods</v>
      </c>
    </row>
    <row r="2215">
      <c r="A2215" s="23">
        <f>IFERROR(__xludf.DUMMYFUNCTION("""COMPUTED_VALUE"""),44905.50698972223)</f>
        <v>44905.50699</v>
      </c>
      <c r="B2215" s="24" t="str">
        <f>IFERROR(__xludf.DUMMYFUNCTION("""COMPUTED_VALUE"""),"Beverly Pinn")</f>
        <v>Beverly Pinn</v>
      </c>
      <c r="C2215" s="24">
        <f>IFERROR(__xludf.DUMMYFUNCTION("""COMPUTED_VALUE"""),477.0)</f>
        <v>477</v>
      </c>
      <c r="D2215" s="24" t="str">
        <f>IFERROR(__xludf.DUMMYFUNCTION("""COMPUTED_VALUE"""),"Canned Goods")</f>
        <v>Canned Goods</v>
      </c>
      <c r="F2215" s="23">
        <f>IFERROR(__xludf.DUMMYFUNCTION("""COMPUTED_VALUE"""),44821.71302699074)</f>
        <v>44821.71303</v>
      </c>
      <c r="G2215" s="24" t="str">
        <f>IFERROR(__xludf.DUMMYFUNCTION("""COMPUTED_VALUE"""),"Lynette Cromer")</f>
        <v>Lynette Cromer</v>
      </c>
      <c r="H2215" s="24">
        <f>IFERROR(__xludf.DUMMYFUNCTION("""COMPUTED_VALUE"""),10.0)</f>
        <v>10</v>
      </c>
      <c r="I2215" s="24"/>
    </row>
    <row r="2216">
      <c r="A2216" s="23">
        <f>IFERROR(__xludf.DUMMYFUNCTION("""COMPUTED_VALUE"""),44905.55005230324)</f>
        <v>44905.55005</v>
      </c>
      <c r="B2216" s="24" t="str">
        <f>IFERROR(__xludf.DUMMYFUNCTION("""COMPUTED_VALUE"""),"JUANITA Chandler ")</f>
        <v>JUANITA Chandler </v>
      </c>
      <c r="C2216" s="24">
        <f>IFERROR(__xludf.DUMMYFUNCTION("""COMPUTED_VALUE"""),246.0)</f>
        <v>246</v>
      </c>
      <c r="D2216" s="24" t="str">
        <f>IFERROR(__xludf.DUMMYFUNCTION("""COMPUTED_VALUE"""),"Drinks [Fridge]")</f>
        <v>Drinks [Fridge]</v>
      </c>
      <c r="F2216" s="23">
        <f>IFERROR(__xludf.DUMMYFUNCTION("""COMPUTED_VALUE"""),44821.7133052662)</f>
        <v>44821.71331</v>
      </c>
      <c r="G2216" s="24" t="str">
        <f>IFERROR(__xludf.DUMMYFUNCTION("""COMPUTED_VALUE"""),"Lynette Cromer")</f>
        <v>Lynette Cromer</v>
      </c>
      <c r="H2216" s="24">
        <f>IFERROR(__xludf.DUMMYFUNCTION("""COMPUTED_VALUE"""),9.0)</f>
        <v>9</v>
      </c>
      <c r="I2216" s="24"/>
    </row>
    <row r="2217">
      <c r="A2217" s="23">
        <f>IFERROR(__xludf.DUMMYFUNCTION("""COMPUTED_VALUE"""),44905.55069229166)</f>
        <v>44905.55069</v>
      </c>
      <c r="B2217" s="24" t="str">
        <f>IFERROR(__xludf.DUMMYFUNCTION("""COMPUTED_VALUE"""),"JUANITA Chandler ")</f>
        <v>JUANITA Chandler </v>
      </c>
      <c r="C2217" s="24">
        <f>IFERROR(__xludf.DUMMYFUNCTION("""COMPUTED_VALUE"""),1043.0)</f>
        <v>1043</v>
      </c>
      <c r="D2217" s="24" t="str">
        <f>IFERROR(__xludf.DUMMYFUNCTION("""COMPUTED_VALUE"""),"Dole")</f>
        <v>Dole</v>
      </c>
      <c r="F2217" s="23">
        <f>IFERROR(__xludf.DUMMYFUNCTION("""COMPUTED_VALUE"""),44821.71872428241)</f>
        <v>44821.71872</v>
      </c>
      <c r="G2217" s="24" t="str">
        <f>IFERROR(__xludf.DUMMYFUNCTION("""COMPUTED_VALUE"""),"Lynnette  cromer")</f>
        <v>Lynnette  cromer</v>
      </c>
      <c r="H2217" s="24">
        <f>IFERROR(__xludf.DUMMYFUNCTION("""COMPUTED_VALUE"""),1.0)</f>
        <v>1</v>
      </c>
      <c r="I2217" s="24"/>
    </row>
    <row r="2218">
      <c r="A2218" s="23">
        <f>IFERROR(__xludf.DUMMYFUNCTION("""COMPUTED_VALUE"""),44905.551104212966)</f>
        <v>44905.5511</v>
      </c>
      <c r="B2218" s="24" t="str">
        <f>IFERROR(__xludf.DUMMYFUNCTION("""COMPUTED_VALUE"""),"JUANITA Chandler ")</f>
        <v>JUANITA Chandler </v>
      </c>
      <c r="C2218" s="24">
        <f>IFERROR(__xludf.DUMMYFUNCTION("""COMPUTED_VALUE"""),401.0)</f>
        <v>401</v>
      </c>
      <c r="D2218" s="24" t="str">
        <f>IFERROR(__xludf.DUMMYFUNCTION("""COMPUTED_VALUE"""),"Snacks")</f>
        <v>Snacks</v>
      </c>
      <c r="F2218" s="23">
        <f>IFERROR(__xludf.DUMMYFUNCTION("""COMPUTED_VALUE"""),44822.0)</f>
        <v>44822</v>
      </c>
      <c r="G2218" s="24" t="str">
        <f>IFERROR(__xludf.DUMMYFUNCTION("""COMPUTED_VALUE"""),"Alex Wang")</f>
        <v>Alex Wang</v>
      </c>
      <c r="H2218" s="24">
        <f>IFERROR(__xludf.DUMMYFUNCTION("""COMPUTED_VALUE"""),20.0)</f>
        <v>20</v>
      </c>
      <c r="I2218" s="24"/>
    </row>
    <row r="2219">
      <c r="A2219" s="23">
        <f>IFERROR(__xludf.DUMMYFUNCTION("""COMPUTED_VALUE"""),44905.55234652777)</f>
        <v>44905.55235</v>
      </c>
      <c r="B2219" s="24" t="str">
        <f>IFERROR(__xludf.DUMMYFUNCTION("""COMPUTED_VALUE"""),"JUANITA Chandler ")</f>
        <v>JUANITA Chandler </v>
      </c>
      <c r="C2219" s="24">
        <f>IFERROR(__xludf.DUMMYFUNCTION("""COMPUTED_VALUE"""),158.0)</f>
        <v>158</v>
      </c>
      <c r="D2219" s="24" t="str">
        <f>IFERROR(__xludf.DUMMYFUNCTION("""COMPUTED_VALUE"""),"🎁 Gift")</f>
        <v>🎁 Gift</v>
      </c>
      <c r="F2219" s="23">
        <f>IFERROR(__xludf.DUMMYFUNCTION("""COMPUTED_VALUE"""),44822.0)</f>
        <v>44822</v>
      </c>
      <c r="G2219" s="24" t="str">
        <f>IFERROR(__xludf.DUMMYFUNCTION("""COMPUTED_VALUE"""),"Alex Wang")</f>
        <v>Alex Wang</v>
      </c>
      <c r="H2219" s="24">
        <f>IFERROR(__xludf.DUMMYFUNCTION("""COMPUTED_VALUE"""),4.0)</f>
        <v>4</v>
      </c>
      <c r="I2219" s="24"/>
    </row>
    <row r="2220">
      <c r="A2220" s="23">
        <f>IFERROR(__xludf.DUMMYFUNCTION("""COMPUTED_VALUE"""),44905.55302370371)</f>
        <v>44905.55302</v>
      </c>
      <c r="B2220" s="24" t="str">
        <f>IFERROR(__xludf.DUMMYFUNCTION("""COMPUTED_VALUE"""),"JUANITA Chandler ")</f>
        <v>JUANITA Chandler </v>
      </c>
      <c r="C2220" s="24">
        <f>IFERROR(__xludf.DUMMYFUNCTION("""COMPUTED_VALUE"""),139.0)</f>
        <v>139</v>
      </c>
      <c r="D2220" s="24" t="str">
        <f>IFERROR(__xludf.DUMMYFUNCTION("""COMPUTED_VALUE"""),"Gift")</f>
        <v>Gift</v>
      </c>
      <c r="F2220" s="23">
        <f>IFERROR(__xludf.DUMMYFUNCTION("""COMPUTED_VALUE"""),44822.0)</f>
        <v>44822</v>
      </c>
      <c r="G2220" s="24" t="str">
        <f>IFERROR(__xludf.DUMMYFUNCTION("""COMPUTED_VALUE"""),"Marci")</f>
        <v>Marci</v>
      </c>
      <c r="H2220" s="24">
        <f>IFERROR(__xludf.DUMMYFUNCTION("""COMPUTED_VALUE"""),19.0)</f>
        <v>19</v>
      </c>
      <c r="I2220" s="24"/>
    </row>
    <row r="2221">
      <c r="A2221" s="23">
        <f>IFERROR(__xludf.DUMMYFUNCTION("""COMPUTED_VALUE"""),44905.55578604167)</f>
        <v>44905.55579</v>
      </c>
      <c r="B2221" s="24" t="str">
        <f>IFERROR(__xludf.DUMMYFUNCTION("""COMPUTED_VALUE"""),"JUANITA Chandler ")</f>
        <v>JUANITA Chandler </v>
      </c>
      <c r="C2221" s="24">
        <f>IFERROR(__xludf.DUMMYFUNCTION("""COMPUTED_VALUE"""),512.0)</f>
        <v>512</v>
      </c>
      <c r="D2221" s="24" t="str">
        <f>IFERROR(__xludf.DUMMYFUNCTION("""COMPUTED_VALUE"""),"Frozen [Not Meat]")</f>
        <v>Frozen [Not Meat]</v>
      </c>
      <c r="F2221" s="23">
        <f>IFERROR(__xludf.DUMMYFUNCTION("""COMPUTED_VALUE"""),44822.0)</f>
        <v>44822</v>
      </c>
      <c r="G2221" s="24" t="str">
        <f>IFERROR(__xludf.DUMMYFUNCTION("""COMPUTED_VALUE"""),"Marci")</f>
        <v>Marci</v>
      </c>
      <c r="H2221" s="24">
        <f>IFERROR(__xludf.DUMMYFUNCTION("""COMPUTED_VALUE"""),23.0)</f>
        <v>23</v>
      </c>
      <c r="I2221" s="24"/>
    </row>
    <row r="2222">
      <c r="A2222" s="23">
        <f>IFERROR(__xludf.DUMMYFUNCTION("""COMPUTED_VALUE"""),44905.57015950231)</f>
        <v>44905.57016</v>
      </c>
      <c r="B2222" s="24" t="str">
        <f>IFERROR(__xludf.DUMMYFUNCTION("""COMPUTED_VALUE"""),"Nicolle diaz ")</f>
        <v>Nicolle diaz </v>
      </c>
      <c r="C2222" s="24">
        <f>IFERROR(__xludf.DUMMYFUNCTION("""COMPUTED_VALUE"""),325.0)</f>
        <v>325</v>
      </c>
      <c r="D2222" s="24" t="str">
        <f>IFERROR(__xludf.DUMMYFUNCTION("""COMPUTED_VALUE"""),"Drinks [Fridge]")</f>
        <v>Drinks [Fridge]</v>
      </c>
      <c r="F2222" s="23">
        <f>IFERROR(__xludf.DUMMYFUNCTION("""COMPUTED_VALUE"""),44822.0)</f>
        <v>44822</v>
      </c>
      <c r="G2222" s="24" t="str">
        <f>IFERROR(__xludf.DUMMYFUNCTION("""COMPUTED_VALUE"""),"Kaneesha Bailey")</f>
        <v>Kaneesha Bailey</v>
      </c>
      <c r="H2222" s="24">
        <f>IFERROR(__xludf.DUMMYFUNCTION("""COMPUTED_VALUE"""),15.0)</f>
        <v>15</v>
      </c>
      <c r="I2222" s="24"/>
    </row>
    <row r="2223">
      <c r="A2223" s="23">
        <f>IFERROR(__xludf.DUMMYFUNCTION("""COMPUTED_VALUE"""),44905.57240989584)</f>
        <v>44905.57241</v>
      </c>
      <c r="B2223" s="24" t="str">
        <f>IFERROR(__xludf.DUMMYFUNCTION("""COMPUTED_VALUE"""),"Nicolle diaz ")</f>
        <v>Nicolle diaz </v>
      </c>
      <c r="C2223" s="24">
        <f>IFERROR(__xludf.DUMMYFUNCTION("""COMPUTED_VALUE"""),640.0)</f>
        <v>640</v>
      </c>
      <c r="D2223" s="24" t="str">
        <f>IFERROR(__xludf.DUMMYFUNCTION("""COMPUTED_VALUE"""),"Produce")</f>
        <v>Produce</v>
      </c>
      <c r="F2223" s="23">
        <f>IFERROR(__xludf.DUMMYFUNCTION("""COMPUTED_VALUE"""),44822.0)</f>
        <v>44822</v>
      </c>
      <c r="G2223" s="24" t="str">
        <f>IFERROR(__xludf.DUMMYFUNCTION("""COMPUTED_VALUE"""),"Kaneesha Bailey")</f>
        <v>Kaneesha Bailey</v>
      </c>
      <c r="H2223" s="24">
        <f>IFERROR(__xludf.DUMMYFUNCTION("""COMPUTED_VALUE"""),9.0)</f>
        <v>9</v>
      </c>
      <c r="I2223" s="24"/>
    </row>
    <row r="2224">
      <c r="A2224" s="23">
        <f>IFERROR(__xludf.DUMMYFUNCTION("""COMPUTED_VALUE"""),44905.579281087965)</f>
        <v>44905.57928</v>
      </c>
      <c r="B2224" s="24" t="str">
        <f>IFERROR(__xludf.DUMMYFUNCTION("""COMPUTED_VALUE"""),"Nicolle diaz")</f>
        <v>Nicolle diaz</v>
      </c>
      <c r="C2224" s="24">
        <f>IFERROR(__xludf.DUMMYFUNCTION("""COMPUTED_VALUE"""),406.0)</f>
        <v>406</v>
      </c>
      <c r="D2224" s="24" t="str">
        <f>IFERROR(__xludf.DUMMYFUNCTION("""COMPUTED_VALUE"""),"Drinks [Dry]")</f>
        <v>Drinks [Dry]</v>
      </c>
      <c r="F2224" s="23">
        <f>IFERROR(__xludf.DUMMYFUNCTION("""COMPUTED_VALUE"""),44822.0)</f>
        <v>44822</v>
      </c>
      <c r="G2224" s="24" t="str">
        <f>IFERROR(__xludf.DUMMYFUNCTION("""COMPUTED_VALUE"""),"Kate Weeks")</f>
        <v>Kate Weeks</v>
      </c>
      <c r="H2224" s="24">
        <f>IFERROR(__xludf.DUMMYFUNCTION("""COMPUTED_VALUE"""),14.0)</f>
        <v>14</v>
      </c>
      <c r="I2224" s="24"/>
    </row>
    <row r="2225">
      <c r="A2225" s="23">
        <f>IFERROR(__xludf.DUMMYFUNCTION("""COMPUTED_VALUE"""),44905.58414907407)</f>
        <v>44905.58415</v>
      </c>
      <c r="B2225" s="24" t="str">
        <f>IFERROR(__xludf.DUMMYFUNCTION("""COMPUTED_VALUE"""),"Nicolle Diaz ")</f>
        <v>Nicolle Diaz </v>
      </c>
      <c r="C2225" s="24">
        <f>IFERROR(__xludf.DUMMYFUNCTION("""COMPUTED_VALUE"""),273.0)</f>
        <v>273</v>
      </c>
      <c r="D2225" s="24" t="str">
        <f>IFERROR(__xludf.DUMMYFUNCTION("""COMPUTED_VALUE"""),"Drinks [Fridge]")</f>
        <v>Drinks [Fridge]</v>
      </c>
      <c r="F2225" s="23">
        <f>IFERROR(__xludf.DUMMYFUNCTION("""COMPUTED_VALUE"""),44822.64113001157)</f>
        <v>44822.64113</v>
      </c>
      <c r="G2225" s="24" t="str">
        <f>IFERROR(__xludf.DUMMYFUNCTION("""COMPUTED_VALUE"""),"Lynnette c ")</f>
        <v>Lynnette c </v>
      </c>
      <c r="H2225" s="24">
        <f>IFERROR(__xludf.DUMMYFUNCTION("""COMPUTED_VALUE"""),75.0)</f>
        <v>75</v>
      </c>
      <c r="I2225" s="24"/>
    </row>
    <row r="2226">
      <c r="A2226" s="23">
        <f>IFERROR(__xludf.DUMMYFUNCTION("""COMPUTED_VALUE"""),44905.58763591435)</f>
        <v>44905.58764</v>
      </c>
      <c r="B2226" s="24" t="str">
        <f>IFERROR(__xludf.DUMMYFUNCTION("""COMPUTED_VALUE"""),"Nicolle diaz ")</f>
        <v>Nicolle diaz </v>
      </c>
      <c r="C2226" s="24">
        <f>IFERROR(__xludf.DUMMYFUNCTION("""COMPUTED_VALUE"""),222.0)</f>
        <v>222</v>
      </c>
      <c r="D2226" s="24" t="str">
        <f>IFERROR(__xludf.DUMMYFUNCTION("""COMPUTED_VALUE"""),"Meat [Raw]")</f>
        <v>Meat [Raw]</v>
      </c>
      <c r="F2226" s="23">
        <f>IFERROR(__xludf.DUMMYFUNCTION("""COMPUTED_VALUE"""),44822.6498137963)</f>
        <v>44822.64981</v>
      </c>
      <c r="G2226" s="24" t="str">
        <f>IFERROR(__xludf.DUMMYFUNCTION("""COMPUTED_VALUE"""),"Zoe")</f>
        <v>Zoe</v>
      </c>
      <c r="H2226" s="24">
        <f>IFERROR(__xludf.DUMMYFUNCTION("""COMPUTED_VALUE"""),694.0)</f>
        <v>694</v>
      </c>
      <c r="I2226" s="24" t="str">
        <f>IFERROR(__xludf.DUMMYFUNCTION("""COMPUTED_VALUE"""),"Amazon")</f>
        <v>Amazon</v>
      </c>
    </row>
    <row r="2227">
      <c r="A2227" s="23">
        <f>IFERROR(__xludf.DUMMYFUNCTION("""COMPUTED_VALUE"""),44905.66593758102)</f>
        <v>44905.66594</v>
      </c>
      <c r="B2227" s="24" t="str">
        <f>IFERROR(__xludf.DUMMYFUNCTION("""COMPUTED_VALUE"""),"JUANITA Chandler ")</f>
        <v>JUANITA Chandler </v>
      </c>
      <c r="C2227" s="24">
        <f>IFERROR(__xludf.DUMMYFUNCTION("""COMPUTED_VALUE"""),115.0)</f>
        <v>115</v>
      </c>
      <c r="D2227" s="24" t="str">
        <f>IFERROR(__xludf.DUMMYFUNCTION("""COMPUTED_VALUE"""),"Meat [Raw]")</f>
        <v>Meat [Raw]</v>
      </c>
      <c r="F2227" s="23">
        <f>IFERROR(__xludf.DUMMYFUNCTION("""COMPUTED_VALUE"""),44822.65016846065)</f>
        <v>44822.65017</v>
      </c>
      <c r="G2227" s="24" t="str">
        <f>IFERROR(__xludf.DUMMYFUNCTION("""COMPUTED_VALUE"""),"Zoe")</f>
        <v>Zoe</v>
      </c>
      <c r="H2227" s="24">
        <f>IFERROR(__xludf.DUMMYFUNCTION("""COMPUTED_VALUE"""),640.0)</f>
        <v>640</v>
      </c>
      <c r="I2227" s="24" t="str">
        <f>IFERROR(__xludf.DUMMYFUNCTION("""COMPUTED_VALUE"""),"Amazon")</f>
        <v>Amazon</v>
      </c>
    </row>
    <row r="2228">
      <c r="A2228" s="23">
        <f>IFERROR(__xludf.DUMMYFUNCTION("""COMPUTED_VALUE"""),44905.6695021412)</f>
        <v>44905.6695</v>
      </c>
      <c r="B2228" s="24" t="str">
        <f>IFERROR(__xludf.DUMMYFUNCTION("""COMPUTED_VALUE"""),"JUANITA Chandler ")</f>
        <v>JUANITA Chandler </v>
      </c>
      <c r="C2228" s="24">
        <f>IFERROR(__xludf.DUMMYFUNCTION("""COMPUTED_VALUE"""),1033.0)</f>
        <v>1033</v>
      </c>
      <c r="D2228" s="24" t="str">
        <f>IFERROR(__xludf.DUMMYFUNCTION("""COMPUTED_VALUE"""),"Dole fruit cup ")</f>
        <v>Dole fruit cup </v>
      </c>
      <c r="F2228" s="23">
        <f>IFERROR(__xludf.DUMMYFUNCTION("""COMPUTED_VALUE"""),44822.650928877316)</f>
        <v>44822.65093</v>
      </c>
      <c r="G2228" s="24" t="str">
        <f>IFERROR(__xludf.DUMMYFUNCTION("""COMPUTED_VALUE"""),"Zoe")</f>
        <v>Zoe</v>
      </c>
      <c r="H2228" s="24">
        <f>IFERROR(__xludf.DUMMYFUNCTION("""COMPUTED_VALUE"""),723.0)</f>
        <v>723</v>
      </c>
      <c r="I2228" s="24" t="str">
        <f>IFERROR(__xludf.DUMMYFUNCTION("""COMPUTED_VALUE"""),"Amazon")</f>
        <v>Amazon</v>
      </c>
    </row>
    <row r="2229">
      <c r="A2229" s="23">
        <f>IFERROR(__xludf.DUMMYFUNCTION("""COMPUTED_VALUE"""),44905.67177483796)</f>
        <v>44905.67177</v>
      </c>
      <c r="B2229" s="24" t="str">
        <f>IFERROR(__xludf.DUMMYFUNCTION("""COMPUTED_VALUE"""),"JUANITA Chandler ")</f>
        <v>JUANITA Chandler </v>
      </c>
      <c r="C2229" s="24">
        <f>IFERROR(__xludf.DUMMYFUNCTION("""COMPUTED_VALUE"""),53.0)</f>
        <v>53</v>
      </c>
      <c r="D2229" s="24" t="str">
        <f>IFERROR(__xludf.DUMMYFUNCTION("""COMPUTED_VALUE"""),"Meat [Raw]")</f>
        <v>Meat [Raw]</v>
      </c>
      <c r="F2229" s="23">
        <f>IFERROR(__xludf.DUMMYFUNCTION("""COMPUTED_VALUE"""),44822.651149641206)</f>
        <v>44822.65115</v>
      </c>
      <c r="G2229" s="24" t="str">
        <f>IFERROR(__xludf.DUMMYFUNCTION("""COMPUTED_VALUE"""),"Carla")</f>
        <v>Carla</v>
      </c>
      <c r="H2229" s="24">
        <f>IFERROR(__xludf.DUMMYFUNCTION("""COMPUTED_VALUE"""),20.0)</f>
        <v>20</v>
      </c>
      <c r="I2229" s="24"/>
    </row>
    <row r="2230">
      <c r="A2230" s="23">
        <f>IFERROR(__xludf.DUMMYFUNCTION("""COMPUTED_VALUE"""),44905.67523002315)</f>
        <v>44905.67523</v>
      </c>
      <c r="B2230" s="24" t="str">
        <f>IFERROR(__xludf.DUMMYFUNCTION("""COMPUTED_VALUE"""),"JUANITA Chandler ")</f>
        <v>JUANITA Chandler </v>
      </c>
      <c r="C2230" s="24">
        <f>IFERROR(__xludf.DUMMYFUNCTION("""COMPUTED_VALUE"""),138.0)</f>
        <v>138</v>
      </c>
      <c r="D2230" s="24" t="str">
        <f>IFERROR(__xludf.DUMMYFUNCTION("""COMPUTED_VALUE"""),"Condiments")</f>
        <v>Condiments</v>
      </c>
      <c r="F2230" s="23">
        <f>IFERROR(__xludf.DUMMYFUNCTION("""COMPUTED_VALUE"""),44822.65390680555)</f>
        <v>44822.65391</v>
      </c>
      <c r="G2230" s="24" t="str">
        <f>IFERROR(__xludf.DUMMYFUNCTION("""COMPUTED_VALUE"""),"Opeyemi")</f>
        <v>Opeyemi</v>
      </c>
      <c r="H2230" s="24">
        <f>IFERROR(__xludf.DUMMYFUNCTION("""COMPUTED_VALUE"""),294.0)</f>
        <v>294</v>
      </c>
      <c r="I2230" s="24" t="str">
        <f>IFERROR(__xludf.DUMMYFUNCTION("""COMPUTED_VALUE"""),"Drinks [Dry]")</f>
        <v>Drinks [Dry]</v>
      </c>
    </row>
    <row r="2231">
      <c r="A2231" s="23">
        <f>IFERROR(__xludf.DUMMYFUNCTION("""COMPUTED_VALUE"""),44905.67694052083)</f>
        <v>44905.67694</v>
      </c>
      <c r="B2231" s="24" t="str">
        <f>IFERROR(__xludf.DUMMYFUNCTION("""COMPUTED_VALUE"""),"JUANITA Chandler ")</f>
        <v>JUANITA Chandler </v>
      </c>
      <c r="C2231" s="24">
        <f>IFERROR(__xludf.DUMMYFUNCTION("""COMPUTED_VALUE"""),143.0)</f>
        <v>143</v>
      </c>
      <c r="D2231" s="24" t="str">
        <f>IFERROR(__xludf.DUMMYFUNCTION("""COMPUTED_VALUE"""),"Condiments")</f>
        <v>Condiments</v>
      </c>
      <c r="F2231" s="23">
        <f>IFERROR(__xludf.DUMMYFUNCTION("""COMPUTED_VALUE"""),44822.658176875)</f>
        <v>44822.65818</v>
      </c>
      <c r="G2231" s="24" t="str">
        <f>IFERROR(__xludf.DUMMYFUNCTION("""COMPUTED_VALUE"""),"Opey")</f>
        <v>Opey</v>
      </c>
      <c r="H2231" s="24">
        <f>IFERROR(__xludf.DUMMYFUNCTION("""COMPUTED_VALUE"""),227.0)</f>
        <v>227</v>
      </c>
      <c r="I2231" s="24" t="str">
        <f>IFERROR(__xludf.DUMMYFUNCTION("""COMPUTED_VALUE"""),"Assorted Dry")</f>
        <v>Assorted Dry</v>
      </c>
    </row>
    <row r="2232">
      <c r="A2232" s="23">
        <f>IFERROR(__xludf.DUMMYFUNCTION("""COMPUTED_VALUE"""),44905.67782761574)</f>
        <v>44905.67783</v>
      </c>
      <c r="B2232" s="24" t="str">
        <f>IFERROR(__xludf.DUMMYFUNCTION("""COMPUTED_VALUE"""),"JUANITA Chandler ")</f>
        <v>JUANITA Chandler </v>
      </c>
      <c r="C2232" s="24">
        <f>IFERROR(__xludf.DUMMYFUNCTION("""COMPUTED_VALUE"""),165.0)</f>
        <v>165</v>
      </c>
      <c r="D2232" s="24" t="str">
        <f>IFERROR(__xludf.DUMMYFUNCTION("""COMPUTED_VALUE"""),"Box gift ")</f>
        <v>Box gift </v>
      </c>
      <c r="F2232" s="23">
        <f>IFERROR(__xludf.DUMMYFUNCTION("""COMPUTED_VALUE"""),44822.65858420139)</f>
        <v>44822.65858</v>
      </c>
      <c r="G2232" s="24" t="str">
        <f>IFERROR(__xludf.DUMMYFUNCTION("""COMPUTED_VALUE"""),"Opey")</f>
        <v>Opey</v>
      </c>
      <c r="H2232" s="24">
        <f>IFERROR(__xludf.DUMMYFUNCTION("""COMPUTED_VALUE"""),592.0)</f>
        <v>592</v>
      </c>
      <c r="I2232" s="24" t="str">
        <f>IFERROR(__xludf.DUMMYFUNCTION("""COMPUTED_VALUE"""),"Produce")</f>
        <v>Produce</v>
      </c>
    </row>
    <row r="2233">
      <c r="A2233" s="23">
        <f>IFERROR(__xludf.DUMMYFUNCTION("""COMPUTED_VALUE"""),44905.67849825232)</f>
        <v>44905.6785</v>
      </c>
      <c r="B2233" s="24" t="str">
        <f>IFERROR(__xludf.DUMMYFUNCTION("""COMPUTED_VALUE"""),"JUANITA Chandler ")</f>
        <v>JUANITA Chandler </v>
      </c>
      <c r="C2233" s="24">
        <f>IFERROR(__xludf.DUMMYFUNCTION("""COMPUTED_VALUE"""),479.0)</f>
        <v>479</v>
      </c>
      <c r="D2233" s="24" t="str">
        <f>IFERROR(__xludf.DUMMYFUNCTION("""COMPUTED_VALUE"""),"Condiments")</f>
        <v>Condiments</v>
      </c>
      <c r="F2233" s="23">
        <f>IFERROR(__xludf.DUMMYFUNCTION("""COMPUTED_VALUE"""),44822.65960276621)</f>
        <v>44822.6596</v>
      </c>
      <c r="G2233" s="24" t="str">
        <f>IFERROR(__xludf.DUMMYFUNCTION("""COMPUTED_VALUE"""),"Opey")</f>
        <v>Opey</v>
      </c>
      <c r="H2233" s="24">
        <f>IFERROR(__xludf.DUMMYFUNCTION("""COMPUTED_VALUE"""),78.0)</f>
        <v>78</v>
      </c>
      <c r="I2233" s="24" t="str">
        <f>IFERROR(__xludf.DUMMYFUNCTION("""COMPUTED_VALUE"""),"Snacks")</f>
        <v>Snacks</v>
      </c>
    </row>
    <row r="2234">
      <c r="A2234" s="23">
        <f>IFERROR(__xludf.DUMMYFUNCTION("""COMPUTED_VALUE"""),44905.68079884259)</f>
        <v>44905.6808</v>
      </c>
      <c r="B2234" s="24" t="str">
        <f>IFERROR(__xludf.DUMMYFUNCTION("""COMPUTED_VALUE"""),"Juanita Chandler ")</f>
        <v>Juanita Chandler </v>
      </c>
      <c r="C2234" s="24">
        <f>IFERROR(__xludf.DUMMYFUNCTION("""COMPUTED_VALUE"""),-328.0)</f>
        <v>-328</v>
      </c>
      <c r="D2234" s="24" t="str">
        <f>IFERROR(__xludf.DUMMYFUNCTION("""COMPUTED_VALUE"""),"Snacks")</f>
        <v>Snacks</v>
      </c>
      <c r="F2234" s="23">
        <f>IFERROR(__xludf.DUMMYFUNCTION("""COMPUTED_VALUE"""),44822.65997151621)</f>
        <v>44822.65997</v>
      </c>
      <c r="G2234" s="24" t="str">
        <f>IFERROR(__xludf.DUMMYFUNCTION("""COMPUTED_VALUE"""),"Opey ")</f>
        <v>Opey </v>
      </c>
      <c r="H2234" s="24">
        <f>IFERROR(__xludf.DUMMYFUNCTION("""COMPUTED_VALUE"""),276.0)</f>
        <v>276</v>
      </c>
      <c r="I2234" s="24" t="str">
        <f>IFERROR(__xludf.DUMMYFUNCTION("""COMPUTED_VALUE"""),"Produce")</f>
        <v>Produce</v>
      </c>
    </row>
    <row r="2235">
      <c r="A2235" s="23">
        <f>IFERROR(__xludf.DUMMYFUNCTION("""COMPUTED_VALUE"""),44905.68148633102)</f>
        <v>44905.68149</v>
      </c>
      <c r="B2235" s="24" t="str">
        <f>IFERROR(__xludf.DUMMYFUNCTION("""COMPUTED_VALUE"""),"JUANITA Chandler ")</f>
        <v>JUANITA Chandler </v>
      </c>
      <c r="C2235" s="24">
        <f>IFERROR(__xludf.DUMMYFUNCTION("""COMPUTED_VALUE"""),-76.0)</f>
        <v>-76</v>
      </c>
      <c r="D2235" s="24" t="str">
        <f>IFERROR(__xludf.DUMMYFUNCTION("""COMPUTED_VALUE"""),"Cereal ")</f>
        <v>Cereal </v>
      </c>
      <c r="F2235" s="23">
        <f>IFERROR(__xludf.DUMMYFUNCTION("""COMPUTED_VALUE"""),44822.66035695602)</f>
        <v>44822.66036</v>
      </c>
      <c r="G2235" s="24" t="str">
        <f>IFERROR(__xludf.DUMMYFUNCTION("""COMPUTED_VALUE"""),"Opey")</f>
        <v>Opey</v>
      </c>
      <c r="H2235" s="24">
        <f>IFERROR(__xludf.DUMMYFUNCTION("""COMPUTED_VALUE"""),162.0)</f>
        <v>162</v>
      </c>
      <c r="I2235" s="24" t="str">
        <f>IFERROR(__xludf.DUMMYFUNCTION("""COMPUTED_VALUE"""),"Snacks")</f>
        <v>Snacks</v>
      </c>
    </row>
    <row r="2236">
      <c r="A2236" s="23">
        <f>IFERROR(__xludf.DUMMYFUNCTION("""COMPUTED_VALUE"""),44905.682129085646)</f>
        <v>44905.68213</v>
      </c>
      <c r="B2236" s="24" t="str">
        <f>IFERROR(__xludf.DUMMYFUNCTION("""COMPUTED_VALUE"""),"JUANITA Chandler ")</f>
        <v>JUANITA Chandler </v>
      </c>
      <c r="C2236" s="24">
        <f>IFERROR(__xludf.DUMMYFUNCTION("""COMPUTED_VALUE"""),-221.0)</f>
        <v>-221</v>
      </c>
      <c r="D2236" s="24" t="str">
        <f>IFERROR(__xludf.DUMMYFUNCTION("""COMPUTED_VALUE"""),"Dairy")</f>
        <v>Dairy</v>
      </c>
      <c r="F2236" s="23">
        <f>IFERROR(__xludf.DUMMYFUNCTION("""COMPUTED_VALUE"""),44822.662282731486)</f>
        <v>44822.66228</v>
      </c>
      <c r="G2236" s="24" t="str">
        <f>IFERROR(__xludf.DUMMYFUNCTION("""COMPUTED_VALUE"""),"Opey ")</f>
        <v>Opey </v>
      </c>
      <c r="H2236" s="24">
        <f>IFERROR(__xludf.DUMMYFUNCTION("""COMPUTED_VALUE"""),819.0)</f>
        <v>819</v>
      </c>
      <c r="I2236" s="24" t="str">
        <f>IFERROR(__xludf.DUMMYFUNCTION("""COMPUTED_VALUE"""),"Water")</f>
        <v>Water</v>
      </c>
    </row>
    <row r="2237">
      <c r="A2237" s="23">
        <f>IFERROR(__xludf.DUMMYFUNCTION("""COMPUTED_VALUE"""),44905.68228569444)</f>
        <v>44905.68229</v>
      </c>
      <c r="B2237" s="24" t="str">
        <f>IFERROR(__xludf.DUMMYFUNCTION("""COMPUTED_VALUE"""),"JUANITA Chandler ")</f>
        <v>JUANITA Chandler </v>
      </c>
      <c r="C2237" s="24">
        <f>IFERROR(__xludf.DUMMYFUNCTION("""COMPUTED_VALUE"""),-985.0)</f>
        <v>-985</v>
      </c>
      <c r="D2237" s="24" t="str">
        <f>IFERROR(__xludf.DUMMYFUNCTION("""COMPUTED_VALUE"""),"Dole fruit cup ")</f>
        <v>Dole fruit cup </v>
      </c>
      <c r="F2237" s="23">
        <f>IFERROR(__xludf.DUMMYFUNCTION("""COMPUTED_VALUE"""),44822.662643923606)</f>
        <v>44822.66264</v>
      </c>
      <c r="G2237" s="24" t="str">
        <f>IFERROR(__xludf.DUMMYFUNCTION("""COMPUTED_VALUE"""),"Opey")</f>
        <v>Opey</v>
      </c>
      <c r="H2237" s="24">
        <f>IFERROR(__xludf.DUMMYFUNCTION("""COMPUTED_VALUE"""),72.0)</f>
        <v>72</v>
      </c>
      <c r="I2237" s="24" t="str">
        <f>IFERROR(__xludf.DUMMYFUNCTION("""COMPUTED_VALUE"""),"Personal Care")</f>
        <v>Personal Care</v>
      </c>
    </row>
    <row r="2238">
      <c r="A2238" s="23">
        <f>IFERROR(__xludf.DUMMYFUNCTION("""COMPUTED_VALUE"""),44905.68327780092)</f>
        <v>44905.68328</v>
      </c>
      <c r="B2238" s="24" t="str">
        <f>IFERROR(__xludf.DUMMYFUNCTION("""COMPUTED_VALUE"""),"Juanita Chandler ")</f>
        <v>Juanita Chandler </v>
      </c>
      <c r="C2238" s="24">
        <f>IFERROR(__xludf.DUMMYFUNCTION("""COMPUTED_VALUE"""),-61.0)</f>
        <v>-61</v>
      </c>
      <c r="D2238" s="24" t="str">
        <f>IFERROR(__xludf.DUMMYFUNCTION("""COMPUTED_VALUE"""),"Meat [Raw]")</f>
        <v>Meat [Raw]</v>
      </c>
      <c r="F2238" s="23">
        <f>IFERROR(__xludf.DUMMYFUNCTION("""COMPUTED_VALUE"""),44822.66294138889)</f>
        <v>44822.66294</v>
      </c>
      <c r="G2238" s="24" t="str">
        <f>IFERROR(__xludf.DUMMYFUNCTION("""COMPUTED_VALUE"""),"Denise Rivers")</f>
        <v>Denise Rivers</v>
      </c>
      <c r="H2238" s="24">
        <f>IFERROR(__xludf.DUMMYFUNCTION("""COMPUTED_VALUE"""),18.0)</f>
        <v>18</v>
      </c>
      <c r="I2238" s="24"/>
    </row>
    <row r="2239">
      <c r="A2239" s="23">
        <f>IFERROR(__xludf.DUMMYFUNCTION("""COMPUTED_VALUE"""),44905.68420577546)</f>
        <v>44905.68421</v>
      </c>
      <c r="B2239" s="24" t="str">
        <f>IFERROR(__xludf.DUMMYFUNCTION("""COMPUTED_VALUE"""),"Juanita Chandler ")</f>
        <v>Juanita Chandler </v>
      </c>
      <c r="C2239" s="24">
        <f>IFERROR(__xludf.DUMMYFUNCTION("""COMPUTED_VALUE"""),-86.0)</f>
        <v>-86</v>
      </c>
      <c r="D2239" s="24" t="str">
        <f>IFERROR(__xludf.DUMMYFUNCTION("""COMPUTED_VALUE"""),"Meat [Raw]")</f>
        <v>Meat [Raw]</v>
      </c>
      <c r="F2239" s="23">
        <f>IFERROR(__xludf.DUMMYFUNCTION("""COMPUTED_VALUE"""),44822.66305751158)</f>
        <v>44822.66306</v>
      </c>
      <c r="G2239" s="24" t="str">
        <f>IFERROR(__xludf.DUMMYFUNCTION("""COMPUTED_VALUE"""),"Opey ")</f>
        <v>Opey </v>
      </c>
      <c r="H2239" s="24">
        <f>IFERROR(__xludf.DUMMYFUNCTION("""COMPUTED_VALUE"""),6.0)</f>
        <v>6</v>
      </c>
      <c r="I2239" s="24" t="str">
        <f>IFERROR(__xludf.DUMMYFUNCTION("""COMPUTED_VALUE"""),"Personal Care")</f>
        <v>Personal Care</v>
      </c>
    </row>
    <row r="2240">
      <c r="A2240" s="23">
        <f>IFERROR(__xludf.DUMMYFUNCTION("""COMPUTED_VALUE"""),44905.684644733796)</f>
        <v>44905.68464</v>
      </c>
      <c r="B2240" s="24" t="str">
        <f>IFERROR(__xludf.DUMMYFUNCTION("""COMPUTED_VALUE"""),"JUANITA Chandler ")</f>
        <v>JUANITA Chandler </v>
      </c>
      <c r="C2240" s="24">
        <f>IFERROR(__xludf.DUMMYFUNCTION("""COMPUTED_VALUE"""),-400.0)</f>
        <v>-400</v>
      </c>
      <c r="D2240" s="24" t="str">
        <f>IFERROR(__xludf.DUMMYFUNCTION("""COMPUTED_VALUE"""),"Drinks [Fridge]")</f>
        <v>Drinks [Fridge]</v>
      </c>
      <c r="F2240" s="23">
        <f>IFERROR(__xludf.DUMMYFUNCTION("""COMPUTED_VALUE"""),44822.66328069445)</f>
        <v>44822.66328</v>
      </c>
      <c r="G2240" s="24" t="str">
        <f>IFERROR(__xludf.DUMMYFUNCTION("""COMPUTED_VALUE"""),"Denise Rivers")</f>
        <v>Denise Rivers</v>
      </c>
      <c r="H2240" s="24">
        <f>IFERROR(__xludf.DUMMYFUNCTION("""COMPUTED_VALUE"""),25.0)</f>
        <v>25</v>
      </c>
      <c r="I2240" s="24"/>
    </row>
    <row r="2241">
      <c r="A2241" s="23">
        <f>IFERROR(__xludf.DUMMYFUNCTION("""COMPUTED_VALUE"""),44905.68553689815)</f>
        <v>44905.68554</v>
      </c>
      <c r="B2241" s="24" t="str">
        <f>IFERROR(__xludf.DUMMYFUNCTION("""COMPUTED_VALUE"""),"JUANITA Chandler ")</f>
        <v>JUANITA Chandler </v>
      </c>
      <c r="C2241" s="24">
        <f>IFERROR(__xludf.DUMMYFUNCTION("""COMPUTED_VALUE"""),-158.0)</f>
        <v>-158</v>
      </c>
      <c r="D2241" s="24" t="str">
        <f>IFERROR(__xludf.DUMMYFUNCTION("""COMPUTED_VALUE"""),"Gift Box ")</f>
        <v>Gift Box </v>
      </c>
      <c r="F2241" s="23">
        <f>IFERROR(__xludf.DUMMYFUNCTION("""COMPUTED_VALUE"""),44822.66351060185)</f>
        <v>44822.66351</v>
      </c>
      <c r="G2241" s="24" t="str">
        <f>IFERROR(__xludf.DUMMYFUNCTION("""COMPUTED_VALUE"""),"Opey ")</f>
        <v>Opey </v>
      </c>
      <c r="H2241" s="24">
        <f>IFERROR(__xludf.DUMMYFUNCTION("""COMPUTED_VALUE"""),135.0)</f>
        <v>135</v>
      </c>
      <c r="I2241" s="24" t="str">
        <f>IFERROR(__xludf.DUMMYFUNCTION("""COMPUTED_VALUE"""),"Assorted Dry")</f>
        <v>Assorted Dry</v>
      </c>
    </row>
    <row r="2242">
      <c r="A2242" s="23">
        <f>IFERROR(__xludf.DUMMYFUNCTION("""COMPUTED_VALUE"""),44906.61819783564)</f>
        <v>44906.6182</v>
      </c>
      <c r="B2242" s="24" t="str">
        <f>IFERROR(__xludf.DUMMYFUNCTION("""COMPUTED_VALUE"""),"Juanita Chandler ")</f>
        <v>Juanita Chandler </v>
      </c>
      <c r="C2242" s="24">
        <f>IFERROR(__xludf.DUMMYFUNCTION("""COMPUTED_VALUE"""),242.0)</f>
        <v>242</v>
      </c>
      <c r="D2242" s="24" t="str">
        <f>IFERROR(__xludf.DUMMYFUNCTION("""COMPUTED_VALUE"""),"Frozen and assorted ")</f>
        <v>Frozen and assorted </v>
      </c>
      <c r="F2242" s="23">
        <f>IFERROR(__xludf.DUMMYFUNCTION("""COMPUTED_VALUE"""),44822.66438637731)</f>
        <v>44822.66439</v>
      </c>
      <c r="G2242" s="24" t="str">
        <f>IFERROR(__xludf.DUMMYFUNCTION("""COMPUTED_VALUE"""),"Opey")</f>
        <v>Opey</v>
      </c>
      <c r="H2242" s="24">
        <f>IFERROR(__xludf.DUMMYFUNCTION("""COMPUTED_VALUE"""),63.0)</f>
        <v>63</v>
      </c>
      <c r="I2242" s="24" t="str">
        <f>IFERROR(__xludf.DUMMYFUNCTION("""COMPUTED_VALUE"""),"Cleaning Supplies")</f>
        <v>Cleaning Supplies</v>
      </c>
    </row>
    <row r="2243">
      <c r="A2243" s="23">
        <f>IFERROR(__xludf.DUMMYFUNCTION("""COMPUTED_VALUE"""),44906.61916097222)</f>
        <v>44906.61916</v>
      </c>
      <c r="B2243" s="24" t="str">
        <f>IFERROR(__xludf.DUMMYFUNCTION("""COMPUTED_VALUE"""),"JUANITA Chandler ")</f>
        <v>JUANITA Chandler </v>
      </c>
      <c r="C2243" s="24">
        <f>IFERROR(__xludf.DUMMYFUNCTION("""COMPUTED_VALUE"""),216.0)</f>
        <v>216</v>
      </c>
      <c r="D2243" s="24" t="str">
        <f>IFERROR(__xludf.DUMMYFUNCTION("""COMPUTED_VALUE"""),"Assorted Fridge")</f>
        <v>Assorted Fridge</v>
      </c>
      <c r="F2243" s="23">
        <f>IFERROR(__xludf.DUMMYFUNCTION("""COMPUTED_VALUE"""),44822.66543626157)</f>
        <v>44822.66544</v>
      </c>
      <c r="G2243" s="24" t="str">
        <f>IFERROR(__xludf.DUMMYFUNCTION("""COMPUTED_VALUE"""),"Kate Weeks")</f>
        <v>Kate Weeks</v>
      </c>
      <c r="H2243" s="24">
        <f>IFERROR(__xludf.DUMMYFUNCTION("""COMPUTED_VALUE"""),20.0)</f>
        <v>20</v>
      </c>
      <c r="I2243" s="24"/>
    </row>
    <row r="2244">
      <c r="A2244" s="23">
        <f>IFERROR(__xludf.DUMMYFUNCTION("""COMPUTED_VALUE"""),44906.621317233796)</f>
        <v>44906.62132</v>
      </c>
      <c r="B2244" s="24" t="str">
        <f>IFERROR(__xludf.DUMMYFUNCTION("""COMPUTED_VALUE"""),"JUANITA Chandler ")</f>
        <v>JUANITA Chandler </v>
      </c>
      <c r="C2244" s="24">
        <f>IFERROR(__xludf.DUMMYFUNCTION("""COMPUTED_VALUE"""),236.0)</f>
        <v>236</v>
      </c>
      <c r="D2244" s="24" t="str">
        <f>IFERROR(__xludf.DUMMYFUNCTION("""COMPUTED_VALUE"""),"Assorted Dry")</f>
        <v>Assorted Dry</v>
      </c>
      <c r="F2244" s="23">
        <f>IFERROR(__xludf.DUMMYFUNCTION("""COMPUTED_VALUE"""),44822.66788549769)</f>
        <v>44822.66789</v>
      </c>
      <c r="G2244" s="24" t="str">
        <f>IFERROR(__xludf.DUMMYFUNCTION("""COMPUTED_VALUE"""),"Opey")</f>
        <v>Opey</v>
      </c>
      <c r="H2244" s="24">
        <f>IFERROR(__xludf.DUMMYFUNCTION("""COMPUTED_VALUE"""),823.0)</f>
        <v>823</v>
      </c>
      <c r="I2244" s="24" t="str">
        <f>IFERROR(__xludf.DUMMYFUNCTION("""COMPUTED_VALUE"""),"Assorted dry and fridge ")</f>
        <v>Assorted dry and fridge </v>
      </c>
    </row>
    <row r="2245">
      <c r="A2245" s="23">
        <f>IFERROR(__xludf.DUMMYFUNCTION("""COMPUTED_VALUE"""),44906.62223412037)</f>
        <v>44906.62223</v>
      </c>
      <c r="B2245" s="24" t="str">
        <f>IFERROR(__xludf.DUMMYFUNCTION("""COMPUTED_VALUE"""),"JUANITA Chandler ")</f>
        <v>JUANITA Chandler </v>
      </c>
      <c r="C2245" s="24">
        <f>IFERROR(__xludf.DUMMYFUNCTION("""COMPUTED_VALUE"""),215.0)</f>
        <v>215</v>
      </c>
      <c r="D2245" s="24" t="str">
        <f>IFERROR(__xludf.DUMMYFUNCTION("""COMPUTED_VALUE"""),"Assorted Dry")</f>
        <v>Assorted Dry</v>
      </c>
      <c r="F2245" s="23">
        <f>IFERROR(__xludf.DUMMYFUNCTION("""COMPUTED_VALUE"""),44822.67341038195)</f>
        <v>44822.67341</v>
      </c>
      <c r="G2245" s="24" t="str">
        <f>IFERROR(__xludf.DUMMYFUNCTION("""COMPUTED_VALUE"""),"Opey")</f>
        <v>Opey</v>
      </c>
      <c r="H2245" s="24">
        <f>IFERROR(__xludf.DUMMYFUNCTION("""COMPUTED_VALUE"""),13.0)</f>
        <v>13</v>
      </c>
      <c r="I2245" s="24"/>
    </row>
    <row r="2246">
      <c r="A2246" s="23">
        <f>IFERROR(__xludf.DUMMYFUNCTION("""COMPUTED_VALUE"""),44906.68071814815)</f>
        <v>44906.68072</v>
      </c>
      <c r="B2246" s="24" t="str">
        <f>IFERROR(__xludf.DUMMYFUNCTION("""COMPUTED_VALUE"""),"Zoe")</f>
        <v>Zoe</v>
      </c>
      <c r="C2246" s="24">
        <f>IFERROR(__xludf.DUMMYFUNCTION("""COMPUTED_VALUE"""),1268.0)</f>
        <v>1268</v>
      </c>
      <c r="D2246" s="24" t="str">
        <f>IFERROR(__xludf.DUMMYFUNCTION("""COMPUTED_VALUE"""),"Assorted Fridge")</f>
        <v>Assorted Fridge</v>
      </c>
      <c r="F2246" s="23">
        <f>IFERROR(__xludf.DUMMYFUNCTION("""COMPUTED_VALUE"""),44822.67376943287)</f>
        <v>44822.67377</v>
      </c>
      <c r="G2246" s="24" t="str">
        <f>IFERROR(__xludf.DUMMYFUNCTION("""COMPUTED_VALUE"""),"Zoe")</f>
        <v>Zoe</v>
      </c>
      <c r="H2246" s="24">
        <f>IFERROR(__xludf.DUMMYFUNCTION("""COMPUTED_VALUE"""),14.0)</f>
        <v>14</v>
      </c>
      <c r="I2246" s="24"/>
    </row>
    <row r="2247">
      <c r="A2247" s="23">
        <f>IFERROR(__xludf.DUMMYFUNCTION("""COMPUTED_VALUE"""),44909.59624086806)</f>
        <v>44909.59624</v>
      </c>
      <c r="B2247" s="24" t="str">
        <f>IFERROR(__xludf.DUMMYFUNCTION("""COMPUTED_VALUE"""),"Jean")</f>
        <v>Jean</v>
      </c>
      <c r="C2247" s="24">
        <f>IFERROR(__xludf.DUMMYFUNCTION("""COMPUTED_VALUE"""),371.0)</f>
        <v>371</v>
      </c>
      <c r="D2247" s="24" t="str">
        <f>IFERROR(__xludf.DUMMYFUNCTION("""COMPUTED_VALUE"""),"Dole fruitcups")</f>
        <v>Dole fruitcups</v>
      </c>
      <c r="F2247" s="23">
        <f>IFERROR(__xludf.DUMMYFUNCTION("""COMPUTED_VALUE"""),44822.6750106713)</f>
        <v>44822.67501</v>
      </c>
      <c r="G2247" s="24" t="str">
        <f>IFERROR(__xludf.DUMMYFUNCTION("""COMPUTED_VALUE"""),"Dorja ")</f>
        <v>Dorja </v>
      </c>
      <c r="H2247" s="24">
        <f>IFERROR(__xludf.DUMMYFUNCTION("""COMPUTED_VALUE"""),28.0)</f>
        <v>28</v>
      </c>
      <c r="I2247" s="24"/>
    </row>
    <row r="2248">
      <c r="A2248" s="23">
        <f>IFERROR(__xludf.DUMMYFUNCTION("""COMPUTED_VALUE"""),44911.57219407408)</f>
        <v>44911.57219</v>
      </c>
      <c r="B2248" s="24" t="str">
        <f>IFERROR(__xludf.DUMMYFUNCTION("""COMPUTED_VALUE"""),"JUANITA Chandler ")</f>
        <v>JUANITA Chandler </v>
      </c>
      <c r="C2248" s="24">
        <f>IFERROR(__xludf.DUMMYFUNCTION("""COMPUTED_VALUE"""),102.0)</f>
        <v>102</v>
      </c>
      <c r="D2248" s="24" t="str">
        <f>IFERROR(__xludf.DUMMYFUNCTION("""COMPUTED_VALUE"""),"COATS ")</f>
        <v>COATS </v>
      </c>
      <c r="F2248" s="23">
        <f>IFERROR(__xludf.DUMMYFUNCTION("""COMPUTED_VALUE"""),44822.942274548615)</f>
        <v>44822.94227</v>
      </c>
      <c r="G2248" s="24" t="str">
        <f>IFERROR(__xludf.DUMMYFUNCTION("""COMPUTED_VALUE"""),"Dorja ")</f>
        <v>Dorja </v>
      </c>
      <c r="H2248" s="24">
        <f>IFERROR(__xludf.DUMMYFUNCTION("""COMPUTED_VALUE"""),31.0)</f>
        <v>31</v>
      </c>
      <c r="I2248" s="24"/>
    </row>
    <row r="2249">
      <c r="A2249" s="23">
        <f>IFERROR(__xludf.DUMMYFUNCTION("""COMPUTED_VALUE"""),44911.57410351852)</f>
        <v>44911.5741</v>
      </c>
      <c r="B2249" s="24" t="str">
        <f>IFERROR(__xludf.DUMMYFUNCTION("""COMPUTED_VALUE"""),"JUANITA Chandler ")</f>
        <v>JUANITA Chandler </v>
      </c>
      <c r="C2249" s="24">
        <f>IFERROR(__xludf.DUMMYFUNCTION("""COMPUTED_VALUE"""),258.0)</f>
        <v>258</v>
      </c>
      <c r="D2249" s="24" t="str">
        <f>IFERROR(__xludf.DUMMYFUNCTION("""COMPUTED_VALUE"""),"Assorted item  BOXES ")</f>
        <v>Assorted item  BOXES </v>
      </c>
      <c r="F2249" s="23">
        <f>IFERROR(__xludf.DUMMYFUNCTION("""COMPUTED_VALUE"""),44824.0)</f>
        <v>44824</v>
      </c>
      <c r="G2249" s="24" t="str">
        <f>IFERROR(__xludf.DUMMYFUNCTION("""COMPUTED_VALUE"""),"Beverly Pinn")</f>
        <v>Beverly Pinn</v>
      </c>
      <c r="H2249" s="24">
        <f>IFERROR(__xludf.DUMMYFUNCTION("""COMPUTED_VALUE"""),33.0)</f>
        <v>33</v>
      </c>
      <c r="I2249" s="24" t="str">
        <f>IFERROR(__xludf.DUMMYFUNCTION("""COMPUTED_VALUE"""),"STEAM toys")</f>
        <v>STEAM toys</v>
      </c>
    </row>
    <row r="2250">
      <c r="A2250" s="23">
        <f>IFERROR(__xludf.DUMMYFUNCTION("""COMPUTED_VALUE"""),44911.575011076384)</f>
        <v>44911.57501</v>
      </c>
      <c r="B2250" s="24" t="str">
        <f>IFERROR(__xludf.DUMMYFUNCTION("""COMPUTED_VALUE"""),"JUANITA Chandler ")</f>
        <v>JUANITA Chandler </v>
      </c>
      <c r="C2250" s="24">
        <f>IFERROR(__xludf.DUMMYFUNCTION("""COMPUTED_VALUE"""),576.0)</f>
        <v>576</v>
      </c>
      <c r="D2250" s="24" t="str">
        <f>IFERROR(__xludf.DUMMYFUNCTION("""COMPUTED_VALUE"""),"Assorted item BOXES ")</f>
        <v>Assorted item BOXES </v>
      </c>
      <c r="F2250" s="23">
        <f>IFERROR(__xludf.DUMMYFUNCTION("""COMPUTED_VALUE"""),44824.0)</f>
        <v>44824</v>
      </c>
      <c r="G2250" s="24" t="str">
        <f>IFERROR(__xludf.DUMMYFUNCTION("""COMPUTED_VALUE"""),"Doris Parker tuggle")</f>
        <v>Doris Parker tuggle</v>
      </c>
      <c r="H2250" s="24">
        <f>IFERROR(__xludf.DUMMYFUNCTION("""COMPUTED_VALUE"""),15.0)</f>
        <v>15</v>
      </c>
      <c r="I2250" s="24"/>
    </row>
    <row r="2251">
      <c r="A2251" s="23">
        <f>IFERROR(__xludf.DUMMYFUNCTION("""COMPUTED_VALUE"""),44911.575873298614)</f>
        <v>44911.57587</v>
      </c>
      <c r="B2251" s="24" t="str">
        <f>IFERROR(__xludf.DUMMYFUNCTION("""COMPUTED_VALUE"""),"JUANITA Chandler ")</f>
        <v>JUANITA Chandler </v>
      </c>
      <c r="C2251" s="24">
        <f>IFERROR(__xludf.DUMMYFUNCTION("""COMPUTED_VALUE"""),641.0)</f>
        <v>641</v>
      </c>
      <c r="D2251" s="24" t="str">
        <f>IFERROR(__xludf.DUMMYFUNCTION("""COMPUTED_VALUE"""),"Assorted item BOXES ")</f>
        <v>Assorted item BOXES </v>
      </c>
      <c r="F2251" s="23">
        <f>IFERROR(__xludf.DUMMYFUNCTION("""COMPUTED_VALUE"""),44824.0)</f>
        <v>44824</v>
      </c>
      <c r="G2251" s="24" t="str">
        <f>IFERROR(__xludf.DUMMYFUNCTION("""COMPUTED_VALUE"""),"Doris Parker tuggle")</f>
        <v>Doris Parker tuggle</v>
      </c>
      <c r="H2251" s="24">
        <f>IFERROR(__xludf.DUMMYFUNCTION("""COMPUTED_VALUE"""),1.0)</f>
        <v>1</v>
      </c>
      <c r="I2251" s="24"/>
    </row>
    <row r="2252">
      <c r="A2252" s="23">
        <f>IFERROR(__xludf.DUMMYFUNCTION("""COMPUTED_VALUE"""),44911.57653737269)</f>
        <v>44911.57654</v>
      </c>
      <c r="B2252" s="24" t="str">
        <f>IFERROR(__xludf.DUMMYFUNCTION("""COMPUTED_VALUE"""),"JUANITA Chandler ")</f>
        <v>JUANITA Chandler </v>
      </c>
      <c r="C2252" s="24">
        <f>IFERROR(__xludf.DUMMYFUNCTION("""COMPUTED_VALUE"""),603.0)</f>
        <v>603</v>
      </c>
      <c r="D2252" s="24" t="str">
        <f>IFERROR(__xludf.DUMMYFUNCTION("""COMPUTED_VALUE"""),"Assorted item BOXES ")</f>
        <v>Assorted item BOXES </v>
      </c>
      <c r="F2252" s="23">
        <f>IFERROR(__xludf.DUMMYFUNCTION("""COMPUTED_VALUE"""),44824.0)</f>
        <v>44824</v>
      </c>
      <c r="G2252" s="24" t="str">
        <f>IFERROR(__xludf.DUMMYFUNCTION("""COMPUTED_VALUE"""),"Barbara Jordan")</f>
        <v>Barbara Jordan</v>
      </c>
      <c r="H2252" s="24">
        <f>IFERROR(__xludf.DUMMYFUNCTION("""COMPUTED_VALUE"""),12.0)</f>
        <v>12</v>
      </c>
      <c r="I2252" s="24"/>
    </row>
    <row r="2253">
      <c r="A2253" s="23">
        <f>IFERROR(__xludf.DUMMYFUNCTION("""COMPUTED_VALUE"""),44911.578157974545)</f>
        <v>44911.57816</v>
      </c>
      <c r="B2253" s="24" t="str">
        <f>IFERROR(__xludf.DUMMYFUNCTION("""COMPUTED_VALUE"""),"JUANITA Chandler ")</f>
        <v>JUANITA Chandler </v>
      </c>
      <c r="C2253" s="24">
        <f>IFERROR(__xludf.DUMMYFUNCTION("""COMPUTED_VALUE"""),716.0)</f>
        <v>716</v>
      </c>
      <c r="D2253" s="24" t="str">
        <f>IFERROR(__xludf.DUMMYFUNCTION("""COMPUTED_VALUE"""),"Assorted item BOXES ")</f>
        <v>Assorted item BOXES </v>
      </c>
      <c r="F2253" s="23">
        <f>IFERROR(__xludf.DUMMYFUNCTION("""COMPUTED_VALUE"""),44824.0)</f>
        <v>44824</v>
      </c>
      <c r="G2253" s="24" t="str">
        <f>IFERROR(__xludf.DUMMYFUNCTION("""COMPUTED_VALUE"""),"Barbara Jordan")</f>
        <v>Barbara Jordan</v>
      </c>
      <c r="H2253" s="24">
        <f>IFERROR(__xludf.DUMMYFUNCTION("""COMPUTED_VALUE"""),3.0)</f>
        <v>3</v>
      </c>
      <c r="I2253" s="24"/>
    </row>
    <row r="2254">
      <c r="A2254" s="23">
        <f>IFERROR(__xludf.DUMMYFUNCTION("""COMPUTED_VALUE"""),44911.57885952546)</f>
        <v>44911.57886</v>
      </c>
      <c r="B2254" s="24" t="str">
        <f>IFERROR(__xludf.DUMMYFUNCTION("""COMPUTED_VALUE"""),"JUANITA Chandler ")</f>
        <v>JUANITA Chandler </v>
      </c>
      <c r="C2254" s="24">
        <f>IFERROR(__xludf.DUMMYFUNCTION("""COMPUTED_VALUE"""),799.0)</f>
        <v>799</v>
      </c>
      <c r="D2254" s="24" t="str">
        <f>IFERROR(__xludf.DUMMYFUNCTION("""COMPUTED_VALUE"""),"DOLE Fruit Cup ")</f>
        <v>DOLE Fruit Cup </v>
      </c>
      <c r="F2254" s="23">
        <f>IFERROR(__xludf.DUMMYFUNCTION("""COMPUTED_VALUE"""),44824.0)</f>
        <v>44824</v>
      </c>
      <c r="G2254" s="24" t="str">
        <f>IFERROR(__xludf.DUMMYFUNCTION("""COMPUTED_VALUE"""),"Hong Xue")</f>
        <v>Hong Xue</v>
      </c>
      <c r="H2254" s="24">
        <f>IFERROR(__xludf.DUMMYFUNCTION("""COMPUTED_VALUE"""),20.0)</f>
        <v>20</v>
      </c>
      <c r="I2254" s="24"/>
    </row>
    <row r="2255">
      <c r="A2255" s="23">
        <f>IFERROR(__xludf.DUMMYFUNCTION("""COMPUTED_VALUE"""),44911.57945538195)</f>
        <v>44911.57946</v>
      </c>
      <c r="B2255" s="24" t="str">
        <f>IFERROR(__xludf.DUMMYFUNCTION("""COMPUTED_VALUE"""),"JUANITA Chandler ")</f>
        <v>JUANITA Chandler </v>
      </c>
      <c r="C2255" s="24">
        <f>IFERROR(__xludf.DUMMYFUNCTION("""COMPUTED_VALUE"""),1056.0)</f>
        <v>1056</v>
      </c>
      <c r="D2255" s="24" t="str">
        <f>IFERROR(__xludf.DUMMYFUNCTION("""COMPUTED_VALUE"""),"DOLE Fruit Cup ")</f>
        <v>DOLE Fruit Cup </v>
      </c>
      <c r="F2255" s="23">
        <f>IFERROR(__xludf.DUMMYFUNCTION("""COMPUTED_VALUE"""),44824.0)</f>
        <v>44824</v>
      </c>
      <c r="G2255" s="24" t="str">
        <f>IFERROR(__xludf.DUMMYFUNCTION("""COMPUTED_VALUE"""),"Hong Xue")</f>
        <v>Hong Xue</v>
      </c>
      <c r="H2255" s="24">
        <f>IFERROR(__xludf.DUMMYFUNCTION("""COMPUTED_VALUE"""),5.0)</f>
        <v>5</v>
      </c>
      <c r="I2255" s="24"/>
    </row>
    <row r="2256">
      <c r="A2256" s="23">
        <f>IFERROR(__xludf.DUMMYFUNCTION("""COMPUTED_VALUE"""),44911.630660925926)</f>
        <v>44911.63066</v>
      </c>
      <c r="B2256" s="24" t="str">
        <f>IFERROR(__xludf.DUMMYFUNCTION("""COMPUTED_VALUE"""),"JUANITA Chandler ")</f>
        <v>JUANITA Chandler </v>
      </c>
      <c r="C2256" s="24">
        <f>IFERROR(__xludf.DUMMYFUNCTION("""COMPUTED_VALUE"""),665.0)</f>
        <v>665</v>
      </c>
      <c r="D2256" s="24" t="str">
        <f>IFERROR(__xludf.DUMMYFUNCTION("""COMPUTED_VALUE"""),"Frozen [Not Meat]")</f>
        <v>Frozen [Not Meat]</v>
      </c>
      <c r="F2256" s="23">
        <f>IFERROR(__xludf.DUMMYFUNCTION("""COMPUTED_VALUE"""),44824.0)</f>
        <v>44824</v>
      </c>
      <c r="G2256" s="24" t="str">
        <f>IFERROR(__xludf.DUMMYFUNCTION("""COMPUTED_VALUE"""),"Kaneesha Bailey")</f>
        <v>Kaneesha Bailey</v>
      </c>
      <c r="H2256" s="24">
        <f>IFERROR(__xludf.DUMMYFUNCTION("""COMPUTED_VALUE"""),20.0)</f>
        <v>20</v>
      </c>
      <c r="I2256" s="24"/>
    </row>
    <row r="2257">
      <c r="A2257" s="23">
        <f>IFERROR(__xludf.DUMMYFUNCTION("""COMPUTED_VALUE"""),44911.631339398155)</f>
        <v>44911.63134</v>
      </c>
      <c r="B2257" s="24" t="str">
        <f>IFERROR(__xludf.DUMMYFUNCTION("""COMPUTED_VALUE"""),"JUANITA Chandler ")</f>
        <v>JUANITA Chandler </v>
      </c>
      <c r="C2257" s="24">
        <f>IFERROR(__xludf.DUMMYFUNCTION("""COMPUTED_VALUE"""),367.0)</f>
        <v>367</v>
      </c>
      <c r="D2257" s="24" t="str">
        <f>IFERROR(__xludf.DUMMYFUNCTION("""COMPUTED_VALUE"""),"Frozen [Not Meat]")</f>
        <v>Frozen [Not Meat]</v>
      </c>
      <c r="F2257" s="23">
        <f>IFERROR(__xludf.DUMMYFUNCTION("""COMPUTED_VALUE"""),44824.0)</f>
        <v>44824</v>
      </c>
      <c r="G2257" s="24" t="str">
        <f>IFERROR(__xludf.DUMMYFUNCTION("""COMPUTED_VALUE"""),"Kaneesha Bailey")</f>
        <v>Kaneesha Bailey</v>
      </c>
      <c r="H2257" s="24">
        <f>IFERROR(__xludf.DUMMYFUNCTION("""COMPUTED_VALUE"""),9.0)</f>
        <v>9</v>
      </c>
      <c r="I2257" s="24"/>
    </row>
    <row r="2258">
      <c r="A2258" s="23">
        <f>IFERROR(__xludf.DUMMYFUNCTION("""COMPUTED_VALUE"""),44911.632624826394)</f>
        <v>44911.63262</v>
      </c>
      <c r="B2258" s="24" t="str">
        <f>IFERROR(__xludf.DUMMYFUNCTION("""COMPUTED_VALUE"""),"JUANITA Chandler ")</f>
        <v>JUANITA Chandler </v>
      </c>
      <c r="C2258" s="24">
        <f>IFERROR(__xludf.DUMMYFUNCTION("""COMPUTED_VALUE"""),86.0)</f>
        <v>86</v>
      </c>
      <c r="D2258" s="24" t="str">
        <f>IFERROR(__xludf.DUMMYFUNCTION("""COMPUTED_VALUE"""),"Meat [Raw]")</f>
        <v>Meat [Raw]</v>
      </c>
      <c r="F2258" s="23">
        <f>IFERROR(__xludf.DUMMYFUNCTION("""COMPUTED_VALUE"""),44824.69013449074)</f>
        <v>44824.69013</v>
      </c>
      <c r="G2258" s="24" t="str">
        <f>IFERROR(__xludf.DUMMYFUNCTION("""COMPUTED_VALUE"""),"Romaine Bouldin ")</f>
        <v>Romaine Bouldin </v>
      </c>
      <c r="H2258" s="24">
        <f>IFERROR(__xludf.DUMMYFUNCTION("""COMPUTED_VALUE"""),9.0)</f>
        <v>9</v>
      </c>
      <c r="I2258" s="24"/>
    </row>
    <row r="2259">
      <c r="A2259" s="23">
        <f>IFERROR(__xludf.DUMMYFUNCTION("""COMPUTED_VALUE"""),44911.6346396412)</f>
        <v>44911.63464</v>
      </c>
      <c r="B2259" s="24" t="str">
        <f>IFERROR(__xludf.DUMMYFUNCTION("""COMPUTED_VALUE"""),"JUANITA Chandler ")</f>
        <v>JUANITA Chandler </v>
      </c>
      <c r="C2259" s="24">
        <f>IFERROR(__xludf.DUMMYFUNCTION("""COMPUTED_VALUE"""),954.0)</f>
        <v>954</v>
      </c>
      <c r="D2259" s="24" t="str">
        <f>IFERROR(__xludf.DUMMYFUNCTION("""COMPUTED_VALUE"""),"Assorted item BOXES ")</f>
        <v>Assorted item BOXES </v>
      </c>
      <c r="F2259" s="23">
        <f>IFERROR(__xludf.DUMMYFUNCTION("""COMPUTED_VALUE"""),44824.69177182871)</f>
        <v>44824.69177</v>
      </c>
      <c r="G2259" s="24" t="str">
        <f>IFERROR(__xludf.DUMMYFUNCTION("""COMPUTED_VALUE"""),"Beverly Graham ")</f>
        <v>Beverly Graham </v>
      </c>
      <c r="H2259" s="24">
        <f>IFERROR(__xludf.DUMMYFUNCTION("""COMPUTED_VALUE"""),13.0)</f>
        <v>13</v>
      </c>
      <c r="I2259" s="24"/>
    </row>
    <row r="2260">
      <c r="A2260" s="23">
        <f>IFERROR(__xludf.DUMMYFUNCTION("""COMPUTED_VALUE"""),44911.70311150463)</f>
        <v>44911.70311</v>
      </c>
      <c r="B2260" s="24" t="str">
        <f>IFERROR(__xludf.DUMMYFUNCTION("""COMPUTED_VALUE"""),"Beth Torres")</f>
        <v>Beth Torres</v>
      </c>
      <c r="C2260" s="24">
        <f>IFERROR(__xludf.DUMMYFUNCTION("""COMPUTED_VALUE"""),16.0)</f>
        <v>16</v>
      </c>
      <c r="D2260" s="24" t="str">
        <f>IFERROR(__xludf.DUMMYFUNCTION("""COMPUTED_VALUE"""),"Personal Care")</f>
        <v>Personal Care</v>
      </c>
      <c r="F2260" s="23">
        <f>IFERROR(__xludf.DUMMYFUNCTION("""COMPUTED_VALUE"""),44824.69281353009)</f>
        <v>44824.69281</v>
      </c>
      <c r="G2260" s="24" t="str">
        <f>IFERROR(__xludf.DUMMYFUNCTION("""COMPUTED_VALUE"""),"Jean")</f>
        <v>Jean</v>
      </c>
      <c r="H2260" s="24">
        <f>IFERROR(__xludf.DUMMYFUNCTION("""COMPUTED_VALUE"""),14.0)</f>
        <v>14</v>
      </c>
      <c r="I2260" s="24"/>
    </row>
    <row r="2261">
      <c r="A2261" s="23">
        <f>IFERROR(__xludf.DUMMYFUNCTION("""COMPUTED_VALUE"""),44911.71032975694)</f>
        <v>44911.71033</v>
      </c>
      <c r="B2261" s="24" t="str">
        <f>IFERROR(__xludf.DUMMYFUNCTION("""COMPUTED_VALUE"""),"Sunita pathik")</f>
        <v>Sunita pathik</v>
      </c>
      <c r="C2261" s="24">
        <f>IFERROR(__xludf.DUMMYFUNCTION("""COMPUTED_VALUE"""),147.0)</f>
        <v>147</v>
      </c>
      <c r="D2261" s="24" t="str">
        <f>IFERROR(__xludf.DUMMYFUNCTION("""COMPUTED_VALUE"""),"Assorted Fridge")</f>
        <v>Assorted Fridge</v>
      </c>
      <c r="F2261" s="23">
        <f>IFERROR(__xludf.DUMMYFUNCTION("""COMPUTED_VALUE"""),44824.693256886574)</f>
        <v>44824.69326</v>
      </c>
      <c r="G2261" s="24" t="str">
        <f>IFERROR(__xludf.DUMMYFUNCTION("""COMPUTED_VALUE"""),"Jjean.     Extra")</f>
        <v>Jjean.     Extra</v>
      </c>
      <c r="H2261" s="24">
        <f>IFERROR(__xludf.DUMMYFUNCTION("""COMPUTED_VALUE"""),5.0)</f>
        <v>5</v>
      </c>
      <c r="I2261" s="24"/>
    </row>
    <row r="2262">
      <c r="A2262" s="23">
        <f>IFERROR(__xludf.DUMMYFUNCTION("""COMPUTED_VALUE"""),44913.60756612269)</f>
        <v>44913.60757</v>
      </c>
      <c r="B2262" s="24" t="str">
        <f>IFERROR(__xludf.DUMMYFUNCTION("""COMPUTED_VALUE"""),"JUANITA Chandler ")</f>
        <v>JUANITA Chandler </v>
      </c>
      <c r="C2262" s="24">
        <f>IFERROR(__xludf.DUMMYFUNCTION("""COMPUTED_VALUE"""),93.0)</f>
        <v>93</v>
      </c>
      <c r="D2262" s="24" t="str">
        <f>IFERROR(__xludf.DUMMYFUNCTION("""COMPUTED_VALUE"""),"Gift Boxes")</f>
        <v>Gift Boxes</v>
      </c>
      <c r="F2262" s="23">
        <f>IFERROR(__xludf.DUMMYFUNCTION("""COMPUTED_VALUE"""),44824.69355393518)</f>
        <v>44824.69355</v>
      </c>
      <c r="G2262" s="24" t="str">
        <f>IFERROR(__xludf.DUMMYFUNCTION("""COMPUTED_VALUE"""),"Kaneesha")</f>
        <v>Kaneesha</v>
      </c>
      <c r="H2262" s="24">
        <f>IFERROR(__xludf.DUMMYFUNCTION("""COMPUTED_VALUE"""),20.0)</f>
        <v>20</v>
      </c>
      <c r="I2262" s="24"/>
    </row>
    <row r="2263">
      <c r="A2263" s="23">
        <f>IFERROR(__xludf.DUMMYFUNCTION("""COMPUTED_VALUE"""),44913.60807805556)</f>
        <v>44913.60808</v>
      </c>
      <c r="B2263" s="24" t="str">
        <f>IFERROR(__xludf.DUMMYFUNCTION("""COMPUTED_VALUE"""),"JUANITA Chandler ")</f>
        <v>JUANITA Chandler </v>
      </c>
      <c r="C2263" s="24">
        <f>IFERROR(__xludf.DUMMYFUNCTION("""COMPUTED_VALUE"""),281.0)</f>
        <v>281</v>
      </c>
      <c r="D2263" s="24" t="str">
        <f>IFERROR(__xludf.DUMMYFUNCTION("""COMPUTED_VALUE"""),"Dole Fruit Cup ")</f>
        <v>Dole Fruit Cup </v>
      </c>
      <c r="F2263" s="23">
        <f>IFERROR(__xludf.DUMMYFUNCTION("""COMPUTED_VALUE"""),44824.6939357176)</f>
        <v>44824.69394</v>
      </c>
      <c r="G2263" s="24" t="str">
        <f>IFERROR(__xludf.DUMMYFUNCTION("""COMPUTED_VALUE"""),"Kaneesh(expired)")</f>
        <v>Kaneesh(expired)</v>
      </c>
      <c r="H2263" s="24">
        <f>IFERROR(__xludf.DUMMYFUNCTION("""COMPUTED_VALUE"""),9.0)</f>
        <v>9</v>
      </c>
      <c r="I2263" s="24"/>
    </row>
    <row r="2264">
      <c r="A2264" s="23">
        <f>IFERROR(__xludf.DUMMYFUNCTION("""COMPUTED_VALUE"""),44913.60904886574)</f>
        <v>44913.60905</v>
      </c>
      <c r="B2264" s="24" t="str">
        <f>IFERROR(__xludf.DUMMYFUNCTION("""COMPUTED_VALUE"""),"JUANITA Chandler ")</f>
        <v>JUANITA Chandler </v>
      </c>
      <c r="C2264" s="24">
        <f>IFERROR(__xludf.DUMMYFUNCTION("""COMPUTED_VALUE"""),188.0)</f>
        <v>188</v>
      </c>
      <c r="D2264" s="24" t="str">
        <f>IFERROR(__xludf.DUMMYFUNCTION("""COMPUTED_VALUE"""),"Frozen [Not Meat]")</f>
        <v>Frozen [Not Meat]</v>
      </c>
      <c r="F2264" s="23">
        <f>IFERROR(__xludf.DUMMYFUNCTION("""COMPUTED_VALUE"""),44824.69611231482)</f>
        <v>44824.69611</v>
      </c>
      <c r="G2264" s="24" t="str">
        <f>IFERROR(__xludf.DUMMYFUNCTION("""COMPUTED_VALUE"""),"Beverly Pinn")</f>
        <v>Beverly Pinn</v>
      </c>
      <c r="H2264" s="24">
        <f>IFERROR(__xludf.DUMMYFUNCTION("""COMPUTED_VALUE"""),17.0)</f>
        <v>17</v>
      </c>
      <c r="I2264" s="24"/>
    </row>
    <row r="2265">
      <c r="A2265" s="23">
        <f>IFERROR(__xludf.DUMMYFUNCTION("""COMPUTED_VALUE"""),44913.61003118056)</f>
        <v>44913.61003</v>
      </c>
      <c r="B2265" s="24" t="str">
        <f>IFERROR(__xludf.DUMMYFUNCTION("""COMPUTED_VALUE"""),"JUANITA Chandler ")</f>
        <v>JUANITA Chandler </v>
      </c>
      <c r="C2265" s="24">
        <f>IFERROR(__xludf.DUMMYFUNCTION("""COMPUTED_VALUE"""),59.0)</f>
        <v>59</v>
      </c>
      <c r="D2265" s="24" t="str">
        <f>IFERROR(__xludf.DUMMYFUNCTION("""COMPUTED_VALUE"""),"Dog food Cat Litter ")</f>
        <v>Dog food Cat Litter </v>
      </c>
      <c r="F2265" s="23">
        <f>IFERROR(__xludf.DUMMYFUNCTION("""COMPUTED_VALUE"""),44824.69637133102)</f>
        <v>44824.69637</v>
      </c>
      <c r="G2265" s="24" t="str">
        <f>IFERROR(__xludf.DUMMYFUNCTION("""COMPUTED_VALUE"""),"Beverly Pinn")</f>
        <v>Beverly Pinn</v>
      </c>
      <c r="H2265" s="24">
        <f>IFERROR(__xludf.DUMMYFUNCTION("""COMPUTED_VALUE"""),10.0)</f>
        <v>10</v>
      </c>
      <c r="I2265" s="24"/>
    </row>
    <row r="2266">
      <c r="A2266" s="23">
        <f>IFERROR(__xludf.DUMMYFUNCTION("""COMPUTED_VALUE"""),44913.61075379629)</f>
        <v>44913.61075</v>
      </c>
      <c r="B2266" s="24" t="str">
        <f>IFERROR(__xludf.DUMMYFUNCTION("""COMPUTED_VALUE"""),"JUANITA Chandler ")</f>
        <v>JUANITA Chandler </v>
      </c>
      <c r="C2266" s="24">
        <f>IFERROR(__xludf.DUMMYFUNCTION("""COMPUTED_VALUE"""),85.0)</f>
        <v>85</v>
      </c>
      <c r="D2266" s="24" t="str">
        <f>IFERROR(__xludf.DUMMYFUNCTION("""COMPUTED_VALUE"""),"Assorted Fridge")</f>
        <v>Assorted Fridge</v>
      </c>
      <c r="F2266" s="23">
        <f>IFERROR(__xludf.DUMMYFUNCTION("""COMPUTED_VALUE"""),44824.696896284724)</f>
        <v>44824.6969</v>
      </c>
      <c r="G2266" s="24" t="str">
        <f>IFERROR(__xludf.DUMMYFUNCTION("""COMPUTED_VALUE"""),"Jean")</f>
        <v>Jean</v>
      </c>
      <c r="H2266" s="24">
        <f>IFERROR(__xludf.DUMMYFUNCTION("""COMPUTED_VALUE"""),3.0)</f>
        <v>3</v>
      </c>
      <c r="I2266" s="24"/>
    </row>
    <row r="2267">
      <c r="A2267" s="23">
        <f>IFERROR(__xludf.DUMMYFUNCTION("""COMPUTED_VALUE"""),44913.61161116898)</f>
        <v>44913.61161</v>
      </c>
      <c r="B2267" s="24" t="str">
        <f>IFERROR(__xludf.DUMMYFUNCTION("""COMPUTED_VALUE"""),"Juanita Chandler ")</f>
        <v>Juanita Chandler </v>
      </c>
      <c r="C2267" s="24">
        <f>IFERROR(__xludf.DUMMYFUNCTION("""COMPUTED_VALUE"""),692.0)</f>
        <v>692</v>
      </c>
      <c r="D2267" s="24" t="str">
        <f>IFERROR(__xludf.DUMMYFUNCTION("""COMPUTED_VALUE"""),"Assorted Fridge")</f>
        <v>Assorted Fridge</v>
      </c>
      <c r="F2267" s="23">
        <f>IFERROR(__xludf.DUMMYFUNCTION("""COMPUTED_VALUE"""),44824.7114191088)</f>
        <v>44824.71142</v>
      </c>
      <c r="G2267" s="24" t="str">
        <f>IFERROR(__xludf.DUMMYFUNCTION("""COMPUTED_VALUE"""),"Jean")</f>
        <v>Jean</v>
      </c>
      <c r="H2267" s="24">
        <f>IFERROR(__xludf.DUMMYFUNCTION("""COMPUTED_VALUE"""),4.0)</f>
        <v>4</v>
      </c>
      <c r="I2267" s="24"/>
    </row>
    <row r="2268">
      <c r="A2268" s="23">
        <f>IFERROR(__xludf.DUMMYFUNCTION("""COMPUTED_VALUE"""),44913.61302975695)</f>
        <v>44913.61303</v>
      </c>
      <c r="B2268" s="24" t="str">
        <f>IFERROR(__xludf.DUMMYFUNCTION("""COMPUTED_VALUE"""),"JUANITA Chandler ")</f>
        <v>JUANITA Chandler </v>
      </c>
      <c r="C2268" s="24">
        <f>IFERROR(__xludf.DUMMYFUNCTION("""COMPUTED_VALUE"""),574.0)</f>
        <v>574</v>
      </c>
      <c r="D2268" s="24" t="str">
        <f>IFERROR(__xludf.DUMMYFUNCTION("""COMPUTED_VALUE"""),"Mix items")</f>
        <v>Mix items</v>
      </c>
      <c r="F2268" s="23">
        <f>IFERROR(__xludf.DUMMYFUNCTION("""COMPUTED_VALUE"""),44825.0)</f>
        <v>44825</v>
      </c>
      <c r="G2268" s="24" t="str">
        <f>IFERROR(__xludf.DUMMYFUNCTION("""COMPUTED_VALUE"""),"Claire")</f>
        <v>Claire</v>
      </c>
      <c r="H2268" s="24">
        <f>IFERROR(__xludf.DUMMYFUNCTION("""COMPUTED_VALUE"""),498.0)</f>
        <v>498</v>
      </c>
      <c r="I2268" s="24" t="str">
        <f>IFERROR(__xludf.DUMMYFUNCTION("""COMPUTED_VALUE"""),"Amazon")</f>
        <v>Amazon</v>
      </c>
    </row>
    <row r="2269">
      <c r="A2269" s="23">
        <f>IFERROR(__xludf.DUMMYFUNCTION("""COMPUTED_VALUE"""),44913.0)</f>
        <v>44913</v>
      </c>
      <c r="B2269" s="24" t="str">
        <f>IFERROR(__xludf.DUMMYFUNCTION("""COMPUTED_VALUE"""),"Claire")</f>
        <v>Claire</v>
      </c>
      <c r="C2269" s="24">
        <f>IFERROR(__xludf.DUMMYFUNCTION("""COMPUTED_VALUE"""),18.0)</f>
        <v>18</v>
      </c>
      <c r="D2269" s="24" t="str">
        <f>IFERROR(__xludf.DUMMYFUNCTION("""COMPUTED_VALUE"""),"Gloves")</f>
        <v>Gloves</v>
      </c>
      <c r="F2269" s="23">
        <f>IFERROR(__xludf.DUMMYFUNCTION("""COMPUTED_VALUE"""),44825.0)</f>
        <v>44825</v>
      </c>
      <c r="G2269" s="24" t="str">
        <f>IFERROR(__xludf.DUMMYFUNCTION("""COMPUTED_VALUE"""),"Juanita Chandler")</f>
        <v>Juanita Chandler</v>
      </c>
      <c r="H2269" s="24">
        <f>IFERROR(__xludf.DUMMYFUNCTION("""COMPUTED_VALUE"""),15.0)</f>
        <v>15</v>
      </c>
      <c r="I2269" s="24"/>
    </row>
    <row r="2270">
      <c r="A2270" s="23">
        <f>IFERROR(__xludf.DUMMYFUNCTION("""COMPUTED_VALUE"""),44913.670850648145)</f>
        <v>44913.67085</v>
      </c>
      <c r="B2270" s="24"/>
      <c r="C2270" s="24">
        <f>IFERROR(__xludf.DUMMYFUNCTION("""COMPUTED_VALUE"""),1064.0)</f>
        <v>1064</v>
      </c>
      <c r="D2270" s="24" t="str">
        <f>IFERROR(__xludf.DUMMYFUNCTION("""COMPUTED_VALUE"""),"Assorted Dry")</f>
        <v>Assorted Dry</v>
      </c>
      <c r="F2270" s="23">
        <f>IFERROR(__xludf.DUMMYFUNCTION("""COMPUTED_VALUE"""),44825.0)</f>
        <v>44825</v>
      </c>
      <c r="G2270" s="24" t="str">
        <f>IFERROR(__xludf.DUMMYFUNCTION("""COMPUTED_VALUE"""),"Juanita Chandler")</f>
        <v>Juanita Chandler</v>
      </c>
      <c r="H2270" s="24">
        <f>IFERROR(__xludf.DUMMYFUNCTION("""COMPUTED_VALUE"""),25.0)</f>
        <v>25</v>
      </c>
      <c r="I2270" s="24"/>
    </row>
    <row r="2271">
      <c r="A2271" s="23">
        <f>IFERROR(__xludf.DUMMYFUNCTION("""COMPUTED_VALUE"""),44916.609660601855)</f>
        <v>44916.60966</v>
      </c>
      <c r="B2271" s="24" t="str">
        <f>IFERROR(__xludf.DUMMYFUNCTION("""COMPUTED_VALUE"""),"Claire")</f>
        <v>Claire</v>
      </c>
      <c r="C2271" s="24">
        <f>IFERROR(__xludf.DUMMYFUNCTION("""COMPUTED_VALUE"""),84.0)</f>
        <v>84</v>
      </c>
      <c r="D2271" s="24" t="str">
        <f>IFERROR(__xludf.DUMMYFUNCTION("""COMPUTED_VALUE"""),"Assorted Dry")</f>
        <v>Assorted Dry</v>
      </c>
      <c r="F2271" s="23">
        <f>IFERROR(__xludf.DUMMYFUNCTION("""COMPUTED_VALUE"""),44825.0)</f>
        <v>44825</v>
      </c>
      <c r="G2271" s="24" t="str">
        <f>IFERROR(__xludf.DUMMYFUNCTION("""COMPUTED_VALUE"""),"Doris Parker tuggle")</f>
        <v>Doris Parker tuggle</v>
      </c>
      <c r="H2271" s="24">
        <f>IFERROR(__xludf.DUMMYFUNCTION("""COMPUTED_VALUE"""),15.0)</f>
        <v>15</v>
      </c>
      <c r="I2271" s="24"/>
    </row>
    <row r="2272">
      <c r="A2272" s="23">
        <f>IFERROR(__xludf.DUMMYFUNCTION("""COMPUTED_VALUE"""),44916.6100271875)</f>
        <v>44916.61003</v>
      </c>
      <c r="B2272" s="24" t="str">
        <f>IFERROR(__xludf.DUMMYFUNCTION("""COMPUTED_VALUE"""),"Claire")</f>
        <v>Claire</v>
      </c>
      <c r="C2272" s="24">
        <f>IFERROR(__xludf.DUMMYFUNCTION("""COMPUTED_VALUE"""),258.0)</f>
        <v>258</v>
      </c>
      <c r="D2272" s="24" t="str">
        <f>IFERROR(__xludf.DUMMYFUNCTION("""COMPUTED_VALUE"""),"Assorted Fridge")</f>
        <v>Assorted Fridge</v>
      </c>
      <c r="F2272" s="23">
        <f>IFERROR(__xludf.DUMMYFUNCTION("""COMPUTED_VALUE"""),44825.0)</f>
        <v>44825</v>
      </c>
      <c r="G2272" s="24" t="str">
        <f>IFERROR(__xludf.DUMMYFUNCTION("""COMPUTED_VALUE"""),"Doris Parker tuggle")</f>
        <v>Doris Parker tuggle</v>
      </c>
      <c r="H2272" s="24">
        <f>IFERROR(__xludf.DUMMYFUNCTION("""COMPUTED_VALUE"""),4.0)</f>
        <v>4</v>
      </c>
      <c r="I2272" s="24"/>
    </row>
    <row r="2273">
      <c r="A2273" s="23">
        <f>IFERROR(__xludf.DUMMYFUNCTION("""COMPUTED_VALUE"""),44916.63681898149)</f>
        <v>44916.63682</v>
      </c>
      <c r="B2273" s="24" t="str">
        <f>IFERROR(__xludf.DUMMYFUNCTION("""COMPUTED_VALUE"""),"JUANITA Chandler ")</f>
        <v>JUANITA Chandler </v>
      </c>
      <c r="C2273" s="24">
        <f>IFERROR(__xludf.DUMMYFUNCTION("""COMPUTED_VALUE"""),1002.0)</f>
        <v>1002</v>
      </c>
      <c r="D2273" s="24" t="str">
        <f>IFERROR(__xludf.DUMMYFUNCTION("""COMPUTED_VALUE"""),"Dole Fruit Cup ")</f>
        <v>Dole Fruit Cup </v>
      </c>
      <c r="F2273" s="23">
        <f>IFERROR(__xludf.DUMMYFUNCTION("""COMPUTED_VALUE"""),44825.0)</f>
        <v>44825</v>
      </c>
      <c r="G2273" s="24" t="str">
        <f>IFERROR(__xludf.DUMMYFUNCTION("""COMPUTED_VALUE"""),"Dee Satterfield")</f>
        <v>Dee Satterfield</v>
      </c>
      <c r="H2273" s="24">
        <f>IFERROR(__xludf.DUMMYFUNCTION("""COMPUTED_VALUE"""),17.0)</f>
        <v>17</v>
      </c>
      <c r="I2273" s="24"/>
    </row>
    <row r="2274">
      <c r="A2274" s="23">
        <f>IFERROR(__xludf.DUMMYFUNCTION("""COMPUTED_VALUE"""),44916.63816726852)</f>
        <v>44916.63817</v>
      </c>
      <c r="B2274" s="24" t="str">
        <f>IFERROR(__xludf.DUMMYFUNCTION("""COMPUTED_VALUE"""),"Juanita Chandler ")</f>
        <v>Juanita Chandler </v>
      </c>
      <c r="C2274" s="24">
        <f>IFERROR(__xludf.DUMMYFUNCTION("""COMPUTED_VALUE"""),1017.0)</f>
        <v>1017</v>
      </c>
      <c r="D2274" s="24" t="str">
        <f>IFERROR(__xludf.DUMMYFUNCTION("""COMPUTED_VALUE"""),"Dole Fruit Cup ")</f>
        <v>Dole Fruit Cup </v>
      </c>
      <c r="F2274" s="23">
        <f>IFERROR(__xludf.DUMMYFUNCTION("""COMPUTED_VALUE"""),44825.0)</f>
        <v>44825</v>
      </c>
      <c r="G2274" s="24" t="str">
        <f>IFERROR(__xludf.DUMMYFUNCTION("""COMPUTED_VALUE"""),"Dee Satterfield")</f>
        <v>Dee Satterfield</v>
      </c>
      <c r="H2274" s="24">
        <f>IFERROR(__xludf.DUMMYFUNCTION("""COMPUTED_VALUE"""),1.0)</f>
        <v>1</v>
      </c>
      <c r="I2274" s="24"/>
    </row>
    <row r="2275">
      <c r="A2275" s="23">
        <f>IFERROR(__xludf.DUMMYFUNCTION("""COMPUTED_VALUE"""),44916.63950133102)</f>
        <v>44916.6395</v>
      </c>
      <c r="B2275" s="24" t="str">
        <f>IFERROR(__xludf.DUMMYFUNCTION("""COMPUTED_VALUE"""),"JUANITA Chandler ")</f>
        <v>JUANITA Chandler </v>
      </c>
      <c r="C2275" s="24">
        <f>IFERROR(__xludf.DUMMYFUNCTION("""COMPUTED_VALUE"""),1022.0)</f>
        <v>1022</v>
      </c>
      <c r="D2275" s="24" t="str">
        <f>IFERROR(__xludf.DUMMYFUNCTION("""COMPUTED_VALUE"""),"Dole Fruit Cup ")</f>
        <v>Dole Fruit Cup </v>
      </c>
      <c r="F2275" s="23">
        <f>IFERROR(__xludf.DUMMYFUNCTION("""COMPUTED_VALUE"""),44825.0)</f>
        <v>44825</v>
      </c>
      <c r="G2275" s="24" t="str">
        <f>IFERROR(__xludf.DUMMYFUNCTION("""COMPUTED_VALUE"""),"Sharron Robinson")</f>
        <v>Sharron Robinson</v>
      </c>
      <c r="H2275" s="24">
        <f>IFERROR(__xludf.DUMMYFUNCTION("""COMPUTED_VALUE"""),18.0)</f>
        <v>18</v>
      </c>
      <c r="I2275" s="24"/>
    </row>
    <row r="2276">
      <c r="A2276" s="23">
        <f>IFERROR(__xludf.DUMMYFUNCTION("""COMPUTED_VALUE"""),44916.64126138889)</f>
        <v>44916.64126</v>
      </c>
      <c r="B2276" s="24" t="str">
        <f>IFERROR(__xludf.DUMMYFUNCTION("""COMPUTED_VALUE"""),"JUANITA Chandler ")</f>
        <v>JUANITA Chandler </v>
      </c>
      <c r="C2276" s="24">
        <f>IFERROR(__xludf.DUMMYFUNCTION("""COMPUTED_VALUE"""),1070.0)</f>
        <v>1070</v>
      </c>
      <c r="D2276" s="24" t="str">
        <f>IFERROR(__xludf.DUMMYFUNCTION("""COMPUTED_VALUE"""),"Dole Fruit Cup ")</f>
        <v>Dole Fruit Cup </v>
      </c>
      <c r="F2276" s="23">
        <f>IFERROR(__xludf.DUMMYFUNCTION("""COMPUTED_VALUE"""),44825.0)</f>
        <v>44825</v>
      </c>
      <c r="G2276" s="24" t="str">
        <f>IFERROR(__xludf.DUMMYFUNCTION("""COMPUTED_VALUE"""),"Sharron Robinson")</f>
        <v>Sharron Robinson</v>
      </c>
      <c r="H2276" s="24">
        <f>IFERROR(__xludf.DUMMYFUNCTION("""COMPUTED_VALUE"""),18.0)</f>
        <v>18</v>
      </c>
      <c r="I2276" s="24"/>
    </row>
    <row r="2277">
      <c r="A2277" s="23">
        <f>IFERROR(__xludf.DUMMYFUNCTION("""COMPUTED_VALUE"""),44916.64204928241)</f>
        <v>44916.64205</v>
      </c>
      <c r="B2277" s="24" t="str">
        <f>IFERROR(__xludf.DUMMYFUNCTION("""COMPUTED_VALUE"""),"JUANITA Chandler ")</f>
        <v>JUANITA Chandler </v>
      </c>
      <c r="C2277" s="24">
        <f>IFERROR(__xludf.DUMMYFUNCTION("""COMPUTED_VALUE"""),1011.0)</f>
        <v>1011</v>
      </c>
      <c r="D2277" s="24" t="str">
        <f>IFERROR(__xludf.DUMMYFUNCTION("""COMPUTED_VALUE"""),"Dole Fruit Cup ")</f>
        <v>Dole Fruit Cup </v>
      </c>
      <c r="F2277" s="23">
        <f>IFERROR(__xludf.DUMMYFUNCTION("""COMPUTED_VALUE"""),44825.0)</f>
        <v>44825</v>
      </c>
      <c r="G2277" s="24" t="str">
        <f>IFERROR(__xludf.DUMMYFUNCTION("""COMPUTED_VALUE"""),"Jo Richards")</f>
        <v>Jo Richards</v>
      </c>
      <c r="H2277" s="24">
        <f>IFERROR(__xludf.DUMMYFUNCTION("""COMPUTED_VALUE"""),20.0)</f>
        <v>20</v>
      </c>
      <c r="I2277" s="24"/>
    </row>
    <row r="2278">
      <c r="A2278" s="23">
        <f>IFERROR(__xludf.DUMMYFUNCTION("""COMPUTED_VALUE"""),44916.64356179398)</f>
        <v>44916.64356</v>
      </c>
      <c r="B2278" s="24" t="str">
        <f>IFERROR(__xludf.DUMMYFUNCTION("""COMPUTED_VALUE"""),"JUANITA Chandler ")</f>
        <v>JUANITA Chandler </v>
      </c>
      <c r="C2278" s="24">
        <f>IFERROR(__xludf.DUMMYFUNCTION("""COMPUTED_VALUE"""),1015.0)</f>
        <v>1015</v>
      </c>
      <c r="D2278" s="24" t="str">
        <f>IFERROR(__xludf.DUMMYFUNCTION("""COMPUTED_VALUE"""),"DOLE Fruit Cup ")</f>
        <v>DOLE Fruit Cup </v>
      </c>
      <c r="F2278" s="23">
        <f>IFERROR(__xludf.DUMMYFUNCTION("""COMPUTED_VALUE"""),44825.0)</f>
        <v>44825</v>
      </c>
      <c r="G2278" s="24" t="str">
        <f>IFERROR(__xludf.DUMMYFUNCTION("""COMPUTED_VALUE"""),"Jo Richards")</f>
        <v>Jo Richards</v>
      </c>
      <c r="H2278" s="24">
        <f>IFERROR(__xludf.DUMMYFUNCTION("""COMPUTED_VALUE"""),1.0)</f>
        <v>1</v>
      </c>
      <c r="I2278" s="24"/>
    </row>
    <row r="2279">
      <c r="A2279" s="23">
        <f>IFERROR(__xludf.DUMMYFUNCTION("""COMPUTED_VALUE"""),44916.644236886576)</f>
        <v>44916.64424</v>
      </c>
      <c r="B2279" s="24" t="str">
        <f>IFERROR(__xludf.DUMMYFUNCTION("""COMPUTED_VALUE"""),"JUANITA Chandler ")</f>
        <v>JUANITA Chandler </v>
      </c>
      <c r="C2279" s="24">
        <f>IFERROR(__xludf.DUMMYFUNCTION("""COMPUTED_VALUE"""),984.0)</f>
        <v>984</v>
      </c>
      <c r="D2279" s="24" t="str">
        <f>IFERROR(__xludf.DUMMYFUNCTION("""COMPUTED_VALUE"""),"DOLE Fruit Cup ")</f>
        <v>DOLE Fruit Cup </v>
      </c>
      <c r="F2279" s="23">
        <f>IFERROR(__xludf.DUMMYFUNCTION("""COMPUTED_VALUE"""),44825.0)</f>
        <v>44825</v>
      </c>
      <c r="G2279" s="24" t="str">
        <f>IFERROR(__xludf.DUMMYFUNCTION("""COMPUTED_VALUE"""),"Lynwood McDaniel")</f>
        <v>Lynwood McDaniel</v>
      </c>
      <c r="H2279" s="24">
        <f>IFERROR(__xludf.DUMMYFUNCTION("""COMPUTED_VALUE"""),19.0)</f>
        <v>19</v>
      </c>
      <c r="I2279" s="24"/>
    </row>
    <row r="2280">
      <c r="A2280" s="23">
        <f>IFERROR(__xludf.DUMMYFUNCTION("""COMPUTED_VALUE"""),44916.64870922454)</f>
        <v>44916.64871</v>
      </c>
      <c r="B2280" s="24" t="str">
        <f>IFERROR(__xludf.DUMMYFUNCTION("""COMPUTED_VALUE"""),"Juanita Chandler ")</f>
        <v>Juanita Chandler </v>
      </c>
      <c r="C2280" s="24">
        <f>IFERROR(__xludf.DUMMYFUNCTION("""COMPUTED_VALUE"""),1014.0)</f>
        <v>1014</v>
      </c>
      <c r="D2280" s="24" t="str">
        <f>IFERROR(__xludf.DUMMYFUNCTION("""COMPUTED_VALUE"""),"Dole  Fruit Cup ")</f>
        <v>Dole  Fruit Cup </v>
      </c>
      <c r="F2280" s="23">
        <f>IFERROR(__xludf.DUMMYFUNCTION("""COMPUTED_VALUE"""),44825.0)</f>
        <v>44825</v>
      </c>
      <c r="G2280" s="24" t="str">
        <f>IFERROR(__xludf.DUMMYFUNCTION("""COMPUTED_VALUE"""),"Lynwood McDaniel")</f>
        <v>Lynwood McDaniel</v>
      </c>
      <c r="H2280" s="24">
        <f>IFERROR(__xludf.DUMMYFUNCTION("""COMPUTED_VALUE"""),5.0)</f>
        <v>5</v>
      </c>
      <c r="I2280" s="24"/>
    </row>
    <row r="2281">
      <c r="A2281" s="23">
        <f>IFERROR(__xludf.DUMMYFUNCTION("""COMPUTED_VALUE"""),44916.64943951389)</f>
        <v>44916.64944</v>
      </c>
      <c r="B2281" s="24" t="str">
        <f>IFERROR(__xludf.DUMMYFUNCTION("""COMPUTED_VALUE"""),"JUANITA Chandler ")</f>
        <v>JUANITA Chandler </v>
      </c>
      <c r="C2281" s="24">
        <f>IFERROR(__xludf.DUMMYFUNCTION("""COMPUTED_VALUE"""),1050.0)</f>
        <v>1050</v>
      </c>
      <c r="D2281" s="24" t="str">
        <f>IFERROR(__xludf.DUMMYFUNCTION("""COMPUTED_VALUE"""),"Dole Fruit Cup ")</f>
        <v>Dole Fruit Cup </v>
      </c>
      <c r="F2281" s="23">
        <f>IFERROR(__xludf.DUMMYFUNCTION("""COMPUTED_VALUE"""),44825.0)</f>
        <v>44825</v>
      </c>
      <c r="G2281" s="24" t="str">
        <f>IFERROR(__xludf.DUMMYFUNCTION("""COMPUTED_VALUE"""),"Melissa")</f>
        <v>Melissa</v>
      </c>
      <c r="H2281" s="24">
        <f>IFERROR(__xludf.DUMMYFUNCTION("""COMPUTED_VALUE"""),18.0)</f>
        <v>18</v>
      </c>
      <c r="I2281" s="24"/>
    </row>
    <row r="2282">
      <c r="A2282" s="23">
        <f>IFERROR(__xludf.DUMMYFUNCTION("""COMPUTED_VALUE"""),44916.65002912037)</f>
        <v>44916.65003</v>
      </c>
      <c r="B2282" s="24" t="str">
        <f>IFERROR(__xludf.DUMMYFUNCTION("""COMPUTED_VALUE"""),"Juanita Chandler ")</f>
        <v>Juanita Chandler </v>
      </c>
      <c r="C2282" s="24">
        <f>IFERROR(__xludf.DUMMYFUNCTION("""COMPUTED_VALUE"""),1025.0)</f>
        <v>1025</v>
      </c>
      <c r="D2282" s="24" t="str">
        <f>IFERROR(__xludf.DUMMYFUNCTION("""COMPUTED_VALUE"""),"DOLE Fruit Cup ")</f>
        <v>DOLE Fruit Cup </v>
      </c>
      <c r="F2282" s="23">
        <f>IFERROR(__xludf.DUMMYFUNCTION("""COMPUTED_VALUE"""),44825.0)</f>
        <v>44825</v>
      </c>
      <c r="G2282" s="24" t="str">
        <f>IFERROR(__xludf.DUMMYFUNCTION("""COMPUTED_VALUE"""),"melissa")</f>
        <v>melissa</v>
      </c>
      <c r="H2282" s="24">
        <f>IFERROR(__xludf.DUMMYFUNCTION("""COMPUTED_VALUE"""),7.0)</f>
        <v>7</v>
      </c>
      <c r="I2282" s="24"/>
    </row>
    <row r="2283">
      <c r="A2283" s="23">
        <f>IFERROR(__xludf.DUMMYFUNCTION("""COMPUTED_VALUE"""),44916.65075396991)</f>
        <v>44916.65075</v>
      </c>
      <c r="B2283" s="24" t="str">
        <f>IFERROR(__xludf.DUMMYFUNCTION("""COMPUTED_VALUE"""),"JUANITA Chandler ")</f>
        <v>JUANITA Chandler </v>
      </c>
      <c r="C2283" s="24">
        <f>IFERROR(__xludf.DUMMYFUNCTION("""COMPUTED_VALUE"""),755.0)</f>
        <v>755</v>
      </c>
      <c r="D2283" s="24" t="str">
        <f>IFERROR(__xludf.DUMMYFUNCTION("""COMPUTED_VALUE"""),"Dole Fruit Cup ")</f>
        <v>Dole Fruit Cup </v>
      </c>
      <c r="F2283" s="23">
        <f>IFERROR(__xludf.DUMMYFUNCTION("""COMPUTED_VALUE"""),44825.59412230324)</f>
        <v>44825.59412</v>
      </c>
      <c r="G2283" s="24" t="str">
        <f>IFERROR(__xludf.DUMMYFUNCTION("""COMPUTED_VALUE"""),"Bud- Sisson st dpw drinks")</f>
        <v>Bud- Sisson st dpw drinks</v>
      </c>
      <c r="H2283" s="24">
        <f>IFERROR(__xludf.DUMMYFUNCTION("""COMPUTED_VALUE"""),19.0)</f>
        <v>19</v>
      </c>
      <c r="I2283" s="24"/>
    </row>
    <row r="2284">
      <c r="A2284" s="23">
        <f>IFERROR(__xludf.DUMMYFUNCTION("""COMPUTED_VALUE"""),44916.653629942135)</f>
        <v>44916.65363</v>
      </c>
      <c r="B2284" s="24" t="str">
        <f>IFERROR(__xludf.DUMMYFUNCTION("""COMPUTED_VALUE"""),"JUANITA Chandler ")</f>
        <v>JUANITA Chandler </v>
      </c>
      <c r="C2284" s="24">
        <f>IFERROR(__xludf.DUMMYFUNCTION("""COMPUTED_VALUE"""),1012.0)</f>
        <v>1012</v>
      </c>
      <c r="D2284" s="24" t="str">
        <f>IFERROR(__xludf.DUMMYFUNCTION("""COMPUTED_VALUE"""),"Dole Fruit Cup ")</f>
        <v>Dole Fruit Cup </v>
      </c>
      <c r="F2284" s="23">
        <f>IFERROR(__xludf.DUMMYFUNCTION("""COMPUTED_VALUE"""),44825.59530350694)</f>
        <v>44825.5953</v>
      </c>
      <c r="G2284" s="24" t="str">
        <f>IFERROR(__xludf.DUMMYFUNCTION("""COMPUTED_VALUE"""),"Bud Stracker - personal")</f>
        <v>Bud Stracker - personal</v>
      </c>
      <c r="H2284" s="24">
        <f>IFERROR(__xludf.DUMMYFUNCTION("""COMPUTED_VALUE"""),6.0)</f>
        <v>6</v>
      </c>
      <c r="I2284" s="24"/>
    </row>
    <row r="2285">
      <c r="A2285" s="23">
        <f>IFERROR(__xludf.DUMMYFUNCTION("""COMPUTED_VALUE"""),44916.65434648148)</f>
        <v>44916.65435</v>
      </c>
      <c r="B2285" s="24" t="str">
        <f>IFERROR(__xludf.DUMMYFUNCTION("""COMPUTED_VALUE"""),"JUANITA Chandler ")</f>
        <v>JUANITA Chandler </v>
      </c>
      <c r="C2285" s="24">
        <f>IFERROR(__xludf.DUMMYFUNCTION("""COMPUTED_VALUE"""),896.0)</f>
        <v>896</v>
      </c>
      <c r="D2285" s="24" t="str">
        <f>IFERROR(__xludf.DUMMYFUNCTION("""COMPUTED_VALUE"""),"Frozen [Not Meat]")</f>
        <v>Frozen [Not Meat]</v>
      </c>
      <c r="F2285" s="23">
        <f>IFERROR(__xludf.DUMMYFUNCTION("""COMPUTED_VALUE"""),44825.60087523148)</f>
        <v>44825.60088</v>
      </c>
      <c r="G2285" s="24" t="str">
        <f>IFERROR(__xludf.DUMMYFUNCTION("""COMPUTED_VALUE"""),"Jean")</f>
        <v>Jean</v>
      </c>
      <c r="H2285" s="24">
        <f>IFERROR(__xludf.DUMMYFUNCTION("""COMPUTED_VALUE"""),22.0)</f>
        <v>22</v>
      </c>
      <c r="I2285" s="24"/>
    </row>
    <row r="2286">
      <c r="A2286" s="23">
        <f>IFERROR(__xludf.DUMMYFUNCTION("""COMPUTED_VALUE"""),44916.6547821875)</f>
        <v>44916.65478</v>
      </c>
      <c r="B2286" s="24" t="str">
        <f>IFERROR(__xludf.DUMMYFUNCTION("""COMPUTED_VALUE"""),"JUANITA Chandler ")</f>
        <v>JUANITA Chandler </v>
      </c>
      <c r="C2286" s="24">
        <f>IFERROR(__xludf.DUMMYFUNCTION("""COMPUTED_VALUE"""),502.0)</f>
        <v>502</v>
      </c>
      <c r="D2286" s="24" t="str">
        <f>IFERROR(__xludf.DUMMYFUNCTION("""COMPUTED_VALUE"""),"Frozen [Not Meat]")</f>
        <v>Frozen [Not Meat]</v>
      </c>
      <c r="F2286" s="23">
        <f>IFERROR(__xludf.DUMMYFUNCTION("""COMPUTED_VALUE"""),44825.68056789352)</f>
        <v>44825.68057</v>
      </c>
      <c r="G2286" s="24" t="str">
        <f>IFERROR(__xludf.DUMMYFUNCTION("""COMPUTED_VALUE"""),"Claire")</f>
        <v>Claire</v>
      </c>
      <c r="H2286" s="24">
        <f>IFERROR(__xludf.DUMMYFUNCTION("""COMPUTED_VALUE"""),267.0)</f>
        <v>267</v>
      </c>
      <c r="I2286" s="24" t="str">
        <f>IFERROR(__xludf.DUMMYFUNCTION("""COMPUTED_VALUE"""),"Amazon")</f>
        <v>Amazon</v>
      </c>
    </row>
    <row r="2287">
      <c r="A2287" s="23">
        <f>IFERROR(__xludf.DUMMYFUNCTION("""COMPUTED_VALUE"""),44916.69068100694)</f>
        <v>44916.69068</v>
      </c>
      <c r="B2287" s="24" t="str">
        <f>IFERROR(__xludf.DUMMYFUNCTION("""COMPUTED_VALUE"""),"JUANITA Chandler ")</f>
        <v>JUANITA Chandler </v>
      </c>
      <c r="C2287" s="24">
        <f>IFERROR(__xludf.DUMMYFUNCTION("""COMPUTED_VALUE"""),985.0)</f>
        <v>985</v>
      </c>
      <c r="D2287" s="24" t="str">
        <f>IFERROR(__xludf.DUMMYFUNCTION("""COMPUTED_VALUE"""),"DOLE Fruit Cup ")</f>
        <v>DOLE Fruit Cup </v>
      </c>
      <c r="F2287" s="23">
        <f>IFERROR(__xludf.DUMMYFUNCTION("""COMPUTED_VALUE"""),44825.68089614584)</f>
        <v>44825.6809</v>
      </c>
      <c r="G2287" s="24" t="str">
        <f>IFERROR(__xludf.DUMMYFUNCTION("""COMPUTED_VALUE"""),"Claire")</f>
        <v>Claire</v>
      </c>
      <c r="H2287" s="24">
        <f>IFERROR(__xludf.DUMMYFUNCTION("""COMPUTED_VALUE"""),883.0)</f>
        <v>883</v>
      </c>
      <c r="I2287" s="24" t="str">
        <f>IFERROR(__xludf.DUMMYFUNCTION("""COMPUTED_VALUE"""),"Amazon")</f>
        <v>Amazon</v>
      </c>
    </row>
    <row r="2288">
      <c r="A2288" s="23">
        <f>IFERROR(__xludf.DUMMYFUNCTION("""COMPUTED_VALUE"""),44916.69255099537)</f>
        <v>44916.69255</v>
      </c>
      <c r="B2288" s="24" t="str">
        <f>IFERROR(__xludf.DUMMYFUNCTION("""COMPUTED_VALUE"""),"JUANITA Chandler ")</f>
        <v>JUANITA Chandler </v>
      </c>
      <c r="C2288" s="24">
        <f>IFERROR(__xludf.DUMMYFUNCTION("""COMPUTED_VALUE"""),846.0)</f>
        <v>846</v>
      </c>
      <c r="D2288" s="24" t="str">
        <f>IFERROR(__xludf.DUMMYFUNCTION("""COMPUTED_VALUE"""),"Dole Fruit Cup ")</f>
        <v>Dole Fruit Cup </v>
      </c>
      <c r="F2288" s="23">
        <f>IFERROR(__xludf.DUMMYFUNCTION("""COMPUTED_VALUE"""),44825.68116503472)</f>
        <v>44825.68117</v>
      </c>
      <c r="G2288" s="24" t="str">
        <f>IFERROR(__xludf.DUMMYFUNCTION("""COMPUTED_VALUE"""),"Claire")</f>
        <v>Claire</v>
      </c>
      <c r="H2288" s="24">
        <f>IFERROR(__xludf.DUMMYFUNCTION("""COMPUTED_VALUE"""),605.0)</f>
        <v>605</v>
      </c>
      <c r="I2288" s="24" t="str">
        <f>IFERROR(__xludf.DUMMYFUNCTION("""COMPUTED_VALUE"""),"Amazon")</f>
        <v>Amazon</v>
      </c>
    </row>
    <row r="2289">
      <c r="A2289" s="23">
        <f>IFERROR(__xludf.DUMMYFUNCTION("""COMPUTED_VALUE"""),44916.69330368055)</f>
        <v>44916.6933</v>
      </c>
      <c r="B2289" s="24" t="str">
        <f>IFERROR(__xludf.DUMMYFUNCTION("""COMPUTED_VALUE"""),"JUANITA Chandler ")</f>
        <v>JUANITA Chandler </v>
      </c>
      <c r="C2289" s="24">
        <f>IFERROR(__xludf.DUMMYFUNCTION("""COMPUTED_VALUE"""),1101.0)</f>
        <v>1101</v>
      </c>
      <c r="D2289" s="24" t="str">
        <f>IFERROR(__xludf.DUMMYFUNCTION("""COMPUTED_VALUE"""),"Dole Fruit Cup ")</f>
        <v>Dole Fruit Cup </v>
      </c>
      <c r="F2289" s="23">
        <f>IFERROR(__xludf.DUMMYFUNCTION("""COMPUTED_VALUE"""),44825.68138709491)</f>
        <v>44825.68139</v>
      </c>
      <c r="G2289" s="24" t="str">
        <f>IFERROR(__xludf.DUMMYFUNCTION("""COMPUTED_VALUE"""),"Claire")</f>
        <v>Claire</v>
      </c>
      <c r="H2289" s="24">
        <f>IFERROR(__xludf.DUMMYFUNCTION("""COMPUTED_VALUE"""),629.0)</f>
        <v>629</v>
      </c>
      <c r="I2289" s="24" t="str">
        <f>IFERROR(__xludf.DUMMYFUNCTION("""COMPUTED_VALUE"""),"Amazon")</f>
        <v>Amazon</v>
      </c>
    </row>
    <row r="2290">
      <c r="A2290" s="23">
        <f>IFERROR(__xludf.DUMMYFUNCTION("""COMPUTED_VALUE"""),44916.694095405095)</f>
        <v>44916.6941</v>
      </c>
      <c r="B2290" s="24" t="str">
        <f>IFERROR(__xludf.DUMMYFUNCTION("""COMPUTED_VALUE"""),"JUANITA Chandler ")</f>
        <v>JUANITA Chandler </v>
      </c>
      <c r="C2290" s="24">
        <f>IFERROR(__xludf.DUMMYFUNCTION("""COMPUTED_VALUE"""),1378.0)</f>
        <v>1378</v>
      </c>
      <c r="D2290" s="24" t="str">
        <f>IFERROR(__xludf.DUMMYFUNCTION("""COMPUTED_VALUE"""),"Dole Fruit Cup ")</f>
        <v>Dole Fruit Cup </v>
      </c>
      <c r="F2290" s="23">
        <f>IFERROR(__xludf.DUMMYFUNCTION("""COMPUTED_VALUE"""),44825.69324013889)</f>
        <v>44825.69324</v>
      </c>
      <c r="G2290" s="24" t="str">
        <f>IFERROR(__xludf.DUMMYFUNCTION("""COMPUTED_VALUE"""),"Claire")</f>
        <v>Claire</v>
      </c>
      <c r="H2290" s="24">
        <f>IFERROR(__xludf.DUMMYFUNCTION("""COMPUTED_VALUE"""),610.0)</f>
        <v>610</v>
      </c>
      <c r="I2290" s="24" t="str">
        <f>IFERROR(__xludf.DUMMYFUNCTION("""COMPUTED_VALUE"""),"First fruits farm")</f>
        <v>First fruits farm</v>
      </c>
    </row>
    <row r="2291">
      <c r="A2291" s="23">
        <f>IFERROR(__xludf.DUMMYFUNCTION("""COMPUTED_VALUE"""),44916.694909756945)</f>
        <v>44916.69491</v>
      </c>
      <c r="B2291" s="24" t="str">
        <f>IFERROR(__xludf.DUMMYFUNCTION("""COMPUTED_VALUE"""),"JUANITA Chandler ")</f>
        <v>JUANITA Chandler </v>
      </c>
      <c r="C2291" s="24">
        <f>IFERROR(__xludf.DUMMYFUNCTION("""COMPUTED_VALUE"""),1045.0)</f>
        <v>1045</v>
      </c>
      <c r="D2291" s="24" t="str">
        <f>IFERROR(__xludf.DUMMYFUNCTION("""COMPUTED_VALUE"""),"Dole Fruit Cup ")</f>
        <v>Dole Fruit Cup </v>
      </c>
      <c r="F2291" s="23">
        <f>IFERROR(__xludf.DUMMYFUNCTION("""COMPUTED_VALUE"""),44825.69359145833)</f>
        <v>44825.69359</v>
      </c>
      <c r="G2291" s="24" t="str">
        <f>IFERROR(__xludf.DUMMYFUNCTION("""COMPUTED_VALUE"""),"Claire")</f>
        <v>Claire</v>
      </c>
      <c r="H2291" s="24">
        <f>IFERROR(__xludf.DUMMYFUNCTION("""COMPUTED_VALUE"""),631.0)</f>
        <v>631</v>
      </c>
      <c r="I2291" s="24" t="str">
        <f>IFERROR(__xludf.DUMMYFUNCTION("""COMPUTED_VALUE"""),"First fruits farm ")</f>
        <v>First fruits farm </v>
      </c>
    </row>
    <row r="2292">
      <c r="A2292" s="23">
        <f>IFERROR(__xludf.DUMMYFUNCTION("""COMPUTED_VALUE"""),44922.521841562506)</f>
        <v>44922.52184</v>
      </c>
      <c r="B2292" s="24" t="str">
        <f>IFERROR(__xludf.DUMMYFUNCTION("""COMPUTED_VALUE"""),"Claire")</f>
        <v>Claire</v>
      </c>
      <c r="C2292" s="24">
        <f>IFERROR(__xludf.DUMMYFUNCTION("""COMPUTED_VALUE"""),586.0)</f>
        <v>586</v>
      </c>
      <c r="D2292" s="24" t="str">
        <f>IFERROR(__xludf.DUMMYFUNCTION("""COMPUTED_VALUE"""),"Frozen [Not Meat]")</f>
        <v>Frozen [Not Meat]</v>
      </c>
      <c r="F2292" s="23">
        <f>IFERROR(__xludf.DUMMYFUNCTION("""COMPUTED_VALUE"""),44825.693898831014)</f>
        <v>44825.6939</v>
      </c>
      <c r="G2292" s="24" t="str">
        <f>IFERROR(__xludf.DUMMYFUNCTION("""COMPUTED_VALUE"""),"Claire")</f>
        <v>Claire</v>
      </c>
      <c r="H2292" s="24">
        <f>IFERROR(__xludf.DUMMYFUNCTION("""COMPUTED_VALUE"""),546.0)</f>
        <v>546</v>
      </c>
      <c r="I2292" s="24" t="str">
        <f>IFERROR(__xludf.DUMMYFUNCTION("""COMPUTED_VALUE"""),"First fruits farm")</f>
        <v>First fruits farm</v>
      </c>
    </row>
    <row r="2293">
      <c r="A2293" s="23">
        <f>IFERROR(__xludf.DUMMYFUNCTION("""COMPUTED_VALUE"""),44922.52223570601)</f>
        <v>44922.52224</v>
      </c>
      <c r="B2293" s="24" t="str">
        <f>IFERROR(__xludf.DUMMYFUNCTION("""COMPUTED_VALUE"""),"Claire")</f>
        <v>Claire</v>
      </c>
      <c r="C2293" s="24">
        <f>IFERROR(__xludf.DUMMYFUNCTION("""COMPUTED_VALUE"""),677.0)</f>
        <v>677</v>
      </c>
      <c r="D2293" s="24" t="str">
        <f>IFERROR(__xludf.DUMMYFUNCTION("""COMPUTED_VALUE"""),"Dole fruit cups")</f>
        <v>Dole fruit cups</v>
      </c>
      <c r="F2293" s="23">
        <f>IFERROR(__xludf.DUMMYFUNCTION("""COMPUTED_VALUE"""),44825.69426640047)</f>
        <v>44825.69427</v>
      </c>
      <c r="G2293" s="24" t="str">
        <f>IFERROR(__xludf.DUMMYFUNCTION("""COMPUTED_VALUE"""),"Claire")</f>
        <v>Claire</v>
      </c>
      <c r="H2293" s="24">
        <f>IFERROR(__xludf.DUMMYFUNCTION("""COMPUTED_VALUE"""),513.0)</f>
        <v>513</v>
      </c>
      <c r="I2293" s="24" t="str">
        <f>IFERROR(__xludf.DUMMYFUNCTION("""COMPUTED_VALUE"""),"First fruits farm")</f>
        <v>First fruits farm</v>
      </c>
    </row>
    <row r="2294">
      <c r="A2294" s="23">
        <f>IFERROR(__xludf.DUMMYFUNCTION("""COMPUTED_VALUE"""),44922.52301833333)</f>
        <v>44922.52302</v>
      </c>
      <c r="B2294" s="24" t="str">
        <f>IFERROR(__xludf.DUMMYFUNCTION("""COMPUTED_VALUE"""),"Claire")</f>
        <v>Claire</v>
      </c>
      <c r="C2294" s="24">
        <f>IFERROR(__xludf.DUMMYFUNCTION("""COMPUTED_VALUE"""),765.0)</f>
        <v>765</v>
      </c>
      <c r="D2294" s="24" t="str">
        <f>IFERROR(__xludf.DUMMYFUNCTION("""COMPUTED_VALUE"""),"Drinks [Dry]")</f>
        <v>Drinks [Dry]</v>
      </c>
      <c r="F2294" s="23">
        <f>IFERROR(__xludf.DUMMYFUNCTION("""COMPUTED_VALUE"""),44825.694535277784)</f>
        <v>44825.69454</v>
      </c>
      <c r="G2294" s="24" t="str">
        <f>IFERROR(__xludf.DUMMYFUNCTION("""COMPUTED_VALUE"""),"Claire")</f>
        <v>Claire</v>
      </c>
      <c r="H2294" s="24">
        <f>IFERROR(__xludf.DUMMYFUNCTION("""COMPUTED_VALUE"""),1261.0)</f>
        <v>1261</v>
      </c>
      <c r="I2294" s="24" t="str">
        <f>IFERROR(__xludf.DUMMYFUNCTION("""COMPUTED_VALUE"""),"First fruits farm")</f>
        <v>First fruits farm</v>
      </c>
    </row>
    <row r="2295">
      <c r="A2295" s="23">
        <f>IFERROR(__xludf.DUMMYFUNCTION("""COMPUTED_VALUE"""),44922.523269583326)</f>
        <v>44922.52327</v>
      </c>
      <c r="B2295" s="24" t="str">
        <f>IFERROR(__xludf.DUMMYFUNCTION("""COMPUTED_VALUE"""),"Claire")</f>
        <v>Claire</v>
      </c>
      <c r="C2295" s="24">
        <f>IFERROR(__xludf.DUMMYFUNCTION("""COMPUTED_VALUE"""),199.0)</f>
        <v>199</v>
      </c>
      <c r="D2295" s="24" t="str">
        <f>IFERROR(__xludf.DUMMYFUNCTION("""COMPUTED_VALUE"""),"Gifts")</f>
        <v>Gifts</v>
      </c>
      <c r="F2295" s="23">
        <f>IFERROR(__xludf.DUMMYFUNCTION("""COMPUTED_VALUE"""),44825.69475059028)</f>
        <v>44825.69475</v>
      </c>
      <c r="G2295" s="24" t="str">
        <f>IFERROR(__xludf.DUMMYFUNCTION("""COMPUTED_VALUE"""),"Claire")</f>
        <v>Claire</v>
      </c>
      <c r="H2295" s="24">
        <f>IFERROR(__xludf.DUMMYFUNCTION("""COMPUTED_VALUE"""),995.0)</f>
        <v>995</v>
      </c>
      <c r="I2295" s="24" t="str">
        <f>IFERROR(__xludf.DUMMYFUNCTION("""COMPUTED_VALUE"""),"First fruits farm")</f>
        <v>First fruits farm</v>
      </c>
    </row>
    <row r="2296">
      <c r="A2296" s="23">
        <f>IFERROR(__xludf.DUMMYFUNCTION("""COMPUTED_VALUE"""),44922.52350679398)</f>
        <v>44922.52351</v>
      </c>
      <c r="B2296" s="24" t="str">
        <f>IFERROR(__xludf.DUMMYFUNCTION("""COMPUTED_VALUE"""),"Claire")</f>
        <v>Claire</v>
      </c>
      <c r="C2296" s="24">
        <f>IFERROR(__xludf.DUMMYFUNCTION("""COMPUTED_VALUE"""),587.0)</f>
        <v>587</v>
      </c>
      <c r="D2296" s="24" t="str">
        <f>IFERROR(__xludf.DUMMYFUNCTION("""COMPUTED_VALUE"""),"Frozen [Not Meat]")</f>
        <v>Frozen [Not Meat]</v>
      </c>
      <c r="F2296" s="23">
        <f>IFERROR(__xludf.DUMMYFUNCTION("""COMPUTED_VALUE"""),44825.69497048611)</f>
        <v>44825.69497</v>
      </c>
      <c r="G2296" s="24" t="str">
        <f>IFERROR(__xludf.DUMMYFUNCTION("""COMPUTED_VALUE"""),"Claire")</f>
        <v>Claire</v>
      </c>
      <c r="H2296" s="24">
        <f>IFERROR(__xludf.DUMMYFUNCTION("""COMPUTED_VALUE"""),977.0)</f>
        <v>977</v>
      </c>
      <c r="I2296" s="24" t="str">
        <f>IFERROR(__xludf.DUMMYFUNCTION("""COMPUTED_VALUE"""),"First fruits farm")</f>
        <v>First fruits farm</v>
      </c>
    </row>
    <row r="2297">
      <c r="A2297" s="23">
        <f>IFERROR(__xludf.DUMMYFUNCTION("""COMPUTED_VALUE"""),44922.52398773148)</f>
        <v>44922.52399</v>
      </c>
      <c r="B2297" s="24" t="str">
        <f>IFERROR(__xludf.DUMMYFUNCTION("""COMPUTED_VALUE"""),"Claire")</f>
        <v>Claire</v>
      </c>
      <c r="C2297" s="24">
        <f>IFERROR(__xludf.DUMMYFUNCTION("""COMPUTED_VALUE"""),599.0)</f>
        <v>599</v>
      </c>
      <c r="D2297" s="24" t="str">
        <f>IFERROR(__xludf.DUMMYFUNCTION("""COMPUTED_VALUE"""),"Frozen [Not Meat]")</f>
        <v>Frozen [Not Meat]</v>
      </c>
      <c r="F2297" s="23">
        <f>IFERROR(__xludf.DUMMYFUNCTION("""COMPUTED_VALUE"""),44825.695202627314)</f>
        <v>44825.6952</v>
      </c>
      <c r="G2297" s="24" t="str">
        <f>IFERROR(__xludf.DUMMYFUNCTION("""COMPUTED_VALUE"""),"Claire")</f>
        <v>Claire</v>
      </c>
      <c r="H2297" s="24">
        <f>IFERROR(__xludf.DUMMYFUNCTION("""COMPUTED_VALUE"""),997.0)</f>
        <v>997</v>
      </c>
      <c r="I2297" s="24" t="str">
        <f>IFERROR(__xludf.DUMMYFUNCTION("""COMPUTED_VALUE"""),"First fruits farm")</f>
        <v>First fruits farm</v>
      </c>
    </row>
    <row r="2298">
      <c r="A2298" s="23">
        <f>IFERROR(__xludf.DUMMYFUNCTION("""COMPUTED_VALUE"""),44922.52432820602)</f>
        <v>44922.52433</v>
      </c>
      <c r="B2298" s="24" t="str">
        <f>IFERROR(__xludf.DUMMYFUNCTION("""COMPUTED_VALUE"""),"Claire")</f>
        <v>Claire</v>
      </c>
      <c r="C2298" s="24">
        <f>IFERROR(__xludf.DUMMYFUNCTION("""COMPUTED_VALUE"""),723.0)</f>
        <v>723</v>
      </c>
      <c r="D2298" s="24" t="str">
        <f>IFERROR(__xludf.DUMMYFUNCTION("""COMPUTED_VALUE"""),"Dole fruit cups")</f>
        <v>Dole fruit cups</v>
      </c>
      <c r="F2298" s="23">
        <f>IFERROR(__xludf.DUMMYFUNCTION("""COMPUTED_VALUE"""),44825.695714479174)</f>
        <v>44825.69571</v>
      </c>
      <c r="G2298" s="24" t="str">
        <f>IFERROR(__xludf.DUMMYFUNCTION("""COMPUTED_VALUE"""),"Claire")</f>
        <v>Claire</v>
      </c>
      <c r="H2298" s="24">
        <f>IFERROR(__xludf.DUMMYFUNCTION("""COMPUTED_VALUE"""),193.0)</f>
        <v>193</v>
      </c>
      <c r="I2298" s="24" t="str">
        <f>IFERROR(__xludf.DUMMYFUNCTION("""COMPUTED_VALUE"""),"Snacks")</f>
        <v>Snacks</v>
      </c>
    </row>
    <row r="2299">
      <c r="A2299" s="23">
        <f>IFERROR(__xludf.DUMMYFUNCTION("""COMPUTED_VALUE"""),44922.524568877314)</f>
        <v>44922.52457</v>
      </c>
      <c r="B2299" s="24" t="str">
        <f>IFERROR(__xludf.DUMMYFUNCTION("""COMPUTED_VALUE"""),"Claire")</f>
        <v>Claire</v>
      </c>
      <c r="C2299" s="24">
        <f>IFERROR(__xludf.DUMMYFUNCTION("""COMPUTED_VALUE"""),271.0)</f>
        <v>271</v>
      </c>
      <c r="D2299" s="24" t="str">
        <f>IFERROR(__xludf.DUMMYFUNCTION("""COMPUTED_VALUE"""),"Drinks [Dry]")</f>
        <v>Drinks [Dry]</v>
      </c>
      <c r="F2299" s="23">
        <f>IFERROR(__xludf.DUMMYFUNCTION("""COMPUTED_VALUE"""),44825.69623209491)</f>
        <v>44825.69623</v>
      </c>
      <c r="G2299" s="24" t="str">
        <f>IFERROR(__xludf.DUMMYFUNCTION("""COMPUTED_VALUE"""),"Claire")</f>
        <v>Claire</v>
      </c>
      <c r="H2299" s="24">
        <f>IFERROR(__xludf.DUMMYFUNCTION("""COMPUTED_VALUE"""),161.0)</f>
        <v>161</v>
      </c>
      <c r="I2299" s="24" t="str">
        <f>IFERROR(__xludf.DUMMYFUNCTION("""COMPUTED_VALUE"""),"Snacks")</f>
        <v>Snacks</v>
      </c>
    </row>
    <row r="2300">
      <c r="A2300" s="23">
        <f>IFERROR(__xludf.DUMMYFUNCTION("""COMPUTED_VALUE"""),44922.52484665509)</f>
        <v>44922.52485</v>
      </c>
      <c r="B2300" s="24" t="str">
        <f>IFERROR(__xludf.DUMMYFUNCTION("""COMPUTED_VALUE"""),"Claire")</f>
        <v>Claire</v>
      </c>
      <c r="C2300" s="24">
        <f>IFERROR(__xludf.DUMMYFUNCTION("""COMPUTED_VALUE"""),136.0)</f>
        <v>136</v>
      </c>
      <c r="D2300" s="24" t="str">
        <f>IFERROR(__xludf.DUMMYFUNCTION("""COMPUTED_VALUE"""),"Gifts")</f>
        <v>Gifts</v>
      </c>
      <c r="F2300" s="23">
        <f>IFERROR(__xludf.DUMMYFUNCTION("""COMPUTED_VALUE"""),44825.69671104167)</f>
        <v>44825.69671</v>
      </c>
      <c r="G2300" s="24" t="str">
        <f>IFERROR(__xludf.DUMMYFUNCTION("""COMPUTED_VALUE"""),"Claire")</f>
        <v>Claire</v>
      </c>
      <c r="H2300" s="24">
        <f>IFERROR(__xludf.DUMMYFUNCTION("""COMPUTED_VALUE"""),357.0)</f>
        <v>357</v>
      </c>
      <c r="I2300" s="24" t="str">
        <f>IFERROR(__xludf.DUMMYFUNCTION("""COMPUTED_VALUE"""),"STEAM toys")</f>
        <v>STEAM toys</v>
      </c>
    </row>
    <row r="2301">
      <c r="A2301" s="23">
        <f>IFERROR(__xludf.DUMMYFUNCTION("""COMPUTED_VALUE"""),44922.52518866898)</f>
        <v>44922.52519</v>
      </c>
      <c r="B2301" s="24" t="str">
        <f>IFERROR(__xludf.DUMMYFUNCTION("""COMPUTED_VALUE"""),"Claire")</f>
        <v>Claire</v>
      </c>
      <c r="C2301" s="24">
        <f>IFERROR(__xludf.DUMMYFUNCTION("""COMPUTED_VALUE"""),87.0)</f>
        <v>87</v>
      </c>
      <c r="D2301" s="24" t="str">
        <f>IFERROR(__xludf.DUMMYFUNCTION("""COMPUTED_VALUE"""),"Produce")</f>
        <v>Produce</v>
      </c>
      <c r="F2301" s="23">
        <f>IFERROR(__xludf.DUMMYFUNCTION("""COMPUTED_VALUE"""),44825.69694465277)</f>
        <v>44825.69694</v>
      </c>
      <c r="G2301" s="24" t="str">
        <f>IFERROR(__xludf.DUMMYFUNCTION("""COMPUTED_VALUE"""),"Claire")</f>
        <v>Claire</v>
      </c>
      <c r="H2301" s="24">
        <f>IFERROR(__xludf.DUMMYFUNCTION("""COMPUTED_VALUE"""),499.0)</f>
        <v>499</v>
      </c>
      <c r="I2301" s="24" t="str">
        <f>IFERROR(__xludf.DUMMYFUNCTION("""COMPUTED_VALUE"""),"STEAM toys")</f>
        <v>STEAM toys</v>
      </c>
    </row>
    <row r="2302">
      <c r="A2302" s="23">
        <f>IFERROR(__xludf.DUMMYFUNCTION("""COMPUTED_VALUE"""),44922.5253977199)</f>
        <v>44922.5254</v>
      </c>
      <c r="B2302" s="24" t="str">
        <f>IFERROR(__xludf.DUMMYFUNCTION("""COMPUTED_VALUE"""),"Claire")</f>
        <v>Claire</v>
      </c>
      <c r="C2302" s="24">
        <f>IFERROR(__xludf.DUMMYFUNCTION("""COMPUTED_VALUE"""),890.0)</f>
        <v>890</v>
      </c>
      <c r="D2302" s="24" t="str">
        <f>IFERROR(__xludf.DUMMYFUNCTION("""COMPUTED_VALUE"""),"Produce")</f>
        <v>Produce</v>
      </c>
      <c r="F2302" s="23">
        <f>IFERROR(__xludf.DUMMYFUNCTION("""COMPUTED_VALUE"""),44825.69736872685)</f>
        <v>44825.69737</v>
      </c>
      <c r="G2302" s="24" t="str">
        <f>IFERROR(__xludf.DUMMYFUNCTION("""COMPUTED_VALUE"""),"Claire")</f>
        <v>Claire</v>
      </c>
      <c r="H2302" s="24">
        <f>IFERROR(__xludf.DUMMYFUNCTION("""COMPUTED_VALUE"""),505.0)</f>
        <v>505</v>
      </c>
      <c r="I2302" s="24" t="str">
        <f>IFERROR(__xludf.DUMMYFUNCTION("""COMPUTED_VALUE"""),"STEAM toys")</f>
        <v>STEAM toys</v>
      </c>
    </row>
    <row r="2303">
      <c r="A2303" s="23">
        <f>IFERROR(__xludf.DUMMYFUNCTION("""COMPUTED_VALUE"""),44922.525606504634)</f>
        <v>44922.52561</v>
      </c>
      <c r="B2303" s="24" t="str">
        <f>IFERROR(__xludf.DUMMYFUNCTION("""COMPUTED_VALUE"""),"Claire")</f>
        <v>Claire</v>
      </c>
      <c r="C2303" s="24">
        <f>IFERROR(__xludf.DUMMYFUNCTION("""COMPUTED_VALUE"""),477.0)</f>
        <v>477</v>
      </c>
      <c r="D2303" s="24" t="str">
        <f>IFERROR(__xludf.DUMMYFUNCTION("""COMPUTED_VALUE"""),"Produce")</f>
        <v>Produce</v>
      </c>
      <c r="F2303" s="23">
        <f>IFERROR(__xludf.DUMMYFUNCTION("""COMPUTED_VALUE"""),44825.69816581018)</f>
        <v>44825.69817</v>
      </c>
      <c r="G2303" s="24" t="str">
        <f>IFERROR(__xludf.DUMMYFUNCTION("""COMPUTED_VALUE"""),"Claire")</f>
        <v>Claire</v>
      </c>
      <c r="H2303" s="24">
        <f>IFERROR(__xludf.DUMMYFUNCTION("""COMPUTED_VALUE"""),112.0)</f>
        <v>112</v>
      </c>
      <c r="I2303" s="24" t="str">
        <f>IFERROR(__xludf.DUMMYFUNCTION("""COMPUTED_VALUE"""),"STEAM toys")</f>
        <v>STEAM toys</v>
      </c>
    </row>
    <row r="2304">
      <c r="A2304" s="23">
        <f>IFERROR(__xludf.DUMMYFUNCTION("""COMPUTED_VALUE"""),44922.525884675924)</f>
        <v>44922.52588</v>
      </c>
      <c r="B2304" s="24" t="str">
        <f>IFERROR(__xludf.DUMMYFUNCTION("""COMPUTED_VALUE"""),"Claire")</f>
        <v>Claire</v>
      </c>
      <c r="C2304" s="24">
        <f>IFERROR(__xludf.DUMMYFUNCTION("""COMPUTED_VALUE"""),433.0)</f>
        <v>433</v>
      </c>
      <c r="D2304" s="24" t="str">
        <f>IFERROR(__xludf.DUMMYFUNCTION("""COMPUTED_VALUE"""),"Hand sanitizer ")</f>
        <v>Hand sanitizer </v>
      </c>
      <c r="F2304" s="23">
        <f>IFERROR(__xludf.DUMMYFUNCTION("""COMPUTED_VALUE"""),44825.69872833334)</f>
        <v>44825.69873</v>
      </c>
      <c r="G2304" s="24" t="str">
        <f>IFERROR(__xludf.DUMMYFUNCTION("""COMPUTED_VALUE"""),"Claire")</f>
        <v>Claire</v>
      </c>
      <c r="H2304" s="24">
        <f>IFERROR(__xludf.DUMMYFUNCTION("""COMPUTED_VALUE"""),22.0)</f>
        <v>22</v>
      </c>
      <c r="I2304" s="24" t="str">
        <f>IFERROR(__xludf.DUMMYFUNCTION("""COMPUTED_VALUE"""),"STEAM toys")</f>
        <v>STEAM toys</v>
      </c>
    </row>
    <row r="2305">
      <c r="A2305" s="23">
        <f>IFERROR(__xludf.DUMMYFUNCTION("""COMPUTED_VALUE"""),44922.52616109954)</f>
        <v>44922.52616</v>
      </c>
      <c r="B2305" s="24" t="str">
        <f>IFERROR(__xludf.DUMMYFUNCTION("""COMPUTED_VALUE"""),"Claire")</f>
        <v>Claire</v>
      </c>
      <c r="C2305" s="24">
        <f>IFERROR(__xludf.DUMMYFUNCTION("""COMPUTED_VALUE"""),579.0)</f>
        <v>579</v>
      </c>
      <c r="D2305" s="24" t="str">
        <f>IFERROR(__xludf.DUMMYFUNCTION("""COMPUTED_VALUE"""),"Hand sanitizer ")</f>
        <v>Hand sanitizer </v>
      </c>
      <c r="F2305" s="23">
        <f>IFERROR(__xludf.DUMMYFUNCTION("""COMPUTED_VALUE"""),44825.70138380787)</f>
        <v>44825.70138</v>
      </c>
      <c r="G2305" s="24" t="str">
        <f>IFERROR(__xludf.DUMMYFUNCTION("""COMPUTED_VALUE"""),"Claire")</f>
        <v>Claire</v>
      </c>
      <c r="H2305" s="24">
        <f>IFERROR(__xludf.DUMMYFUNCTION("""COMPUTED_VALUE"""),116.0)</f>
        <v>116</v>
      </c>
      <c r="I2305" s="24" t="str">
        <f>IFERROR(__xludf.DUMMYFUNCTION("""COMPUTED_VALUE"""),"Snacks")</f>
        <v>Snacks</v>
      </c>
    </row>
    <row r="2306">
      <c r="A2306" s="23">
        <f>IFERROR(__xludf.DUMMYFUNCTION("""COMPUTED_VALUE"""),44922.52639519676)</f>
        <v>44922.5264</v>
      </c>
      <c r="B2306" s="24" t="str">
        <f>IFERROR(__xludf.DUMMYFUNCTION("""COMPUTED_VALUE"""),"Claire")</f>
        <v>Claire</v>
      </c>
      <c r="C2306" s="24">
        <f>IFERROR(__xludf.DUMMYFUNCTION("""COMPUTED_VALUE"""),104.0)</f>
        <v>104</v>
      </c>
      <c r="D2306" s="24" t="str">
        <f>IFERROR(__xludf.DUMMYFUNCTION("""COMPUTED_VALUE"""),"Gifts")</f>
        <v>Gifts</v>
      </c>
      <c r="F2306" s="23">
        <f>IFERROR(__xludf.DUMMYFUNCTION("""COMPUTED_VALUE"""),44825.70183959491)</f>
        <v>44825.70184</v>
      </c>
      <c r="G2306" s="24" t="str">
        <f>IFERROR(__xludf.DUMMYFUNCTION("""COMPUTED_VALUE"""),"Claire")</f>
        <v>Claire</v>
      </c>
      <c r="H2306" s="24">
        <f>IFERROR(__xludf.DUMMYFUNCTION("""COMPUTED_VALUE"""),567.0)</f>
        <v>567</v>
      </c>
      <c r="I2306" s="24" t="str">
        <f>IFERROR(__xludf.DUMMYFUNCTION("""COMPUTED_VALUE"""),"Dairy")</f>
        <v>Dairy</v>
      </c>
    </row>
    <row r="2307">
      <c r="A2307" s="23">
        <f>IFERROR(__xludf.DUMMYFUNCTION("""COMPUTED_VALUE"""),44922.52701278935)</f>
        <v>44922.52701</v>
      </c>
      <c r="B2307" s="24" t="str">
        <f>IFERROR(__xludf.DUMMYFUNCTION("""COMPUTED_VALUE"""),"Claire")</f>
        <v>Claire</v>
      </c>
      <c r="C2307" s="24">
        <f>IFERROR(__xludf.DUMMYFUNCTION("""COMPUTED_VALUE"""),623.0)</f>
        <v>623</v>
      </c>
      <c r="D2307" s="24" t="str">
        <f>IFERROR(__xludf.DUMMYFUNCTION("""COMPUTED_VALUE"""),"Produce")</f>
        <v>Produce</v>
      </c>
      <c r="F2307" s="23">
        <f>IFERROR(__xludf.DUMMYFUNCTION("""COMPUTED_VALUE"""),44825.70215128472)</f>
        <v>44825.70215</v>
      </c>
      <c r="G2307" s="24" t="str">
        <f>IFERROR(__xludf.DUMMYFUNCTION("""COMPUTED_VALUE"""),"Claire")</f>
        <v>Claire</v>
      </c>
      <c r="H2307" s="24">
        <f>IFERROR(__xludf.DUMMYFUNCTION("""COMPUTED_VALUE"""),298.0)</f>
        <v>298</v>
      </c>
      <c r="I2307" s="24" t="str">
        <f>IFERROR(__xludf.DUMMYFUNCTION("""COMPUTED_VALUE"""),"STEAM toys")</f>
        <v>STEAM toys</v>
      </c>
    </row>
    <row r="2308">
      <c r="A2308" s="23">
        <f>IFERROR(__xludf.DUMMYFUNCTION("""COMPUTED_VALUE"""),44922.527283530086)</f>
        <v>44922.52728</v>
      </c>
      <c r="B2308" s="24" t="str">
        <f>IFERROR(__xludf.DUMMYFUNCTION("""COMPUTED_VALUE"""),"Claire")</f>
        <v>Claire</v>
      </c>
      <c r="C2308" s="24">
        <f>IFERROR(__xludf.DUMMYFUNCTION("""COMPUTED_VALUE"""),912.0)</f>
        <v>912</v>
      </c>
      <c r="D2308" s="24" t="str">
        <f>IFERROR(__xludf.DUMMYFUNCTION("""COMPUTED_VALUE"""),"Frozen [Not Meat]")</f>
        <v>Frozen [Not Meat]</v>
      </c>
      <c r="F2308" s="23">
        <f>IFERROR(__xludf.DUMMYFUNCTION("""COMPUTED_VALUE"""),44825.70884575231)</f>
        <v>44825.70885</v>
      </c>
      <c r="G2308" s="24" t="str">
        <f>IFERROR(__xludf.DUMMYFUNCTION("""COMPUTED_VALUE"""),"Luke mayhew")</f>
        <v>Luke mayhew</v>
      </c>
      <c r="H2308" s="24">
        <f>IFERROR(__xludf.DUMMYFUNCTION("""COMPUTED_VALUE"""),20.0)</f>
        <v>20</v>
      </c>
      <c r="I2308" s="24"/>
    </row>
    <row r="2309">
      <c r="A2309" s="23">
        <f>IFERROR(__xludf.DUMMYFUNCTION("""COMPUTED_VALUE"""),44922.527537766204)</f>
        <v>44922.52754</v>
      </c>
      <c r="B2309" s="24" t="str">
        <f>IFERROR(__xludf.DUMMYFUNCTION("""COMPUTED_VALUE"""),"Claire")</f>
        <v>Claire</v>
      </c>
      <c r="C2309" s="24">
        <f>IFERROR(__xludf.DUMMYFUNCTION("""COMPUTED_VALUE"""),-181.0)</f>
        <v>-181</v>
      </c>
      <c r="D2309" s="24" t="str">
        <f>IFERROR(__xludf.DUMMYFUNCTION("""COMPUTED_VALUE"""),"Frozen [Not Meat]")</f>
        <v>Frozen [Not Meat]</v>
      </c>
      <c r="F2309" s="23">
        <f>IFERROR(__xludf.DUMMYFUNCTION("""COMPUTED_VALUE"""),44825.709478576384)</f>
        <v>44825.70948</v>
      </c>
      <c r="G2309" s="24" t="str">
        <f>IFERROR(__xludf.DUMMYFUNCTION("""COMPUTED_VALUE"""),"Luke Mayhew")</f>
        <v>Luke Mayhew</v>
      </c>
      <c r="H2309" s="24">
        <f>IFERROR(__xludf.DUMMYFUNCTION("""COMPUTED_VALUE"""),21.0)</f>
        <v>21</v>
      </c>
      <c r="I2309" s="24"/>
    </row>
    <row r="2310">
      <c r="A2310" s="23">
        <f>IFERROR(__xludf.DUMMYFUNCTION("""COMPUTED_VALUE"""),44922.52807741899)</f>
        <v>44922.52808</v>
      </c>
      <c r="B2310" s="24" t="str">
        <f>IFERROR(__xludf.DUMMYFUNCTION("""COMPUTED_VALUE"""),"Claire")</f>
        <v>Claire</v>
      </c>
      <c r="C2310" s="24">
        <f>IFERROR(__xludf.DUMMYFUNCTION("""COMPUTED_VALUE"""),-689.0)</f>
        <v>-689</v>
      </c>
      <c r="D2310" s="24" t="str">
        <f>IFERROR(__xludf.DUMMYFUNCTION("""COMPUTED_VALUE"""),"Frozen [Not Meat]")</f>
        <v>Frozen [Not Meat]</v>
      </c>
      <c r="F2310" s="23">
        <f>IFERROR(__xludf.DUMMYFUNCTION("""COMPUTED_VALUE"""),44825.7383748611)</f>
        <v>44825.73837</v>
      </c>
      <c r="G2310" s="24" t="str">
        <f>IFERROR(__xludf.DUMMYFUNCTION("""COMPUTED_VALUE"""),"Sheneil Black")</f>
        <v>Sheneil Black</v>
      </c>
      <c r="H2310" s="24">
        <f>IFERROR(__xludf.DUMMYFUNCTION("""COMPUTED_VALUE"""),113.0)</f>
        <v>113</v>
      </c>
      <c r="I2310" s="24" t="str">
        <f>IFERROR(__xludf.DUMMYFUNCTION("""COMPUTED_VALUE"""),"Drinks and snacks")</f>
        <v>Drinks and snacks</v>
      </c>
    </row>
    <row r="2311">
      <c r="A2311" s="23">
        <f>IFERROR(__xludf.DUMMYFUNCTION("""COMPUTED_VALUE"""),44922.52831318287)</f>
        <v>44922.52831</v>
      </c>
      <c r="B2311" s="24" t="str">
        <f>IFERROR(__xludf.DUMMYFUNCTION("""COMPUTED_VALUE"""),"Claire")</f>
        <v>Claire</v>
      </c>
      <c r="C2311" s="24">
        <f>IFERROR(__xludf.DUMMYFUNCTION("""COMPUTED_VALUE"""),-131.0)</f>
        <v>-131</v>
      </c>
      <c r="D2311" s="24" t="str">
        <f>IFERROR(__xludf.DUMMYFUNCTION("""COMPUTED_VALUE"""),"Assorted Fridge")</f>
        <v>Assorted Fridge</v>
      </c>
      <c r="F2311" s="23">
        <f>IFERROR(__xludf.DUMMYFUNCTION("""COMPUTED_VALUE"""),44825.83547936343)</f>
        <v>44825.83548</v>
      </c>
      <c r="G2311" s="24" t="str">
        <f>IFERROR(__xludf.DUMMYFUNCTION("""COMPUTED_VALUE"""),"Claire")</f>
        <v>Claire</v>
      </c>
      <c r="H2311" s="24">
        <f>IFERROR(__xludf.DUMMYFUNCTION("""COMPUTED_VALUE"""),211.0)</f>
        <v>211</v>
      </c>
      <c r="I2311" s="24" t="str">
        <f>IFERROR(__xludf.DUMMYFUNCTION("""COMPUTED_VALUE"""),"Amazon")</f>
        <v>Amazon</v>
      </c>
    </row>
    <row r="2312">
      <c r="A2312" s="23">
        <f>IFERROR(__xludf.DUMMYFUNCTION("""COMPUTED_VALUE"""),44922.52860621527)</f>
        <v>44922.52861</v>
      </c>
      <c r="B2312" s="24" t="str">
        <f>IFERROR(__xludf.DUMMYFUNCTION("""COMPUTED_VALUE"""),"Claire")</f>
        <v>Claire</v>
      </c>
      <c r="C2312" s="24">
        <f>IFERROR(__xludf.DUMMYFUNCTION("""COMPUTED_VALUE"""),-117.0)</f>
        <v>-117</v>
      </c>
      <c r="D2312" s="24" t="str">
        <f>IFERROR(__xludf.DUMMYFUNCTION("""COMPUTED_VALUE"""),"Dole fruit cups")</f>
        <v>Dole fruit cups</v>
      </c>
      <c r="F2312" s="23">
        <f>IFERROR(__xludf.DUMMYFUNCTION("""COMPUTED_VALUE"""),44825.83576167824)</f>
        <v>44825.83576</v>
      </c>
      <c r="G2312" s="24" t="str">
        <f>IFERROR(__xludf.DUMMYFUNCTION("""COMPUTED_VALUE"""),"Claire")</f>
        <v>Claire</v>
      </c>
      <c r="H2312" s="24">
        <f>IFERROR(__xludf.DUMMYFUNCTION("""COMPUTED_VALUE"""),803.0)</f>
        <v>803</v>
      </c>
      <c r="I2312" s="24" t="str">
        <f>IFERROR(__xludf.DUMMYFUNCTION("""COMPUTED_VALUE"""),"Amazon")</f>
        <v>Amazon</v>
      </c>
    </row>
    <row r="2313">
      <c r="A2313" s="23">
        <f>IFERROR(__xludf.DUMMYFUNCTION("""COMPUTED_VALUE"""),44922.64751548611)</f>
        <v>44922.64752</v>
      </c>
      <c r="B2313" s="24" t="str">
        <f>IFERROR(__xludf.DUMMYFUNCTION("""COMPUTED_VALUE"""),"Jean")</f>
        <v>Jean</v>
      </c>
      <c r="C2313" s="24">
        <f>IFERROR(__xludf.DUMMYFUNCTION("""COMPUTED_VALUE"""),1386.0)</f>
        <v>1386</v>
      </c>
      <c r="D2313" s="24" t="str">
        <f>IFERROR(__xludf.DUMMYFUNCTION("""COMPUTED_VALUE"""),"Drinks (fridge)")</f>
        <v>Drinks (fridge)</v>
      </c>
      <c r="F2313" s="23">
        <f>IFERROR(__xludf.DUMMYFUNCTION("""COMPUTED_VALUE"""),44825.836130613425)</f>
        <v>44825.83613</v>
      </c>
      <c r="G2313" s="24" t="str">
        <f>IFERROR(__xludf.DUMMYFUNCTION("""COMPUTED_VALUE"""),"Claire")</f>
        <v>Claire</v>
      </c>
      <c r="H2313" s="24">
        <f>IFERROR(__xludf.DUMMYFUNCTION("""COMPUTED_VALUE"""),652.0)</f>
        <v>652</v>
      </c>
      <c r="I2313" s="24" t="str">
        <f>IFERROR(__xludf.DUMMYFUNCTION("""COMPUTED_VALUE"""),"Amazon")</f>
        <v>Amazon</v>
      </c>
    </row>
    <row r="2314">
      <c r="A2314" s="23">
        <f>IFERROR(__xludf.DUMMYFUNCTION("""COMPUTED_VALUE"""),44922.648618206025)</f>
        <v>44922.64862</v>
      </c>
      <c r="B2314" s="24" t="str">
        <f>IFERROR(__xludf.DUMMYFUNCTION("""COMPUTED_VALUE"""),"Jean")</f>
        <v>Jean</v>
      </c>
      <c r="C2314" s="24">
        <f>IFERROR(__xludf.DUMMYFUNCTION("""COMPUTED_VALUE"""),2144.0)</f>
        <v>2144</v>
      </c>
      <c r="D2314" s="24" t="str">
        <f>IFERROR(__xludf.DUMMYFUNCTION("""COMPUTED_VALUE"""),"Drinks (fridge)")</f>
        <v>Drinks (fridge)</v>
      </c>
      <c r="F2314" s="23">
        <f>IFERROR(__xludf.DUMMYFUNCTION("""COMPUTED_VALUE"""),44825.83636769676)</f>
        <v>44825.83637</v>
      </c>
      <c r="G2314" s="24" t="str">
        <f>IFERROR(__xludf.DUMMYFUNCTION("""COMPUTED_VALUE"""),"Claire")</f>
        <v>Claire</v>
      </c>
      <c r="H2314" s="24">
        <f>IFERROR(__xludf.DUMMYFUNCTION("""COMPUTED_VALUE"""),554.0)</f>
        <v>554</v>
      </c>
      <c r="I2314" s="24" t="str">
        <f>IFERROR(__xludf.DUMMYFUNCTION("""COMPUTED_VALUE"""),"Amazon")</f>
        <v>Amazon</v>
      </c>
    </row>
    <row r="2315">
      <c r="A2315" s="23">
        <f>IFERROR(__xludf.DUMMYFUNCTION("""COMPUTED_VALUE"""),44922.64944773148)</f>
        <v>44922.64945</v>
      </c>
      <c r="B2315" s="24" t="str">
        <f>IFERROR(__xludf.DUMMYFUNCTION("""COMPUTED_VALUE"""),"Jean")</f>
        <v>Jean</v>
      </c>
      <c r="C2315" s="24">
        <f>IFERROR(__xludf.DUMMYFUNCTION("""COMPUTED_VALUE"""),1566.0)</f>
        <v>1566</v>
      </c>
      <c r="D2315" s="24" t="str">
        <f>IFERROR(__xludf.DUMMYFUNCTION("""COMPUTED_VALUE"""),"Drinks (fridge)")</f>
        <v>Drinks (fridge)</v>
      </c>
      <c r="F2315" s="23">
        <f>IFERROR(__xludf.DUMMYFUNCTION("""COMPUTED_VALUE"""),44826.0)</f>
        <v>44826</v>
      </c>
      <c r="G2315" s="24" t="str">
        <f>IFERROR(__xludf.DUMMYFUNCTION("""COMPUTED_VALUE"""),"Claire")</f>
        <v>Claire</v>
      </c>
      <c r="H2315" s="24">
        <f>IFERROR(__xludf.DUMMYFUNCTION("""COMPUTED_VALUE"""),396.0)</f>
        <v>396</v>
      </c>
      <c r="I2315" s="24" t="str">
        <f>IFERROR(__xludf.DUMMYFUNCTION("""COMPUTED_VALUE"""),"Whitebox ")</f>
        <v>Whitebox </v>
      </c>
    </row>
    <row r="2316">
      <c r="A2316" s="23">
        <f>IFERROR(__xludf.DUMMYFUNCTION("""COMPUTED_VALUE"""),44922.650164178245)</f>
        <v>44922.65016</v>
      </c>
      <c r="B2316" s="24" t="str">
        <f>IFERROR(__xludf.DUMMYFUNCTION("""COMPUTED_VALUE"""),"Jean")</f>
        <v>Jean</v>
      </c>
      <c r="C2316" s="24">
        <f>IFERROR(__xludf.DUMMYFUNCTION("""COMPUTED_VALUE"""),2023.0)</f>
        <v>2023</v>
      </c>
      <c r="D2316" s="24" t="str">
        <f>IFERROR(__xludf.DUMMYFUNCTION("""COMPUTED_VALUE"""),"Drinks (fridge)")</f>
        <v>Drinks (fridge)</v>
      </c>
      <c r="F2316" s="23">
        <f>IFERROR(__xludf.DUMMYFUNCTION("""COMPUTED_VALUE"""),44826.0)</f>
        <v>44826</v>
      </c>
      <c r="G2316" s="24" t="str">
        <f>IFERROR(__xludf.DUMMYFUNCTION("""COMPUTED_VALUE"""),"Claire")</f>
        <v>Claire</v>
      </c>
      <c r="H2316" s="24">
        <f>IFERROR(__xludf.DUMMYFUNCTION("""COMPUTED_VALUE"""),291.0)</f>
        <v>291</v>
      </c>
      <c r="I2316" s="24" t="str">
        <f>IFERROR(__xludf.DUMMYFUNCTION("""COMPUTED_VALUE"""),"Whitebox ")</f>
        <v>Whitebox </v>
      </c>
    </row>
    <row r="2317">
      <c r="A2317" s="23">
        <f>IFERROR(__xludf.DUMMYFUNCTION("""COMPUTED_VALUE"""),44922.65091737268)</f>
        <v>44922.65092</v>
      </c>
      <c r="B2317" s="24" t="str">
        <f>IFERROR(__xludf.DUMMYFUNCTION("""COMPUTED_VALUE"""),"Jean")</f>
        <v>Jean</v>
      </c>
      <c r="C2317" s="24">
        <f>IFERROR(__xludf.DUMMYFUNCTION("""COMPUTED_VALUE"""),462.0)</f>
        <v>462</v>
      </c>
      <c r="D2317" s="24" t="str">
        <f>IFERROR(__xludf.DUMMYFUNCTION("""COMPUTED_VALUE"""),"Dairy")</f>
        <v>Dairy</v>
      </c>
      <c r="F2317" s="23">
        <f>IFERROR(__xludf.DUMMYFUNCTION("""COMPUTED_VALUE"""),44826.0)</f>
        <v>44826</v>
      </c>
      <c r="G2317" s="24" t="str">
        <f>IFERROR(__xludf.DUMMYFUNCTION("""COMPUTED_VALUE"""),"Claire")</f>
        <v>Claire</v>
      </c>
      <c r="H2317" s="24">
        <f>IFERROR(__xludf.DUMMYFUNCTION("""COMPUTED_VALUE"""),412.0)</f>
        <v>412</v>
      </c>
      <c r="I2317" s="24" t="str">
        <f>IFERROR(__xludf.DUMMYFUNCTION("""COMPUTED_VALUE"""),"Whitebox ")</f>
        <v>Whitebox </v>
      </c>
    </row>
    <row r="2318">
      <c r="A2318" s="23">
        <f>IFERROR(__xludf.DUMMYFUNCTION("""COMPUTED_VALUE"""),44923.62496800926)</f>
        <v>44923.62497</v>
      </c>
      <c r="B2318" s="24" t="str">
        <f>IFERROR(__xludf.DUMMYFUNCTION("""COMPUTED_VALUE"""),"JUANITA Chandler ")</f>
        <v>JUANITA Chandler </v>
      </c>
      <c r="C2318" s="24">
        <f>IFERROR(__xludf.DUMMYFUNCTION("""COMPUTED_VALUE"""),1235.0)</f>
        <v>1235</v>
      </c>
      <c r="D2318" s="24" t="str">
        <f>IFERROR(__xludf.DUMMYFUNCTION("""COMPUTED_VALUE"""),"DOLE Fruit Cup ")</f>
        <v>DOLE Fruit Cup </v>
      </c>
      <c r="F2318" s="23">
        <f>IFERROR(__xludf.DUMMYFUNCTION("""COMPUTED_VALUE"""),44826.0)</f>
        <v>44826</v>
      </c>
      <c r="G2318" s="24" t="str">
        <f>IFERROR(__xludf.DUMMYFUNCTION("""COMPUTED_VALUE"""),"Claire")</f>
        <v>Claire</v>
      </c>
      <c r="H2318" s="24">
        <f>IFERROR(__xludf.DUMMYFUNCTION("""COMPUTED_VALUE"""),380.0)</f>
        <v>380</v>
      </c>
      <c r="I2318" s="24" t="str">
        <f>IFERROR(__xludf.DUMMYFUNCTION("""COMPUTED_VALUE"""),"Whitebox ")</f>
        <v>Whitebox </v>
      </c>
    </row>
    <row r="2319">
      <c r="A2319" s="23">
        <f>IFERROR(__xludf.DUMMYFUNCTION("""COMPUTED_VALUE"""),44923.627004999995)</f>
        <v>44923.62701</v>
      </c>
      <c r="B2319" s="24" t="str">
        <f>IFERROR(__xludf.DUMMYFUNCTION("""COMPUTED_VALUE"""),"JUANITA Chandler ")</f>
        <v>JUANITA Chandler </v>
      </c>
      <c r="C2319" s="24">
        <f>IFERROR(__xludf.DUMMYFUNCTION("""COMPUTED_VALUE"""),90.0)</f>
        <v>90</v>
      </c>
      <c r="D2319" s="24" t="str">
        <f>IFERROR(__xludf.DUMMYFUNCTION("""COMPUTED_VALUE"""),"Assorted Dry")</f>
        <v>Assorted Dry</v>
      </c>
      <c r="F2319" s="23">
        <f>IFERROR(__xludf.DUMMYFUNCTION("""COMPUTED_VALUE"""),44826.0)</f>
        <v>44826</v>
      </c>
      <c r="G2319" s="24" t="str">
        <f>IFERROR(__xludf.DUMMYFUNCTION("""COMPUTED_VALUE"""),"Claire")</f>
        <v>Claire</v>
      </c>
      <c r="H2319" s="24">
        <f>IFERROR(__xludf.DUMMYFUNCTION("""COMPUTED_VALUE"""),596.0)</f>
        <v>596</v>
      </c>
      <c r="I2319" s="24" t="str">
        <f>IFERROR(__xludf.DUMMYFUNCTION("""COMPUTED_VALUE"""),"Whitebox ")</f>
        <v>Whitebox </v>
      </c>
    </row>
    <row r="2320">
      <c r="A2320" s="23">
        <f>IFERROR(__xludf.DUMMYFUNCTION("""COMPUTED_VALUE"""),44923.62771217593)</f>
        <v>44923.62771</v>
      </c>
      <c r="B2320" s="24" t="str">
        <f>IFERROR(__xludf.DUMMYFUNCTION("""COMPUTED_VALUE"""),"JUANITA Chandler ")</f>
        <v>JUANITA Chandler </v>
      </c>
      <c r="C2320" s="24">
        <f>IFERROR(__xludf.DUMMYFUNCTION("""COMPUTED_VALUE"""),149.0)</f>
        <v>149</v>
      </c>
      <c r="D2320" s="24" t="str">
        <f>IFERROR(__xludf.DUMMYFUNCTION("""COMPUTED_VALUE"""),"Assorted Dry")</f>
        <v>Assorted Dry</v>
      </c>
      <c r="F2320" s="23">
        <f>IFERROR(__xludf.DUMMYFUNCTION("""COMPUTED_VALUE"""),44826.0)</f>
        <v>44826</v>
      </c>
      <c r="G2320" s="24" t="str">
        <f>IFERROR(__xludf.DUMMYFUNCTION("""COMPUTED_VALUE"""),"Claire")</f>
        <v>Claire</v>
      </c>
      <c r="H2320" s="24">
        <f>IFERROR(__xludf.DUMMYFUNCTION("""COMPUTED_VALUE"""),271.0)</f>
        <v>271</v>
      </c>
      <c r="I2320" s="24" t="str">
        <f>IFERROR(__xludf.DUMMYFUNCTION("""COMPUTED_VALUE"""),"Whitebox ")</f>
        <v>Whitebox </v>
      </c>
    </row>
    <row r="2321">
      <c r="A2321" s="23">
        <f>IFERROR(__xludf.DUMMYFUNCTION("""COMPUTED_VALUE"""),44923.62832664351)</f>
        <v>44923.62833</v>
      </c>
      <c r="B2321" s="24" t="str">
        <f>IFERROR(__xludf.DUMMYFUNCTION("""COMPUTED_VALUE"""),"JUANITA Chandler ")</f>
        <v>JUANITA Chandler </v>
      </c>
      <c r="C2321" s="24">
        <f>IFERROR(__xludf.DUMMYFUNCTION("""COMPUTED_VALUE"""),49.0)</f>
        <v>49</v>
      </c>
      <c r="D2321" s="24" t="str">
        <f>IFERROR(__xludf.DUMMYFUNCTION("""COMPUTED_VALUE"""),"Assorted Dry")</f>
        <v>Assorted Dry</v>
      </c>
      <c r="F2321" s="23">
        <f>IFERROR(__xludf.DUMMYFUNCTION("""COMPUTED_VALUE"""),44826.0)</f>
        <v>44826</v>
      </c>
      <c r="G2321" s="24" t="str">
        <f>IFERROR(__xludf.DUMMYFUNCTION("""COMPUTED_VALUE"""),"Claire")</f>
        <v>Claire</v>
      </c>
      <c r="H2321" s="24">
        <f>IFERROR(__xludf.DUMMYFUNCTION("""COMPUTED_VALUE"""),61.0)</f>
        <v>61</v>
      </c>
      <c r="I2321" s="24" t="str">
        <f>IFERROR(__xludf.DUMMYFUNCTION("""COMPUTED_VALUE"""),"Toys &amp; Snacks")</f>
        <v>Toys &amp; Snacks</v>
      </c>
    </row>
    <row r="2322">
      <c r="A2322" s="23">
        <f>IFERROR(__xludf.DUMMYFUNCTION("""COMPUTED_VALUE"""),44923.629150266206)</f>
        <v>44923.62915</v>
      </c>
      <c r="B2322" s="24" t="str">
        <f>IFERROR(__xludf.DUMMYFUNCTION("""COMPUTED_VALUE"""),"JUANITA Chandler ")</f>
        <v>JUANITA Chandler </v>
      </c>
      <c r="C2322" s="24">
        <f>IFERROR(__xludf.DUMMYFUNCTION("""COMPUTED_VALUE"""),239.0)</f>
        <v>239</v>
      </c>
      <c r="D2322" s="24" t="str">
        <f>IFERROR(__xludf.DUMMYFUNCTION("""COMPUTED_VALUE"""),"Frozen [Not Meat]")</f>
        <v>Frozen [Not Meat]</v>
      </c>
      <c r="F2322" s="23">
        <f>IFERROR(__xludf.DUMMYFUNCTION("""COMPUTED_VALUE"""),44826.0)</f>
        <v>44826</v>
      </c>
      <c r="G2322" s="24" t="str">
        <f>IFERROR(__xludf.DUMMYFUNCTION("""COMPUTED_VALUE"""),"Claire")</f>
        <v>Claire</v>
      </c>
      <c r="H2322" s="24">
        <f>IFERROR(__xludf.DUMMYFUNCTION("""COMPUTED_VALUE"""),60.0)</f>
        <v>60</v>
      </c>
      <c r="I2322" s="24" t="str">
        <f>IFERROR(__xludf.DUMMYFUNCTION("""COMPUTED_VALUE"""),"Toys &amp; Snacks")</f>
        <v>Toys &amp; Snacks</v>
      </c>
    </row>
    <row r="2323">
      <c r="A2323" s="23">
        <f>IFERROR(__xludf.DUMMYFUNCTION("""COMPUTED_VALUE"""),44923.62981755788)</f>
        <v>44923.62982</v>
      </c>
      <c r="B2323" s="24" t="str">
        <f>IFERROR(__xludf.DUMMYFUNCTION("""COMPUTED_VALUE"""),"JUANITA Chandler ")</f>
        <v>JUANITA Chandler </v>
      </c>
      <c r="C2323" s="24">
        <f>IFERROR(__xludf.DUMMYFUNCTION("""COMPUTED_VALUE"""),853.0)</f>
        <v>853</v>
      </c>
      <c r="D2323" s="24" t="str">
        <f>IFERROR(__xludf.DUMMYFUNCTION("""COMPUTED_VALUE"""),"Dairy")</f>
        <v>Dairy</v>
      </c>
      <c r="F2323" s="23">
        <f>IFERROR(__xludf.DUMMYFUNCTION("""COMPUTED_VALUE"""),44826.0)</f>
        <v>44826</v>
      </c>
      <c r="G2323" s="24" t="str">
        <f>IFERROR(__xludf.DUMMYFUNCTION("""COMPUTED_VALUE"""),"Claire")</f>
        <v>Claire</v>
      </c>
      <c r="H2323" s="24">
        <f>IFERROR(__xludf.DUMMYFUNCTION("""COMPUTED_VALUE"""),70.0)</f>
        <v>70</v>
      </c>
      <c r="I2323" s="24" t="str">
        <f>IFERROR(__xludf.DUMMYFUNCTION("""COMPUTED_VALUE"""),"Toys &amp; Snacks")</f>
        <v>Toys &amp; Snacks</v>
      </c>
    </row>
    <row r="2324">
      <c r="A2324" s="23">
        <f>IFERROR(__xludf.DUMMYFUNCTION("""COMPUTED_VALUE"""),44923.630798356484)</f>
        <v>44923.6308</v>
      </c>
      <c r="B2324" s="24" t="str">
        <f>IFERROR(__xludf.DUMMYFUNCTION("""COMPUTED_VALUE"""),"JUANITA Chandler ")</f>
        <v>JUANITA Chandler </v>
      </c>
      <c r="C2324" s="24">
        <f>IFERROR(__xludf.DUMMYFUNCTION("""COMPUTED_VALUE"""),764.0)</f>
        <v>764</v>
      </c>
      <c r="D2324" s="24" t="str">
        <f>IFERROR(__xludf.DUMMYFUNCTION("""COMPUTED_VALUE"""),"Dole  Fruit Cup ")</f>
        <v>Dole  Fruit Cup </v>
      </c>
      <c r="F2324" s="23">
        <f>IFERROR(__xludf.DUMMYFUNCTION("""COMPUTED_VALUE"""),44826.0)</f>
        <v>44826</v>
      </c>
      <c r="G2324" s="24" t="str">
        <f>IFERROR(__xludf.DUMMYFUNCTION("""COMPUTED_VALUE"""),"Jean")</f>
        <v>Jean</v>
      </c>
      <c r="H2324" s="24">
        <f>IFERROR(__xludf.DUMMYFUNCTION("""COMPUTED_VALUE"""),19.0)</f>
        <v>19</v>
      </c>
      <c r="I2324" s="24"/>
    </row>
    <row r="2325">
      <c r="A2325" s="23">
        <f>IFERROR(__xludf.DUMMYFUNCTION("""COMPUTED_VALUE"""),44923.63141258102)</f>
        <v>44923.63141</v>
      </c>
      <c r="B2325" s="24" t="str">
        <f>IFERROR(__xludf.DUMMYFUNCTION("""COMPUTED_VALUE"""),"JUANITA Chandler ")</f>
        <v>JUANITA Chandler </v>
      </c>
      <c r="C2325" s="24">
        <f>IFERROR(__xludf.DUMMYFUNCTION("""COMPUTED_VALUE"""),231.0)</f>
        <v>231</v>
      </c>
      <c r="D2325" s="24" t="str">
        <f>IFERROR(__xludf.DUMMYFUNCTION("""COMPUTED_VALUE"""),"Frozen [Not Meat]")</f>
        <v>Frozen [Not Meat]</v>
      </c>
      <c r="F2325" s="23">
        <f>IFERROR(__xludf.DUMMYFUNCTION("""COMPUTED_VALUE"""),44826.0)</f>
        <v>44826</v>
      </c>
      <c r="G2325" s="24" t="str">
        <f>IFERROR(__xludf.DUMMYFUNCTION("""COMPUTED_VALUE"""),"Jean")</f>
        <v>Jean</v>
      </c>
      <c r="H2325" s="24">
        <f>IFERROR(__xludf.DUMMYFUNCTION("""COMPUTED_VALUE"""),10.0)</f>
        <v>10</v>
      </c>
      <c r="I2325" s="24"/>
    </row>
    <row r="2326">
      <c r="A2326" s="23">
        <f>IFERROR(__xludf.DUMMYFUNCTION("""COMPUTED_VALUE"""),44923.63183363425)</f>
        <v>44923.63183</v>
      </c>
      <c r="B2326" s="24" t="str">
        <f>IFERROR(__xludf.DUMMYFUNCTION("""COMPUTED_VALUE"""),"JUANITA Chandler ")</f>
        <v>JUANITA Chandler </v>
      </c>
      <c r="C2326" s="24">
        <f>IFERROR(__xludf.DUMMYFUNCTION("""COMPUTED_VALUE"""),864.0)</f>
        <v>864</v>
      </c>
      <c r="D2326" s="24" t="str">
        <f>IFERROR(__xludf.DUMMYFUNCTION("""COMPUTED_VALUE"""),"Dairy")</f>
        <v>Dairy</v>
      </c>
      <c r="F2326" s="23">
        <f>IFERROR(__xludf.DUMMYFUNCTION("""COMPUTED_VALUE"""),44826.0)</f>
        <v>44826</v>
      </c>
      <c r="G2326" s="24" t="str">
        <f>IFERROR(__xludf.DUMMYFUNCTION("""COMPUTED_VALUE"""),"Denise Brown")</f>
        <v>Denise Brown</v>
      </c>
      <c r="H2326" s="24">
        <f>IFERROR(__xludf.DUMMYFUNCTION("""COMPUTED_VALUE"""),15.0)</f>
        <v>15</v>
      </c>
      <c r="I2326" s="24"/>
    </row>
    <row r="2327">
      <c r="A2327" s="23">
        <f>IFERROR(__xludf.DUMMYFUNCTION("""COMPUTED_VALUE"""),44924.61239991898)</f>
        <v>44924.6124</v>
      </c>
      <c r="B2327" s="24" t="str">
        <f>IFERROR(__xludf.DUMMYFUNCTION("""COMPUTED_VALUE"""),"Opeyemi ")</f>
        <v>Opeyemi </v>
      </c>
      <c r="C2327" s="24">
        <f>IFERROR(__xludf.DUMMYFUNCTION("""COMPUTED_VALUE"""),1317.0)</f>
        <v>1317</v>
      </c>
      <c r="D2327" s="24" t="str">
        <f>IFERROR(__xludf.DUMMYFUNCTION("""COMPUTED_VALUE"""),"Assorted Dry")</f>
        <v>Assorted Dry</v>
      </c>
      <c r="F2327" s="23">
        <f>IFERROR(__xludf.DUMMYFUNCTION("""COMPUTED_VALUE"""),44826.0)</f>
        <v>44826</v>
      </c>
      <c r="G2327" s="24" t="str">
        <f>IFERROR(__xludf.DUMMYFUNCTION("""COMPUTED_VALUE"""),"Denise Brown")</f>
        <v>Denise Brown</v>
      </c>
      <c r="H2327" s="24">
        <f>IFERROR(__xludf.DUMMYFUNCTION("""COMPUTED_VALUE"""),2.0)</f>
        <v>2</v>
      </c>
      <c r="I2327" s="24"/>
    </row>
    <row r="2328">
      <c r="A2328" s="23">
        <f>IFERROR(__xludf.DUMMYFUNCTION("""COMPUTED_VALUE"""),44924.65891921296)</f>
        <v>44924.65892</v>
      </c>
      <c r="B2328" s="24" t="str">
        <f>IFERROR(__xludf.DUMMYFUNCTION("""COMPUTED_VALUE"""),"Vincent Faulk")</f>
        <v>Vincent Faulk</v>
      </c>
      <c r="C2328" s="24">
        <f>IFERROR(__xludf.DUMMYFUNCTION("""COMPUTED_VALUE"""),758.0)</f>
        <v>758</v>
      </c>
      <c r="D2328" s="24" t="str">
        <f>IFERROR(__xludf.DUMMYFUNCTION("""COMPUTED_VALUE"""),"Dairy")</f>
        <v>Dairy</v>
      </c>
      <c r="F2328" s="23">
        <f>IFERROR(__xludf.DUMMYFUNCTION("""COMPUTED_VALUE"""),44826.0)</f>
        <v>44826</v>
      </c>
      <c r="G2328" s="24" t="str">
        <f>IFERROR(__xludf.DUMMYFUNCTION("""COMPUTED_VALUE"""),"Hong Xue")</f>
        <v>Hong Xue</v>
      </c>
      <c r="H2328" s="24">
        <f>IFERROR(__xludf.DUMMYFUNCTION("""COMPUTED_VALUE"""),20.0)</f>
        <v>20</v>
      </c>
      <c r="I2328" s="24"/>
    </row>
    <row r="2329">
      <c r="A2329" s="23">
        <f>IFERROR(__xludf.DUMMYFUNCTION("""COMPUTED_VALUE"""),44924.65969079861)</f>
        <v>44924.65969</v>
      </c>
      <c r="B2329" s="24" t="str">
        <f>IFERROR(__xludf.DUMMYFUNCTION("""COMPUTED_VALUE"""),"Vincent Faulk")</f>
        <v>Vincent Faulk</v>
      </c>
      <c r="C2329" s="24">
        <f>IFERROR(__xludf.DUMMYFUNCTION("""COMPUTED_VALUE"""),608.0)</f>
        <v>608</v>
      </c>
      <c r="D2329" s="24" t="str">
        <f>IFERROR(__xludf.DUMMYFUNCTION("""COMPUTED_VALUE"""),"Dole fruit cups")</f>
        <v>Dole fruit cups</v>
      </c>
      <c r="F2329" s="23">
        <f>IFERROR(__xludf.DUMMYFUNCTION("""COMPUTED_VALUE"""),44826.0)</f>
        <v>44826</v>
      </c>
      <c r="G2329" s="24" t="str">
        <f>IFERROR(__xludf.DUMMYFUNCTION("""COMPUTED_VALUE"""),"Hong Xue")</f>
        <v>Hong Xue</v>
      </c>
      <c r="H2329" s="24">
        <f>IFERROR(__xludf.DUMMYFUNCTION("""COMPUTED_VALUE"""),26.0)</f>
        <v>26</v>
      </c>
      <c r="I2329" s="24"/>
    </row>
    <row r="2330">
      <c r="A2330" s="23">
        <f>IFERROR(__xludf.DUMMYFUNCTION("""COMPUTED_VALUE"""),44924.66037600695)</f>
        <v>44924.66038</v>
      </c>
      <c r="B2330" s="24" t="str">
        <f>IFERROR(__xludf.DUMMYFUNCTION("""COMPUTED_VALUE"""),"Vincent Faulk")</f>
        <v>Vincent Faulk</v>
      </c>
      <c r="C2330" s="24">
        <f>IFERROR(__xludf.DUMMYFUNCTION("""COMPUTED_VALUE"""),127.0)</f>
        <v>127</v>
      </c>
      <c r="D2330" s="24" t="str">
        <f>IFERROR(__xludf.DUMMYFUNCTION("""COMPUTED_VALUE"""),"Pastry")</f>
        <v>Pastry</v>
      </c>
      <c r="F2330" s="23">
        <f>IFERROR(__xludf.DUMMYFUNCTION("""COMPUTED_VALUE"""),44826.0)</f>
        <v>44826</v>
      </c>
      <c r="G2330" s="24" t="str">
        <f>IFERROR(__xludf.DUMMYFUNCTION("""COMPUTED_VALUE"""),"Aziza Frank")</f>
        <v>Aziza Frank</v>
      </c>
      <c r="H2330" s="24">
        <f>IFERROR(__xludf.DUMMYFUNCTION("""COMPUTED_VALUE"""),19.0)</f>
        <v>19</v>
      </c>
      <c r="I2330" s="24"/>
    </row>
    <row r="2331">
      <c r="A2331" s="23">
        <f>IFERROR(__xludf.DUMMYFUNCTION("""COMPUTED_VALUE"""),44924.66118581019)</f>
        <v>44924.66119</v>
      </c>
      <c r="B2331" s="24" t="str">
        <f>IFERROR(__xludf.DUMMYFUNCTION("""COMPUTED_VALUE"""),"Vincent Faulk")</f>
        <v>Vincent Faulk</v>
      </c>
      <c r="C2331" s="24">
        <f>IFERROR(__xludf.DUMMYFUNCTION("""COMPUTED_VALUE"""),-212.0)</f>
        <v>-212</v>
      </c>
      <c r="D2331" s="24" t="str">
        <f>IFERROR(__xludf.DUMMYFUNCTION("""COMPUTED_VALUE"""),"Dairy")</f>
        <v>Dairy</v>
      </c>
      <c r="F2331" s="23">
        <f>IFERROR(__xludf.DUMMYFUNCTION("""COMPUTED_VALUE"""),44826.0)</f>
        <v>44826</v>
      </c>
      <c r="G2331" s="24" t="str">
        <f>IFERROR(__xludf.DUMMYFUNCTION("""COMPUTED_VALUE"""),"Aziza Frank")</f>
        <v>Aziza Frank</v>
      </c>
      <c r="H2331" s="24">
        <f>IFERROR(__xludf.DUMMYFUNCTION("""COMPUTED_VALUE"""),11.0)</f>
        <v>11</v>
      </c>
      <c r="I2331" s="24" t="str">
        <f>IFERROR(__xludf.DUMMYFUNCTION("""COMPUTED_VALUE"""),"Pet Supplies")</f>
        <v>Pet Supplies</v>
      </c>
    </row>
    <row r="2332">
      <c r="A2332" s="23">
        <f>IFERROR(__xludf.DUMMYFUNCTION("""COMPUTED_VALUE"""),44925.68660746528)</f>
        <v>44925.68661</v>
      </c>
      <c r="B2332" s="24" t="str">
        <f>IFERROR(__xludf.DUMMYFUNCTION("""COMPUTED_VALUE"""),"Sunita pathik")</f>
        <v>Sunita pathik</v>
      </c>
      <c r="C2332" s="24">
        <f>IFERROR(__xludf.DUMMYFUNCTION("""COMPUTED_VALUE"""),232.0)</f>
        <v>232</v>
      </c>
      <c r="D2332" s="24" t="str">
        <f>IFERROR(__xludf.DUMMYFUNCTION("""COMPUTED_VALUE"""),"Assorted Fridge")</f>
        <v>Assorted Fridge</v>
      </c>
      <c r="F2332" s="23">
        <f>IFERROR(__xludf.DUMMYFUNCTION("""COMPUTED_VALUE"""),44826.0)</f>
        <v>44826</v>
      </c>
      <c r="G2332" s="24" t="str">
        <f>IFERROR(__xludf.DUMMYFUNCTION("""COMPUTED_VALUE"""),"Nathaniel McClean")</f>
        <v>Nathaniel McClean</v>
      </c>
      <c r="H2332" s="24">
        <f>IFERROR(__xludf.DUMMYFUNCTION("""COMPUTED_VALUE"""),19.0)</f>
        <v>19</v>
      </c>
      <c r="I2332" s="24"/>
    </row>
    <row r="2333">
      <c r="A2333" s="23">
        <f>IFERROR(__xludf.DUMMYFUNCTION("""COMPUTED_VALUE"""),44926.54473570602)</f>
        <v>44926.54474</v>
      </c>
      <c r="B2333" s="24" t="str">
        <f>IFERROR(__xludf.DUMMYFUNCTION("""COMPUTED_VALUE"""),"JUANITA Chandler ")</f>
        <v>JUANITA Chandler </v>
      </c>
      <c r="C2333" s="24">
        <f>IFERROR(__xludf.DUMMYFUNCTION("""COMPUTED_VALUE"""),667.0)</f>
        <v>667</v>
      </c>
      <c r="D2333" s="24" t="str">
        <f>IFERROR(__xludf.DUMMYFUNCTION("""COMPUTED_VALUE"""),"Hand sanitizer ")</f>
        <v>Hand sanitizer </v>
      </c>
      <c r="F2333" s="23">
        <f>IFERROR(__xludf.DUMMYFUNCTION("""COMPUTED_VALUE"""),44826.0)</f>
        <v>44826</v>
      </c>
      <c r="G2333" s="24" t="str">
        <f>IFERROR(__xludf.DUMMYFUNCTION("""COMPUTED_VALUE"""),"Nathaniel McClean")</f>
        <v>Nathaniel McClean</v>
      </c>
      <c r="H2333" s="24">
        <f>IFERROR(__xludf.DUMMYFUNCTION("""COMPUTED_VALUE"""),15.0)</f>
        <v>15</v>
      </c>
      <c r="I2333" s="24"/>
    </row>
    <row r="2334">
      <c r="A2334" s="23">
        <f>IFERROR(__xludf.DUMMYFUNCTION("""COMPUTED_VALUE"""),44926.54557618056)</f>
        <v>44926.54558</v>
      </c>
      <c r="B2334" s="24" t="str">
        <f>IFERROR(__xludf.DUMMYFUNCTION("""COMPUTED_VALUE"""),"JUANITA Chandler ")</f>
        <v>JUANITA Chandler </v>
      </c>
      <c r="C2334" s="24">
        <f>IFERROR(__xludf.DUMMYFUNCTION("""COMPUTED_VALUE"""),1112.0)</f>
        <v>1112</v>
      </c>
      <c r="D2334" s="24" t="str">
        <f>IFERROR(__xludf.DUMMYFUNCTION("""COMPUTED_VALUE"""),"Dole fruit cup ")</f>
        <v>Dole fruit cup </v>
      </c>
      <c r="F2334" s="23">
        <f>IFERROR(__xludf.DUMMYFUNCTION("""COMPUTED_VALUE"""),44826.0)</f>
        <v>44826</v>
      </c>
      <c r="G2334" s="24" t="str">
        <f>IFERROR(__xludf.DUMMYFUNCTION("""COMPUTED_VALUE"""),"Melissa Thomas")</f>
        <v>Melissa Thomas</v>
      </c>
      <c r="H2334" s="24">
        <f>IFERROR(__xludf.DUMMYFUNCTION("""COMPUTED_VALUE"""),18.0)</f>
        <v>18</v>
      </c>
      <c r="I2334" s="24"/>
    </row>
    <row r="2335">
      <c r="A2335" s="23">
        <f>IFERROR(__xludf.DUMMYFUNCTION("""COMPUTED_VALUE"""),44926.54628064815)</f>
        <v>44926.54628</v>
      </c>
      <c r="B2335" s="24" t="str">
        <f>IFERROR(__xludf.DUMMYFUNCTION("""COMPUTED_VALUE"""),"JUANITA Chandler ")</f>
        <v>JUANITA Chandler </v>
      </c>
      <c r="C2335" s="24">
        <f>IFERROR(__xludf.DUMMYFUNCTION("""COMPUTED_VALUE"""),295.0)</f>
        <v>295</v>
      </c>
      <c r="D2335" s="24" t="str">
        <f>IFERROR(__xludf.DUMMYFUNCTION("""COMPUTED_VALUE"""),"Grains (rice, pasta, etc.)")</f>
        <v>Grains (rice, pasta, etc.)</v>
      </c>
      <c r="F2335" s="23">
        <f>IFERROR(__xludf.DUMMYFUNCTION("""COMPUTED_VALUE"""),44826.0)</f>
        <v>44826</v>
      </c>
      <c r="G2335" s="24" t="str">
        <f>IFERROR(__xludf.DUMMYFUNCTION("""COMPUTED_VALUE"""),"Melissa Thomas")</f>
        <v>Melissa Thomas</v>
      </c>
      <c r="H2335" s="24">
        <f>IFERROR(__xludf.DUMMYFUNCTION("""COMPUTED_VALUE"""),20.0)</f>
        <v>20</v>
      </c>
      <c r="I2335" s="24"/>
    </row>
    <row r="2336">
      <c r="A2336" s="23">
        <f>IFERROR(__xludf.DUMMYFUNCTION("""COMPUTED_VALUE"""),44926.549180462964)</f>
        <v>44926.54918</v>
      </c>
      <c r="B2336" s="24" t="str">
        <f>IFERROR(__xludf.DUMMYFUNCTION("""COMPUTED_VALUE"""),"JUANITA Chandler ")</f>
        <v>JUANITA Chandler </v>
      </c>
      <c r="C2336" s="24">
        <f>IFERROR(__xludf.DUMMYFUNCTION("""COMPUTED_VALUE"""),1124.0)</f>
        <v>1124</v>
      </c>
      <c r="D2336" s="24" t="str">
        <f>IFERROR(__xludf.DUMMYFUNCTION("""COMPUTED_VALUE"""),"Dairy")</f>
        <v>Dairy</v>
      </c>
      <c r="F2336" s="23">
        <f>IFERROR(__xludf.DUMMYFUNCTION("""COMPUTED_VALUE"""),44826.0)</f>
        <v>44826</v>
      </c>
      <c r="G2336" s="24" t="str">
        <f>IFERROR(__xludf.DUMMYFUNCTION("""COMPUTED_VALUE"""),"Julia Buckson")</f>
        <v>Julia Buckson</v>
      </c>
      <c r="H2336" s="24">
        <f>IFERROR(__xludf.DUMMYFUNCTION("""COMPUTED_VALUE"""),19.0)</f>
        <v>19</v>
      </c>
      <c r="I2336" s="24"/>
    </row>
    <row r="2337">
      <c r="A2337" s="23">
        <f>IFERROR(__xludf.DUMMYFUNCTION("""COMPUTED_VALUE"""),44926.55029651621)</f>
        <v>44926.5503</v>
      </c>
      <c r="B2337" s="24" t="str">
        <f>IFERROR(__xludf.DUMMYFUNCTION("""COMPUTED_VALUE"""),"Juanita Chandler ")</f>
        <v>Juanita Chandler </v>
      </c>
      <c r="C2337" s="24">
        <f>IFERROR(__xludf.DUMMYFUNCTION("""COMPUTED_VALUE"""),1141.0)</f>
        <v>1141</v>
      </c>
      <c r="D2337" s="24" t="str">
        <f>IFERROR(__xludf.DUMMYFUNCTION("""COMPUTED_VALUE"""),"Dairy")</f>
        <v>Dairy</v>
      </c>
      <c r="F2337" s="23">
        <f>IFERROR(__xludf.DUMMYFUNCTION("""COMPUTED_VALUE"""),44826.0)</f>
        <v>44826</v>
      </c>
      <c r="G2337" s="24" t="str">
        <f>IFERROR(__xludf.DUMMYFUNCTION("""COMPUTED_VALUE"""),"Julia Buckson")</f>
        <v>Julia Buckson</v>
      </c>
      <c r="H2337" s="24">
        <f>IFERROR(__xludf.DUMMYFUNCTION("""COMPUTED_VALUE"""),21.0)</f>
        <v>21</v>
      </c>
      <c r="I2337" s="24"/>
    </row>
    <row r="2338">
      <c r="A2338" s="23">
        <f>IFERROR(__xludf.DUMMYFUNCTION("""COMPUTED_VALUE"""),44926.550712372686)</f>
        <v>44926.55071</v>
      </c>
      <c r="B2338" s="24" t="str">
        <f>IFERROR(__xludf.DUMMYFUNCTION("""COMPUTED_VALUE"""),"Juanita Chandler ")</f>
        <v>Juanita Chandler </v>
      </c>
      <c r="C2338" s="24">
        <f>IFERROR(__xludf.DUMMYFUNCTION("""COMPUTED_VALUE"""),424.0)</f>
        <v>424</v>
      </c>
      <c r="D2338" s="24" t="str">
        <f>IFERROR(__xludf.DUMMYFUNCTION("""COMPUTED_VALUE"""),"Produce")</f>
        <v>Produce</v>
      </c>
      <c r="F2338" s="23">
        <f>IFERROR(__xludf.DUMMYFUNCTION("""COMPUTED_VALUE"""),44826.0)</f>
        <v>44826</v>
      </c>
      <c r="G2338" s="24" t="str">
        <f>IFERROR(__xludf.DUMMYFUNCTION("""COMPUTED_VALUE"""),"Seth Crawford")</f>
        <v>Seth Crawford</v>
      </c>
      <c r="H2338" s="24">
        <f>IFERROR(__xludf.DUMMYFUNCTION("""COMPUTED_VALUE"""),20.0)</f>
        <v>20</v>
      </c>
      <c r="I2338" s="24"/>
    </row>
    <row r="2339">
      <c r="A2339" s="23">
        <f>IFERROR(__xludf.DUMMYFUNCTION("""COMPUTED_VALUE"""),44926.55878864583)</f>
        <v>44926.55879</v>
      </c>
      <c r="B2339" s="24" t="str">
        <f>IFERROR(__xludf.DUMMYFUNCTION("""COMPUTED_VALUE"""),"Nicolle ")</f>
        <v>Nicolle </v>
      </c>
      <c r="C2339" s="24">
        <f>IFERROR(__xludf.DUMMYFUNCTION("""COMPUTED_VALUE"""),274.0)</f>
        <v>274</v>
      </c>
      <c r="D2339" s="24" t="str">
        <f>IFERROR(__xludf.DUMMYFUNCTION("""COMPUTED_VALUE"""),"Frozen [Not Meat]")</f>
        <v>Frozen [Not Meat]</v>
      </c>
      <c r="F2339" s="23">
        <f>IFERROR(__xludf.DUMMYFUNCTION("""COMPUTED_VALUE"""),44826.0)</f>
        <v>44826</v>
      </c>
      <c r="G2339" s="24" t="str">
        <f>IFERROR(__xludf.DUMMYFUNCTION("""COMPUTED_VALUE"""),"Raquel Bailey")</f>
        <v>Raquel Bailey</v>
      </c>
      <c r="H2339" s="24">
        <f>IFERROR(__xludf.DUMMYFUNCTION("""COMPUTED_VALUE"""),19.0)</f>
        <v>19</v>
      </c>
      <c r="I2339" s="24"/>
    </row>
    <row r="2340">
      <c r="A2340" s="23">
        <f>IFERROR(__xludf.DUMMYFUNCTION("""COMPUTED_VALUE"""),44926.57752979167)</f>
        <v>44926.57753</v>
      </c>
      <c r="B2340" s="24" t="str">
        <f>IFERROR(__xludf.DUMMYFUNCTION("""COMPUTED_VALUE"""),"Juy Chandler ")</f>
        <v>Juy Chandler </v>
      </c>
      <c r="C2340" s="24">
        <f>IFERROR(__xludf.DUMMYFUNCTION("""COMPUTED_VALUE"""),785.0)</f>
        <v>785</v>
      </c>
      <c r="D2340" s="24" t="str">
        <f>IFERROR(__xludf.DUMMYFUNCTION("""COMPUTED_VALUE"""),"Frozen [Not Meat]")</f>
        <v>Frozen [Not Meat]</v>
      </c>
      <c r="F2340" s="23">
        <f>IFERROR(__xludf.DUMMYFUNCTION("""COMPUTED_VALUE"""),44826.0)</f>
        <v>44826</v>
      </c>
      <c r="G2340" s="24" t="str">
        <f>IFERROR(__xludf.DUMMYFUNCTION("""COMPUTED_VALUE"""),"Raquel Bailey")</f>
        <v>Raquel Bailey</v>
      </c>
      <c r="H2340" s="24">
        <f>IFERROR(__xludf.DUMMYFUNCTION("""COMPUTED_VALUE"""),5.0)</f>
        <v>5</v>
      </c>
      <c r="I2340" s="24"/>
    </row>
    <row r="2341">
      <c r="A2341" s="23">
        <f>IFERROR(__xludf.DUMMYFUNCTION("""COMPUTED_VALUE"""),44926.58048180556)</f>
        <v>44926.58048</v>
      </c>
      <c r="B2341" s="24" t="str">
        <f>IFERROR(__xludf.DUMMYFUNCTION("""COMPUTED_VALUE"""),"JUANITA Chandler ")</f>
        <v>JUANITA Chandler </v>
      </c>
      <c r="C2341" s="24">
        <f>IFERROR(__xludf.DUMMYFUNCTION("""COMPUTED_VALUE"""),375.0)</f>
        <v>375</v>
      </c>
      <c r="D2341" s="24" t="str">
        <f>IFERROR(__xludf.DUMMYFUNCTION("""COMPUTED_VALUE"""),"Meat [Raw]")</f>
        <v>Meat [Raw]</v>
      </c>
      <c r="F2341" s="23">
        <f>IFERROR(__xludf.DUMMYFUNCTION("""COMPUTED_VALUE"""),44826.71709157408)</f>
        <v>44826.71709</v>
      </c>
      <c r="G2341" s="24" t="str">
        <f>IFERROR(__xludf.DUMMYFUNCTION("""COMPUTED_VALUE"""),"Jean")</f>
        <v>Jean</v>
      </c>
      <c r="H2341" s="24">
        <f>IFERROR(__xludf.DUMMYFUNCTION("""COMPUTED_VALUE"""),164.0)</f>
        <v>164</v>
      </c>
      <c r="I2341" s="24" t="str">
        <f>IFERROR(__xludf.DUMMYFUNCTION("""COMPUTED_VALUE"""),"Snacks and  toys")</f>
        <v>Snacks and  toys</v>
      </c>
    </row>
    <row r="2342">
      <c r="A2342" s="23">
        <f>IFERROR(__xludf.DUMMYFUNCTION("""COMPUTED_VALUE"""),44926.0)</f>
        <v>44926</v>
      </c>
      <c r="B2342" s="24" t="str">
        <f>IFERROR(__xludf.DUMMYFUNCTION("""COMPUTED_VALUE"""),"Claire")</f>
        <v>Claire</v>
      </c>
      <c r="C2342" s="24">
        <f>IFERROR(__xludf.DUMMYFUNCTION("""COMPUTED_VALUE"""),846.0)</f>
        <v>846</v>
      </c>
      <c r="D2342" s="24" t="str">
        <f>IFERROR(__xludf.DUMMYFUNCTION("""COMPUTED_VALUE"""),"Dole fruit cups")</f>
        <v>Dole fruit cups</v>
      </c>
      <c r="F2342" s="23">
        <f>IFERROR(__xludf.DUMMYFUNCTION("""COMPUTED_VALUE"""),44826.71858148148)</f>
        <v>44826.71858</v>
      </c>
      <c r="G2342" s="24" t="str">
        <f>IFERROR(__xludf.DUMMYFUNCTION("""COMPUTED_VALUE"""),"Jean")</f>
        <v>Jean</v>
      </c>
      <c r="H2342" s="24">
        <f>IFERROR(__xludf.DUMMYFUNCTION("""COMPUTED_VALUE"""),169.0)</f>
        <v>169</v>
      </c>
      <c r="I2342" s="24" t="str">
        <f>IFERROR(__xludf.DUMMYFUNCTION("""COMPUTED_VALUE"""),"Produce")</f>
        <v>Produce</v>
      </c>
    </row>
    <row r="2343">
      <c r="A2343" s="23">
        <f>IFERROR(__xludf.DUMMYFUNCTION("""COMPUTED_VALUE"""),44926.657893171294)</f>
        <v>44926.65789</v>
      </c>
      <c r="B2343" s="24" t="str">
        <f>IFERROR(__xludf.DUMMYFUNCTION("""COMPUTED_VALUE"""),"JUANITA Chandler ")</f>
        <v>JUANITA Chandler </v>
      </c>
      <c r="C2343" s="24">
        <f>IFERROR(__xludf.DUMMYFUNCTION("""COMPUTED_VALUE"""),-138.0)</f>
        <v>-138</v>
      </c>
      <c r="D2343" s="24" t="str">
        <f>IFERROR(__xludf.DUMMYFUNCTION("""COMPUTED_VALUE"""),"Meat [Raw]")</f>
        <v>Meat [Raw]</v>
      </c>
      <c r="F2343" s="23">
        <f>IFERROR(__xludf.DUMMYFUNCTION("""COMPUTED_VALUE"""),44826.71988917825)</f>
        <v>44826.71989</v>
      </c>
      <c r="G2343" s="24" t="str">
        <f>IFERROR(__xludf.DUMMYFUNCTION("""COMPUTED_VALUE"""),"Jean")</f>
        <v>Jean</v>
      </c>
      <c r="H2343" s="24">
        <f>IFERROR(__xludf.DUMMYFUNCTION("""COMPUTED_VALUE"""),100.0)</f>
        <v>100</v>
      </c>
      <c r="I2343" s="24" t="str">
        <f>IFERROR(__xludf.DUMMYFUNCTION("""COMPUTED_VALUE"""),"Meat")</f>
        <v>Meat</v>
      </c>
    </row>
    <row r="2344">
      <c r="A2344" s="23">
        <f>IFERROR(__xludf.DUMMYFUNCTION("""COMPUTED_VALUE"""),44926.65838114583)</f>
        <v>44926.65838</v>
      </c>
      <c r="B2344" s="24" t="str">
        <f>IFERROR(__xludf.DUMMYFUNCTION("""COMPUTED_VALUE"""),"JUANITA Chandler ")</f>
        <v>JUANITA Chandler </v>
      </c>
      <c r="C2344" s="24">
        <f>IFERROR(__xludf.DUMMYFUNCTION("""COMPUTED_VALUE"""),-315.0)</f>
        <v>-315</v>
      </c>
      <c r="D2344" s="24" t="str">
        <f>IFERROR(__xludf.DUMMYFUNCTION("""COMPUTED_VALUE"""),"Frozen [Not Meat]")</f>
        <v>Frozen [Not Meat]</v>
      </c>
      <c r="F2344" s="23">
        <f>IFERROR(__xludf.DUMMYFUNCTION("""COMPUTED_VALUE"""),44826.720329525466)</f>
        <v>44826.72033</v>
      </c>
      <c r="G2344" s="24" t="str">
        <f>IFERROR(__xludf.DUMMYFUNCTION("""COMPUTED_VALUE"""),"Norma")</f>
        <v>Norma</v>
      </c>
      <c r="H2344" s="24">
        <f>IFERROR(__xludf.DUMMYFUNCTION("""COMPUTED_VALUE"""),20.0)</f>
        <v>20</v>
      </c>
      <c r="I2344" s="24"/>
    </row>
    <row r="2345">
      <c r="A2345" s="23">
        <f>IFERROR(__xludf.DUMMYFUNCTION("""COMPUTED_VALUE"""),44926.66037020833)</f>
        <v>44926.66037</v>
      </c>
      <c r="B2345" s="24" t="str">
        <f>IFERROR(__xludf.DUMMYFUNCTION("""COMPUTED_VALUE"""),"JUANITA Chandler ")</f>
        <v>JUANITA Chandler </v>
      </c>
      <c r="C2345" s="24">
        <f>IFERROR(__xludf.DUMMYFUNCTION("""COMPUTED_VALUE"""),-936.0)</f>
        <v>-936</v>
      </c>
      <c r="D2345" s="24" t="str">
        <f>IFERROR(__xludf.DUMMYFUNCTION("""COMPUTED_VALUE"""),"DOLE Fruit Cup ")</f>
        <v>DOLE Fruit Cup </v>
      </c>
      <c r="F2345" s="23">
        <f>IFERROR(__xludf.DUMMYFUNCTION("""COMPUTED_VALUE"""),44826.72086353009)</f>
        <v>44826.72086</v>
      </c>
      <c r="G2345" s="24" t="str">
        <f>IFERROR(__xludf.DUMMYFUNCTION("""COMPUTED_VALUE"""),"Jean")</f>
        <v>Jean</v>
      </c>
      <c r="H2345" s="24">
        <f>IFERROR(__xludf.DUMMYFUNCTION("""COMPUTED_VALUE"""),112.0)</f>
        <v>112</v>
      </c>
      <c r="I2345" s="24" t="str">
        <f>IFERROR(__xludf.DUMMYFUNCTION("""COMPUTED_VALUE"""),"Assorted Fridge")</f>
        <v>Assorted Fridge</v>
      </c>
    </row>
    <row r="2346">
      <c r="A2346" s="23">
        <f>IFERROR(__xludf.DUMMYFUNCTION("""COMPUTED_VALUE"""),44926.66318668981)</f>
        <v>44926.66319</v>
      </c>
      <c r="B2346" s="24" t="str">
        <f>IFERROR(__xludf.DUMMYFUNCTION("""COMPUTED_VALUE"""),"JUANITA Chandler ")</f>
        <v>JUANITA Chandler </v>
      </c>
      <c r="C2346" s="24">
        <f>IFERROR(__xludf.DUMMYFUNCTION("""COMPUTED_VALUE"""),-1135.0)</f>
        <v>-1135</v>
      </c>
      <c r="D2346" s="24" t="str">
        <f>IFERROR(__xludf.DUMMYFUNCTION("""COMPUTED_VALUE"""),"Dairy")</f>
        <v>Dairy</v>
      </c>
      <c r="F2346" s="23">
        <f>IFERROR(__xludf.DUMMYFUNCTION("""COMPUTED_VALUE"""),44826.721857164346)</f>
        <v>44826.72186</v>
      </c>
      <c r="G2346" s="24" t="str">
        <f>IFERROR(__xludf.DUMMYFUNCTION("""COMPUTED_VALUE"""),"Jean")</f>
        <v>Jean</v>
      </c>
      <c r="H2346" s="24">
        <f>IFERROR(__xludf.DUMMYFUNCTION("""COMPUTED_VALUE"""),41.0)</f>
        <v>41</v>
      </c>
      <c r="I2346" s="24" t="str">
        <f>IFERROR(__xludf.DUMMYFUNCTION("""COMPUTED_VALUE"""),"Bread")</f>
        <v>Bread</v>
      </c>
    </row>
    <row r="2347">
      <c r="A2347" s="23">
        <f>IFERROR(__xludf.DUMMYFUNCTION("""COMPUTED_VALUE"""),44926.6661269213)</f>
        <v>44926.66613</v>
      </c>
      <c r="B2347" s="24" t="str">
        <f>IFERROR(__xludf.DUMMYFUNCTION("""COMPUTED_VALUE"""),"JUANITA Chandler ")</f>
        <v>JUANITA Chandler </v>
      </c>
      <c r="C2347" s="24">
        <f>IFERROR(__xludf.DUMMYFUNCTION("""COMPUTED_VALUE"""),-529.0)</f>
        <v>-529</v>
      </c>
      <c r="D2347" s="24" t="str">
        <f>IFERROR(__xludf.DUMMYFUNCTION("""COMPUTED_VALUE"""),"Hand sanitizer ")</f>
        <v>Hand sanitizer </v>
      </c>
      <c r="F2347" s="23">
        <f>IFERROR(__xludf.DUMMYFUNCTION("""COMPUTED_VALUE"""),44826.72334797454)</f>
        <v>44826.72335</v>
      </c>
      <c r="G2347" s="24" t="str">
        <f>IFERROR(__xludf.DUMMYFUNCTION("""COMPUTED_VALUE"""),"Jean")</f>
        <v>Jean</v>
      </c>
      <c r="H2347" s="24">
        <f>IFERROR(__xludf.DUMMYFUNCTION("""COMPUTED_VALUE"""),45.0)</f>
        <v>45</v>
      </c>
      <c r="I2347" s="24" t="str">
        <f>IFERROR(__xludf.DUMMYFUNCTION("""COMPUTED_VALUE"""),"Toys")</f>
        <v>Toys</v>
      </c>
    </row>
    <row r="2348">
      <c r="A2348" s="23">
        <f>IFERROR(__xludf.DUMMYFUNCTION("""COMPUTED_VALUE"""),44926.0)</f>
        <v>44926</v>
      </c>
      <c r="B2348" s="24" t="str">
        <f>IFERROR(__xludf.DUMMYFUNCTION("""COMPUTED_VALUE"""),"Claire")</f>
        <v>Claire</v>
      </c>
      <c r="C2348" s="24">
        <f>IFERROR(__xludf.DUMMYFUNCTION("""COMPUTED_VALUE"""),-208.0)</f>
        <v>-208</v>
      </c>
      <c r="D2348" s="24" t="str">
        <f>IFERROR(__xludf.DUMMYFUNCTION("""COMPUTED_VALUE"""),"Grains (rice, pasta, etc.)")</f>
        <v>Grains (rice, pasta, etc.)</v>
      </c>
      <c r="F2348" s="23">
        <f>IFERROR(__xludf.DUMMYFUNCTION("""COMPUTED_VALUE"""),44826.72408506944)</f>
        <v>44826.72409</v>
      </c>
      <c r="G2348" s="24" t="str">
        <f>IFERROR(__xludf.DUMMYFUNCTION("""COMPUTED_VALUE"""),"Jean")</f>
        <v>Jean</v>
      </c>
      <c r="H2348" s="24">
        <f>IFERROR(__xludf.DUMMYFUNCTION("""COMPUTED_VALUE"""),237.0)</f>
        <v>237</v>
      </c>
      <c r="I2348" s="24" t="str">
        <f>IFERROR(__xludf.DUMMYFUNCTION("""COMPUTED_VALUE"""),"Drinks [Fridge]")</f>
        <v>Drinks [Fridge]</v>
      </c>
    </row>
    <row r="2349">
      <c r="A2349" s="23">
        <f>IFERROR(__xludf.DUMMYFUNCTION("""COMPUTED_VALUE"""),44728.71753957176)</f>
        <v>44728.71754</v>
      </c>
      <c r="B2349" s="24" t="str">
        <f>IFERROR(__xludf.DUMMYFUNCTION("""COMPUTED_VALUE"""),"Cyrano Yee")</f>
        <v>Cyrano Yee</v>
      </c>
      <c r="C2349" s="24">
        <f>IFERROR(__xludf.DUMMYFUNCTION("""COMPUTED_VALUE"""),43.0)</f>
        <v>43</v>
      </c>
      <c r="D2349" s="24"/>
      <c r="F2349" s="23">
        <f>IFERROR(__xludf.DUMMYFUNCTION("""COMPUTED_VALUE"""),44826.724656921295)</f>
        <v>44826.72466</v>
      </c>
      <c r="G2349" s="24" t="str">
        <f>IFERROR(__xludf.DUMMYFUNCTION("""COMPUTED_VALUE"""),"Jean")</f>
        <v>Jean</v>
      </c>
      <c r="H2349" s="24">
        <f>IFERROR(__xludf.DUMMYFUNCTION("""COMPUTED_VALUE"""),73.0)</f>
        <v>73</v>
      </c>
      <c r="I2349" s="24" t="str">
        <f>IFERROR(__xludf.DUMMYFUNCTION("""COMPUTED_VALUE"""),"Toys")</f>
        <v>Toys</v>
      </c>
    </row>
    <row r="2350">
      <c r="A2350" s="23">
        <f>IFERROR(__xludf.DUMMYFUNCTION("""COMPUTED_VALUE"""),44728.87088004629)</f>
        <v>44728.87088</v>
      </c>
      <c r="B2350" s="24" t="str">
        <f>IFERROR(__xludf.DUMMYFUNCTION("""COMPUTED_VALUE"""),"Kay Fenton")</f>
        <v>Kay Fenton</v>
      </c>
      <c r="C2350" s="24">
        <f>IFERROR(__xludf.DUMMYFUNCTION("""COMPUTED_VALUE"""),7.0)</f>
        <v>7</v>
      </c>
      <c r="D2350" s="24"/>
      <c r="F2350" s="23">
        <f>IFERROR(__xludf.DUMMYFUNCTION("""COMPUTED_VALUE"""),44826.75338681713)</f>
        <v>44826.75339</v>
      </c>
      <c r="G2350" s="24"/>
      <c r="H2350" s="24">
        <f>IFERROR(__xludf.DUMMYFUNCTION("""COMPUTED_VALUE"""),109.0)</f>
        <v>109</v>
      </c>
      <c r="I2350" s="24" t="str">
        <f>IFERROR(__xludf.DUMMYFUNCTION("""COMPUTED_VALUE"""),"Amazon")</f>
        <v>Amazon</v>
      </c>
    </row>
    <row r="2351">
      <c r="A2351" s="23">
        <f>IFERROR(__xludf.DUMMYFUNCTION("""COMPUTED_VALUE"""),44728.87236353009)</f>
        <v>44728.87236</v>
      </c>
      <c r="B2351" s="24" t="str">
        <f>IFERROR(__xludf.DUMMYFUNCTION("""COMPUTED_VALUE"""),"Aziza Frank")</f>
        <v>Aziza Frank</v>
      </c>
      <c r="C2351" s="24">
        <f>IFERROR(__xludf.DUMMYFUNCTION("""COMPUTED_VALUE"""),18.0)</f>
        <v>18</v>
      </c>
      <c r="D2351" s="24"/>
      <c r="F2351" s="23">
        <f>IFERROR(__xludf.DUMMYFUNCTION("""COMPUTED_VALUE"""),44826.753606979175)</f>
        <v>44826.75361</v>
      </c>
      <c r="G2351" s="24"/>
      <c r="H2351" s="24">
        <f>IFERROR(__xludf.DUMMYFUNCTION("""COMPUTED_VALUE"""),508.0)</f>
        <v>508</v>
      </c>
      <c r="I2351" s="24" t="str">
        <f>IFERROR(__xludf.DUMMYFUNCTION("""COMPUTED_VALUE"""),"Amazon")</f>
        <v>Amazon</v>
      </c>
    </row>
    <row r="2352">
      <c r="A2352" s="23">
        <f>IFERROR(__xludf.DUMMYFUNCTION("""COMPUTED_VALUE"""),44728.87663481481)</f>
        <v>44728.87663</v>
      </c>
      <c r="B2352" s="24" t="str">
        <f>IFERROR(__xludf.DUMMYFUNCTION("""COMPUTED_VALUE"""),"Sheneil")</f>
        <v>Sheneil</v>
      </c>
      <c r="C2352" s="24">
        <f>IFERROR(__xludf.DUMMYFUNCTION("""COMPUTED_VALUE"""),20.0)</f>
        <v>20</v>
      </c>
      <c r="D2352" s="24"/>
      <c r="F2352" s="23">
        <f>IFERROR(__xludf.DUMMYFUNCTION("""COMPUTED_VALUE"""),44826.753816805554)</f>
        <v>44826.75382</v>
      </c>
      <c r="G2352" s="24"/>
      <c r="H2352" s="24">
        <f>IFERROR(__xludf.DUMMYFUNCTION("""COMPUTED_VALUE"""),546.0)</f>
        <v>546</v>
      </c>
      <c r="I2352" s="24" t="str">
        <f>IFERROR(__xludf.DUMMYFUNCTION("""COMPUTED_VALUE"""),"Amazon")</f>
        <v>Amazon</v>
      </c>
    </row>
    <row r="2353">
      <c r="A2353" s="23">
        <f>IFERROR(__xludf.DUMMYFUNCTION("""COMPUTED_VALUE"""),44729.69933920139)</f>
        <v>44729.69934</v>
      </c>
      <c r="B2353" s="24" t="str">
        <f>IFERROR(__xludf.DUMMYFUNCTION("""COMPUTED_VALUE"""),"Sunita Pathik")</f>
        <v>Sunita Pathik</v>
      </c>
      <c r="C2353" s="24">
        <f>IFERROR(__xludf.DUMMYFUNCTION("""COMPUTED_VALUE"""),4.0)</f>
        <v>4</v>
      </c>
      <c r="D2353" s="24"/>
      <c r="F2353" s="23">
        <f>IFERROR(__xludf.DUMMYFUNCTION("""COMPUTED_VALUE"""),44826.754097916666)</f>
        <v>44826.7541</v>
      </c>
      <c r="G2353" s="24"/>
      <c r="H2353" s="24">
        <f>IFERROR(__xludf.DUMMYFUNCTION("""COMPUTED_VALUE"""),500.0)</f>
        <v>500</v>
      </c>
      <c r="I2353" s="24" t="str">
        <f>IFERROR(__xludf.DUMMYFUNCTION("""COMPUTED_VALUE"""),"Amazon")</f>
        <v>Amazon</v>
      </c>
    </row>
    <row r="2354">
      <c r="A2354" s="23">
        <f>IFERROR(__xludf.DUMMYFUNCTION("""COMPUTED_VALUE"""),44729.7028428125)</f>
        <v>44729.70284</v>
      </c>
      <c r="B2354" s="24" t="str">
        <f>IFERROR(__xludf.DUMMYFUNCTION("""COMPUTED_VALUE"""),"Expired food")</f>
        <v>Expired food</v>
      </c>
      <c r="C2354" s="24">
        <f>IFERROR(__xludf.DUMMYFUNCTION("""COMPUTED_VALUE"""),2.0)</f>
        <v>2</v>
      </c>
      <c r="D2354" s="24"/>
      <c r="F2354" s="23">
        <f>IFERROR(__xludf.DUMMYFUNCTION("""COMPUTED_VALUE"""),44827.0)</f>
        <v>44827</v>
      </c>
      <c r="G2354" s="24" t="str">
        <f>IFERROR(__xludf.DUMMYFUNCTION("""COMPUTED_VALUE"""),"Claire")</f>
        <v>Claire</v>
      </c>
      <c r="H2354" s="24">
        <f>IFERROR(__xludf.DUMMYFUNCTION("""COMPUTED_VALUE"""),379.0)</f>
        <v>379</v>
      </c>
      <c r="I2354" s="24" t="str">
        <f>IFERROR(__xludf.DUMMYFUNCTION("""COMPUTED_VALUE"""),"STEAM toys")</f>
        <v>STEAM toys</v>
      </c>
    </row>
    <row r="2355">
      <c r="A2355" s="23">
        <f>IFERROR(__xludf.DUMMYFUNCTION("""COMPUTED_VALUE"""),44729.71237240741)</f>
        <v>44729.71237</v>
      </c>
      <c r="B2355" s="24" t="str">
        <f>IFERROR(__xludf.DUMMYFUNCTION("""COMPUTED_VALUE"""),"Cyrano Yee")</f>
        <v>Cyrano Yee</v>
      </c>
      <c r="C2355" s="24">
        <f>IFERROR(__xludf.DUMMYFUNCTION("""COMPUTED_VALUE"""),13.0)</f>
        <v>13</v>
      </c>
      <c r="D2355" s="24"/>
      <c r="F2355" s="23">
        <f>IFERROR(__xludf.DUMMYFUNCTION("""COMPUTED_VALUE"""),44827.0)</f>
        <v>44827</v>
      </c>
      <c r="G2355" s="24" t="str">
        <f>IFERROR(__xludf.DUMMYFUNCTION("""COMPUTED_VALUE"""),"Juanita Chandler")</f>
        <v>Juanita Chandler</v>
      </c>
      <c r="H2355" s="24">
        <f>IFERROR(__xludf.DUMMYFUNCTION("""COMPUTED_VALUE"""),17.0)</f>
        <v>17</v>
      </c>
      <c r="I2355" s="24"/>
    </row>
    <row r="2356">
      <c r="A2356" s="23">
        <f>IFERROR(__xludf.DUMMYFUNCTION("""COMPUTED_VALUE"""),44729.71486695602)</f>
        <v>44729.71487</v>
      </c>
      <c r="B2356" s="24" t="str">
        <f>IFERROR(__xludf.DUMMYFUNCTION("""COMPUTED_VALUE"""),"Juanita Chandler ")</f>
        <v>Juanita Chandler </v>
      </c>
      <c r="C2356" s="24">
        <f>IFERROR(__xludf.DUMMYFUNCTION("""COMPUTED_VALUE"""),11.0)</f>
        <v>11</v>
      </c>
      <c r="D2356" s="24"/>
      <c r="F2356" s="23">
        <f>IFERROR(__xludf.DUMMYFUNCTION("""COMPUTED_VALUE"""),44827.0)</f>
        <v>44827</v>
      </c>
      <c r="G2356" s="24" t="str">
        <f>IFERROR(__xludf.DUMMYFUNCTION("""COMPUTED_VALUE"""),"Juanita Chandler")</f>
        <v>Juanita Chandler</v>
      </c>
      <c r="H2356" s="24">
        <f>IFERROR(__xludf.DUMMYFUNCTION("""COMPUTED_VALUE"""),21.0)</f>
        <v>21</v>
      </c>
      <c r="I2356" s="24"/>
    </row>
    <row r="2357">
      <c r="A2357" s="23">
        <f>IFERROR(__xludf.DUMMYFUNCTION("""COMPUTED_VALUE"""),44729.71532728009)</f>
        <v>44729.71533</v>
      </c>
      <c r="B2357" s="24" t="str">
        <f>IFERROR(__xludf.DUMMYFUNCTION("""COMPUTED_VALUE"""),"Juanita Chandler ")</f>
        <v>Juanita Chandler </v>
      </c>
      <c r="C2357" s="24">
        <f>IFERROR(__xludf.DUMMYFUNCTION("""COMPUTED_VALUE"""),29.0)</f>
        <v>29</v>
      </c>
      <c r="D2357" s="24"/>
      <c r="F2357" s="23">
        <f>IFERROR(__xludf.DUMMYFUNCTION("""COMPUTED_VALUE"""),44827.5668082176)</f>
        <v>44827.56681</v>
      </c>
      <c r="G2357" s="24" t="str">
        <f>IFERROR(__xludf.DUMMYFUNCTION("""COMPUTED_VALUE"""),"Jean Yahudah")</f>
        <v>Jean Yahudah</v>
      </c>
      <c r="H2357" s="24">
        <f>IFERROR(__xludf.DUMMYFUNCTION("""COMPUTED_VALUE"""),154.0)</f>
        <v>154</v>
      </c>
      <c r="I2357" s="24" t="str">
        <f>IFERROR(__xludf.DUMMYFUNCTION("""COMPUTED_VALUE"""),"STEAM Toys")</f>
        <v>STEAM Toys</v>
      </c>
    </row>
    <row r="2358">
      <c r="A2358" s="23">
        <f>IFERROR(__xludf.DUMMYFUNCTION("""COMPUTED_VALUE"""),44729.71602587963)</f>
        <v>44729.71603</v>
      </c>
      <c r="B2358" s="24" t="str">
        <f>IFERROR(__xludf.DUMMYFUNCTION("""COMPUTED_VALUE"""),"Yulia")</f>
        <v>Yulia</v>
      </c>
      <c r="C2358" s="24">
        <f>IFERROR(__xludf.DUMMYFUNCTION("""COMPUTED_VALUE"""),30.0)</f>
        <v>30</v>
      </c>
      <c r="D2358" s="24"/>
      <c r="F2358" s="23">
        <f>IFERROR(__xludf.DUMMYFUNCTION("""COMPUTED_VALUE"""),44827.701122465274)</f>
        <v>44827.70112</v>
      </c>
      <c r="G2358" s="24" t="str">
        <f>IFERROR(__xludf.DUMMYFUNCTION("""COMPUTED_VALUE"""),"Beth Torres")</f>
        <v>Beth Torres</v>
      </c>
      <c r="H2358" s="24">
        <f>IFERROR(__xludf.DUMMYFUNCTION("""COMPUTED_VALUE"""),17.0)</f>
        <v>17</v>
      </c>
      <c r="I2358" s="24"/>
    </row>
    <row r="2359">
      <c r="A2359" s="23">
        <f>IFERROR(__xludf.DUMMYFUNCTION("""COMPUTED_VALUE"""),44729.71637483796)</f>
        <v>44729.71637</v>
      </c>
      <c r="B2359" s="24" t="str">
        <f>IFERROR(__xludf.DUMMYFUNCTION("""COMPUTED_VALUE"""),"Beth Torres")</f>
        <v>Beth Torres</v>
      </c>
      <c r="C2359" s="24">
        <f>IFERROR(__xludf.DUMMYFUNCTION("""COMPUTED_VALUE"""),18.0)</f>
        <v>18</v>
      </c>
      <c r="D2359" s="24"/>
      <c r="F2359" s="23">
        <f>IFERROR(__xludf.DUMMYFUNCTION("""COMPUTED_VALUE"""),44827.70137820602)</f>
        <v>44827.70138</v>
      </c>
      <c r="G2359" s="24" t="str">
        <f>IFERROR(__xludf.DUMMYFUNCTION("""COMPUTED_VALUE"""),"Beth Torres")</f>
        <v>Beth Torres</v>
      </c>
      <c r="H2359" s="24">
        <f>IFERROR(__xludf.DUMMYFUNCTION("""COMPUTED_VALUE"""),15.0)</f>
        <v>15</v>
      </c>
      <c r="I2359" s="24"/>
    </row>
    <row r="2360">
      <c r="A2360" s="23">
        <f>IFERROR(__xludf.DUMMYFUNCTION("""COMPUTED_VALUE"""),44729.71652746528)</f>
        <v>44729.71653</v>
      </c>
      <c r="B2360" s="24" t="str">
        <f>IFERROR(__xludf.DUMMYFUNCTION("""COMPUTED_VALUE"""),"Beth Torres")</f>
        <v>Beth Torres</v>
      </c>
      <c r="C2360" s="24">
        <f>IFERROR(__xludf.DUMMYFUNCTION("""COMPUTED_VALUE"""),29.0)</f>
        <v>29</v>
      </c>
      <c r="D2360" s="24"/>
      <c r="F2360" s="23">
        <f>IFERROR(__xludf.DUMMYFUNCTION("""COMPUTED_VALUE"""),44827.71520216435)</f>
        <v>44827.7152</v>
      </c>
      <c r="G2360" s="24" t="str">
        <f>IFERROR(__xludf.DUMMYFUNCTION("""COMPUTED_VALUE"""),"Dorja")</f>
        <v>Dorja</v>
      </c>
      <c r="H2360" s="24">
        <f>IFERROR(__xludf.DUMMYFUNCTION("""COMPUTED_VALUE"""),24.0)</f>
        <v>24</v>
      </c>
      <c r="I2360" s="24"/>
    </row>
    <row r="2361">
      <c r="A2361" s="23">
        <f>IFERROR(__xludf.DUMMYFUNCTION("""COMPUTED_VALUE"""),44730.71332025463)</f>
        <v>44730.71332</v>
      </c>
      <c r="B2361" s="24" t="str">
        <f>IFERROR(__xludf.DUMMYFUNCTION("""COMPUTED_VALUE"""),"Deborah claridy ")</f>
        <v>Deborah claridy </v>
      </c>
      <c r="C2361" s="24">
        <f>IFERROR(__xludf.DUMMYFUNCTION("""COMPUTED_VALUE"""),10.0)</f>
        <v>10</v>
      </c>
      <c r="D2361" s="24"/>
      <c r="F2361" s="23">
        <f>IFERROR(__xludf.DUMMYFUNCTION("""COMPUTED_VALUE"""),44827.71568806713)</f>
        <v>44827.71569</v>
      </c>
      <c r="G2361" s="24" t="str">
        <f>IFERROR(__xludf.DUMMYFUNCTION("""COMPUTED_VALUE"""),"Dorja ")</f>
        <v>Dorja </v>
      </c>
      <c r="H2361" s="24">
        <f>IFERROR(__xludf.DUMMYFUNCTION("""COMPUTED_VALUE"""),16.0)</f>
        <v>16</v>
      </c>
      <c r="I2361" s="24"/>
    </row>
    <row r="2362">
      <c r="A2362" s="23">
        <f>IFERROR(__xludf.DUMMYFUNCTION("""COMPUTED_VALUE"""),44730.714457118054)</f>
        <v>44730.71446</v>
      </c>
      <c r="B2362" s="24" t="str">
        <f>IFERROR(__xludf.DUMMYFUNCTION("""COMPUTED_VALUE"""),"Thomas aloisi")</f>
        <v>Thomas aloisi</v>
      </c>
      <c r="C2362" s="24">
        <f>IFERROR(__xludf.DUMMYFUNCTION("""COMPUTED_VALUE"""),18.0)</f>
        <v>18</v>
      </c>
      <c r="D2362" s="24"/>
      <c r="F2362" s="23">
        <f>IFERROR(__xludf.DUMMYFUNCTION("""COMPUTED_VALUE"""),44828.0)</f>
        <v>44828</v>
      </c>
      <c r="G2362" s="24" t="str">
        <f>IFERROR(__xludf.DUMMYFUNCTION("""COMPUTED_VALUE"""),"Salena Wheatley")</f>
        <v>Salena Wheatley</v>
      </c>
      <c r="H2362" s="24">
        <f>IFERROR(__xludf.DUMMYFUNCTION("""COMPUTED_VALUE"""),11.0)</f>
        <v>11</v>
      </c>
      <c r="I2362" s="24"/>
    </row>
    <row r="2363">
      <c r="A2363" s="23">
        <f>IFERROR(__xludf.DUMMYFUNCTION("""COMPUTED_VALUE"""),44730.71786145834)</f>
        <v>44730.71786</v>
      </c>
      <c r="B2363" s="24" t="str">
        <f>IFERROR(__xludf.DUMMYFUNCTION("""COMPUTED_VALUE"""),"Beverly E. Pinn")</f>
        <v>Beverly E. Pinn</v>
      </c>
      <c r="C2363" s="24">
        <f>IFERROR(__xludf.DUMMYFUNCTION("""COMPUTED_VALUE"""),14.0)</f>
        <v>14</v>
      </c>
      <c r="D2363" s="24"/>
      <c r="F2363" s="23">
        <f>IFERROR(__xludf.DUMMYFUNCTION("""COMPUTED_VALUE"""),44828.0)</f>
        <v>44828</v>
      </c>
      <c r="G2363" s="24" t="str">
        <f>IFERROR(__xludf.DUMMYFUNCTION("""COMPUTED_VALUE"""),"Salena Wheatley")</f>
        <v>Salena Wheatley</v>
      </c>
      <c r="H2363" s="24">
        <f>IFERROR(__xludf.DUMMYFUNCTION("""COMPUTED_VALUE"""),14.0)</f>
        <v>14</v>
      </c>
      <c r="I2363" s="24"/>
    </row>
    <row r="2364">
      <c r="A2364" s="23">
        <f>IFERROR(__xludf.DUMMYFUNCTION("""COMPUTED_VALUE"""),44730.7181277662)</f>
        <v>44730.71813</v>
      </c>
      <c r="B2364" s="24" t="str">
        <f>IFERROR(__xludf.DUMMYFUNCTION("""COMPUTED_VALUE"""),"Beverly E. Pinn")</f>
        <v>Beverly E. Pinn</v>
      </c>
      <c r="C2364" s="24">
        <f>IFERROR(__xludf.DUMMYFUNCTION("""COMPUTED_VALUE"""),2.0)</f>
        <v>2</v>
      </c>
      <c r="D2364" s="24"/>
      <c r="F2364" s="23">
        <f>IFERROR(__xludf.DUMMYFUNCTION("""COMPUTED_VALUE"""),44828.0)</f>
        <v>44828</v>
      </c>
      <c r="G2364" s="24" t="str">
        <f>IFERROR(__xludf.DUMMYFUNCTION("""COMPUTED_VALUE"""),"Gilda Castillo")</f>
        <v>Gilda Castillo</v>
      </c>
      <c r="H2364" s="24">
        <f>IFERROR(__xludf.DUMMYFUNCTION("""COMPUTED_VALUE"""),15.0)</f>
        <v>15</v>
      </c>
      <c r="I2364" s="24"/>
    </row>
    <row r="2365">
      <c r="A2365" s="23">
        <f>IFERROR(__xludf.DUMMYFUNCTION("""COMPUTED_VALUE"""),44730.71994586805)</f>
        <v>44730.71995</v>
      </c>
      <c r="B2365" s="24" t="str">
        <f>IFERROR(__xludf.DUMMYFUNCTION("""COMPUTED_VALUE"""),"Evelyn jiang")</f>
        <v>Evelyn jiang</v>
      </c>
      <c r="C2365" s="24">
        <f>IFERROR(__xludf.DUMMYFUNCTION("""COMPUTED_VALUE"""),19.0)</f>
        <v>19</v>
      </c>
      <c r="D2365" s="24"/>
      <c r="F2365" s="23">
        <f>IFERROR(__xludf.DUMMYFUNCTION("""COMPUTED_VALUE"""),44828.0)</f>
        <v>44828</v>
      </c>
      <c r="G2365" s="24" t="str">
        <f>IFERROR(__xludf.DUMMYFUNCTION("""COMPUTED_VALUE"""),"Gilda Castillo")</f>
        <v>Gilda Castillo</v>
      </c>
      <c r="H2365" s="24">
        <f>IFERROR(__xludf.DUMMYFUNCTION("""COMPUTED_VALUE"""),1.0)</f>
        <v>1</v>
      </c>
      <c r="I2365" s="24"/>
    </row>
    <row r="2366">
      <c r="A2366" s="23">
        <f>IFERROR(__xludf.DUMMYFUNCTION("""COMPUTED_VALUE"""),44730.72361030093)</f>
        <v>44730.72361</v>
      </c>
      <c r="B2366" s="24" t="str">
        <f>IFERROR(__xludf.DUMMYFUNCTION("""COMPUTED_VALUE"""),"nathan")</f>
        <v>nathan</v>
      </c>
      <c r="C2366" s="24">
        <f>IFERROR(__xludf.DUMMYFUNCTION("""COMPUTED_VALUE"""),18.0)</f>
        <v>18</v>
      </c>
      <c r="D2366" s="24"/>
      <c r="F2366" s="23">
        <f>IFERROR(__xludf.DUMMYFUNCTION("""COMPUTED_VALUE"""),44828.0)</f>
        <v>44828</v>
      </c>
      <c r="G2366" s="24" t="str">
        <f>IFERROR(__xludf.DUMMYFUNCTION("""COMPUTED_VALUE"""),"Angeles Cortes")</f>
        <v>Angeles Cortes</v>
      </c>
      <c r="H2366" s="24">
        <f>IFERROR(__xludf.DUMMYFUNCTION("""COMPUTED_VALUE"""),20.0)</f>
        <v>20</v>
      </c>
      <c r="I2366" s="24"/>
    </row>
    <row r="2367">
      <c r="A2367" s="23">
        <f>IFERROR(__xludf.DUMMYFUNCTION("""COMPUTED_VALUE"""),44730.72362403935)</f>
        <v>44730.72362</v>
      </c>
      <c r="B2367" s="24" t="str">
        <f>IFERROR(__xludf.DUMMYFUNCTION("""COMPUTED_VALUE"""),"Kevin Mischka")</f>
        <v>Kevin Mischka</v>
      </c>
      <c r="C2367" s="24">
        <f>IFERROR(__xludf.DUMMYFUNCTION("""COMPUTED_VALUE"""),17.0)</f>
        <v>17</v>
      </c>
      <c r="D2367" s="24"/>
      <c r="F2367" s="23">
        <f>IFERROR(__xludf.DUMMYFUNCTION("""COMPUTED_VALUE"""),44828.0)</f>
        <v>44828</v>
      </c>
      <c r="G2367" s="24" t="str">
        <f>IFERROR(__xludf.DUMMYFUNCTION("""COMPUTED_VALUE"""),"Angeles Cortes")</f>
        <v>Angeles Cortes</v>
      </c>
      <c r="H2367" s="24">
        <f>IFERROR(__xludf.DUMMYFUNCTION("""COMPUTED_VALUE"""),2.0)</f>
        <v>2</v>
      </c>
      <c r="I2367" s="24"/>
    </row>
    <row r="2368">
      <c r="A2368" s="23">
        <f>IFERROR(__xludf.DUMMYFUNCTION("""COMPUTED_VALUE"""),44730.72496469907)</f>
        <v>44730.72496</v>
      </c>
      <c r="B2368" s="24" t="str">
        <f>IFERROR(__xludf.DUMMYFUNCTION("""COMPUTED_VALUE"""),"Kevin mischka")</f>
        <v>Kevin mischka</v>
      </c>
      <c r="C2368" s="24">
        <f>IFERROR(__xludf.DUMMYFUNCTION("""COMPUTED_VALUE"""),7.0)</f>
        <v>7</v>
      </c>
      <c r="D2368" s="24"/>
      <c r="F2368" s="23">
        <f>IFERROR(__xludf.DUMMYFUNCTION("""COMPUTED_VALUE"""),44828.0)</f>
        <v>44828</v>
      </c>
      <c r="G2368" s="24" t="str">
        <f>IFERROR(__xludf.DUMMYFUNCTION("""COMPUTED_VALUE"""),"Denise Brown")</f>
        <v>Denise Brown</v>
      </c>
      <c r="H2368" s="24">
        <f>IFERROR(__xludf.DUMMYFUNCTION("""COMPUTED_VALUE"""),10.0)</f>
        <v>10</v>
      </c>
      <c r="I2368" s="24"/>
    </row>
    <row r="2369">
      <c r="A2369" s="23">
        <f>IFERROR(__xludf.DUMMYFUNCTION("""COMPUTED_VALUE"""),44730.72574172454)</f>
        <v>44730.72574</v>
      </c>
      <c r="B2369" s="24" t="str">
        <f>IFERROR(__xludf.DUMMYFUNCTION("""COMPUTED_VALUE"""),"Sara")</f>
        <v>Sara</v>
      </c>
      <c r="C2369" s="24">
        <f>IFERROR(__xludf.DUMMYFUNCTION("""COMPUTED_VALUE"""),20.0)</f>
        <v>20</v>
      </c>
      <c r="D2369" s="24"/>
      <c r="F2369" s="23">
        <f>IFERROR(__xludf.DUMMYFUNCTION("""COMPUTED_VALUE"""),44828.0)</f>
        <v>44828</v>
      </c>
      <c r="G2369" s="24" t="str">
        <f>IFERROR(__xludf.DUMMYFUNCTION("""COMPUTED_VALUE"""),"Cherise Castello")</f>
        <v>Cherise Castello</v>
      </c>
      <c r="H2369" s="24">
        <f>IFERROR(__xludf.DUMMYFUNCTION("""COMPUTED_VALUE"""),1.0)</f>
        <v>1</v>
      </c>
      <c r="I2369" s="24"/>
    </row>
    <row r="2370">
      <c r="A2370" s="23">
        <f>IFERROR(__xludf.DUMMYFUNCTION("""COMPUTED_VALUE"""),44730.725893981486)</f>
        <v>44730.72589</v>
      </c>
      <c r="B2370" s="24" t="str">
        <f>IFERROR(__xludf.DUMMYFUNCTION("""COMPUTED_VALUE"""),"Tiffany Jiang")</f>
        <v>Tiffany Jiang</v>
      </c>
      <c r="C2370" s="24">
        <f>IFERROR(__xludf.DUMMYFUNCTION("""COMPUTED_VALUE"""),18.0)</f>
        <v>18</v>
      </c>
      <c r="D2370" s="24"/>
      <c r="F2370" s="23">
        <f>IFERROR(__xludf.DUMMYFUNCTION("""COMPUTED_VALUE"""),44828.0)</f>
        <v>44828</v>
      </c>
      <c r="G2370" s="24" t="str">
        <f>IFERROR(__xludf.DUMMYFUNCTION("""COMPUTED_VALUE"""),"Regina Shepherd ")</f>
        <v>Regina Shepherd </v>
      </c>
      <c r="H2370" s="24">
        <f>IFERROR(__xludf.DUMMYFUNCTION("""COMPUTED_VALUE"""),8.0)</f>
        <v>8</v>
      </c>
      <c r="I2370" s="24"/>
    </row>
    <row r="2371">
      <c r="A2371" s="23">
        <f>IFERROR(__xludf.DUMMYFUNCTION("""COMPUTED_VALUE"""),44731.67730577546)</f>
        <v>44731.67731</v>
      </c>
      <c r="B2371" s="24" t="str">
        <f>IFERROR(__xludf.DUMMYFUNCTION("""COMPUTED_VALUE"""),"Anna Nicosia")</f>
        <v>Anna Nicosia</v>
      </c>
      <c r="C2371" s="24">
        <f>IFERROR(__xludf.DUMMYFUNCTION("""COMPUTED_VALUE"""),16.5)</f>
        <v>16.5</v>
      </c>
      <c r="D2371" s="24"/>
      <c r="F2371" s="23">
        <f>IFERROR(__xludf.DUMMYFUNCTION("""COMPUTED_VALUE"""),44828.68487387732)</f>
        <v>44828.68487</v>
      </c>
      <c r="G2371" s="24" t="str">
        <f>IFERROR(__xludf.DUMMYFUNCTION("""COMPUTED_VALUE"""),"Claire")</f>
        <v>Claire</v>
      </c>
      <c r="H2371" s="24">
        <f>IFERROR(__xludf.DUMMYFUNCTION("""COMPUTED_VALUE"""),177.0)</f>
        <v>177</v>
      </c>
      <c r="I2371" s="24" t="str">
        <f>IFERROR(__xludf.DUMMYFUNCTION("""COMPUTED_VALUE"""),"Meat [Raw]")</f>
        <v>Meat [Raw]</v>
      </c>
    </row>
    <row r="2372">
      <c r="A2372" s="23">
        <f>IFERROR(__xludf.DUMMYFUNCTION("""COMPUTED_VALUE"""),44731.67740935185)</f>
        <v>44731.67741</v>
      </c>
      <c r="B2372" s="24" t="str">
        <f>IFERROR(__xludf.DUMMYFUNCTION("""COMPUTED_VALUE"""),"Evan El-Halawani")</f>
        <v>Evan El-Halawani</v>
      </c>
      <c r="C2372" s="24">
        <f>IFERROR(__xludf.DUMMYFUNCTION("""COMPUTED_VALUE"""),18.0)</f>
        <v>18</v>
      </c>
      <c r="D2372" s="24"/>
      <c r="F2372" s="23">
        <f>IFERROR(__xludf.DUMMYFUNCTION("""COMPUTED_VALUE"""),44828.68518172454)</f>
        <v>44828.68518</v>
      </c>
      <c r="G2372" s="24" t="str">
        <f>IFERROR(__xludf.DUMMYFUNCTION("""COMPUTED_VALUE"""),"Claire")</f>
        <v>Claire</v>
      </c>
      <c r="H2372" s="24">
        <f>IFERROR(__xludf.DUMMYFUNCTION("""COMPUTED_VALUE"""),267.0)</f>
        <v>267</v>
      </c>
      <c r="I2372" s="24" t="str">
        <f>IFERROR(__xludf.DUMMYFUNCTION("""COMPUTED_VALUE"""),"Frozen [Not Meat]")</f>
        <v>Frozen [Not Meat]</v>
      </c>
    </row>
    <row r="2373">
      <c r="A2373" s="23">
        <f>IFERROR(__xludf.DUMMYFUNCTION("""COMPUTED_VALUE"""),44733.699923761575)</f>
        <v>44733.69992</v>
      </c>
      <c r="B2373" s="24" t="str">
        <f>IFERROR(__xludf.DUMMYFUNCTION("""COMPUTED_VALUE"""),"Gretchen Pike")</f>
        <v>Gretchen Pike</v>
      </c>
      <c r="C2373" s="24">
        <f>IFERROR(__xludf.DUMMYFUNCTION("""COMPUTED_VALUE"""),19.0)</f>
        <v>19</v>
      </c>
      <c r="D2373" s="24"/>
      <c r="F2373" s="23">
        <f>IFERROR(__xludf.DUMMYFUNCTION("""COMPUTED_VALUE"""),44828.685391921295)</f>
        <v>44828.68539</v>
      </c>
      <c r="G2373" s="24" t="str">
        <f>IFERROR(__xludf.DUMMYFUNCTION("""COMPUTED_VALUE"""),"Claire")</f>
        <v>Claire</v>
      </c>
      <c r="H2373" s="24">
        <f>IFERROR(__xludf.DUMMYFUNCTION("""COMPUTED_VALUE"""),1348.0)</f>
        <v>1348</v>
      </c>
      <c r="I2373" s="24" t="str">
        <f>IFERROR(__xludf.DUMMYFUNCTION("""COMPUTED_VALUE"""),"Drinks [Dry]")</f>
        <v>Drinks [Dry]</v>
      </c>
    </row>
    <row r="2374">
      <c r="A2374" s="23">
        <f>IFERROR(__xludf.DUMMYFUNCTION("""COMPUTED_VALUE"""),44733.70019844907)</f>
        <v>44733.7002</v>
      </c>
      <c r="B2374" s="24" t="str">
        <f>IFERROR(__xludf.DUMMYFUNCTION("""COMPUTED_VALUE"""),"Gretchen Pike")</f>
        <v>Gretchen Pike</v>
      </c>
      <c r="C2374" s="24">
        <f>IFERROR(__xludf.DUMMYFUNCTION("""COMPUTED_VALUE"""),3.0)</f>
        <v>3</v>
      </c>
      <c r="D2374" s="24"/>
      <c r="F2374" s="23">
        <f>IFERROR(__xludf.DUMMYFUNCTION("""COMPUTED_VALUE"""),44828.685847581015)</f>
        <v>44828.68585</v>
      </c>
      <c r="G2374" s="24" t="str">
        <f>IFERROR(__xludf.DUMMYFUNCTION("""COMPUTED_VALUE"""),"Claire")</f>
        <v>Claire</v>
      </c>
      <c r="H2374" s="24">
        <f>IFERROR(__xludf.DUMMYFUNCTION("""COMPUTED_VALUE"""),907.0)</f>
        <v>907</v>
      </c>
      <c r="I2374" s="24" t="str">
        <f>IFERROR(__xludf.DUMMYFUNCTION("""COMPUTED_VALUE"""),"Drinks [Dry]")</f>
        <v>Drinks [Dry]</v>
      </c>
    </row>
    <row r="2375">
      <c r="A2375" s="23">
        <f>IFERROR(__xludf.DUMMYFUNCTION("""COMPUTED_VALUE"""),44733.70084754629)</f>
        <v>44733.70085</v>
      </c>
      <c r="B2375" s="24" t="str">
        <f>IFERROR(__xludf.DUMMYFUNCTION("""COMPUTED_VALUE"""),"Beverly E. Pinn")</f>
        <v>Beverly E. Pinn</v>
      </c>
      <c r="C2375" s="24">
        <f>IFERROR(__xludf.DUMMYFUNCTION("""COMPUTED_VALUE"""),20.0)</f>
        <v>20</v>
      </c>
      <c r="D2375" s="24"/>
      <c r="F2375" s="23">
        <f>IFERROR(__xludf.DUMMYFUNCTION("""COMPUTED_VALUE"""),44828.68637005787)</f>
        <v>44828.68637</v>
      </c>
      <c r="G2375" s="24" t="str">
        <f>IFERROR(__xludf.DUMMYFUNCTION("""COMPUTED_VALUE"""),"Claire")</f>
        <v>Claire</v>
      </c>
      <c r="H2375" s="24">
        <f>IFERROR(__xludf.DUMMYFUNCTION("""COMPUTED_VALUE"""),177.0)</f>
        <v>177</v>
      </c>
      <c r="I2375" s="24" t="str">
        <f>IFERROR(__xludf.DUMMYFUNCTION("""COMPUTED_VALUE"""),"Snacks")</f>
        <v>Snacks</v>
      </c>
    </row>
    <row r="2376">
      <c r="A2376" s="23">
        <f>IFERROR(__xludf.DUMMYFUNCTION("""COMPUTED_VALUE"""),44733.701113773146)</f>
        <v>44733.70111</v>
      </c>
      <c r="B2376" s="24" t="str">
        <f>IFERROR(__xludf.DUMMYFUNCTION("""COMPUTED_VALUE"""),"Beverly E. Pinn")</f>
        <v>Beverly E. Pinn</v>
      </c>
      <c r="C2376" s="24">
        <f>IFERROR(__xludf.DUMMYFUNCTION("""COMPUTED_VALUE"""),23.0)</f>
        <v>23</v>
      </c>
      <c r="D2376" s="24"/>
      <c r="F2376" s="23">
        <f>IFERROR(__xludf.DUMMYFUNCTION("""COMPUTED_VALUE"""),44828.686598506945)</f>
        <v>44828.6866</v>
      </c>
      <c r="G2376" s="24" t="str">
        <f>IFERROR(__xludf.DUMMYFUNCTION("""COMPUTED_VALUE"""),"Claire")</f>
        <v>Claire</v>
      </c>
      <c r="H2376" s="24">
        <f>IFERROR(__xludf.DUMMYFUNCTION("""COMPUTED_VALUE"""),854.0)</f>
        <v>854</v>
      </c>
      <c r="I2376" s="24" t="str">
        <f>IFERROR(__xludf.DUMMYFUNCTION("""COMPUTED_VALUE"""),"Produce")</f>
        <v>Produce</v>
      </c>
    </row>
    <row r="2377">
      <c r="A2377" s="23">
        <f>IFERROR(__xludf.DUMMYFUNCTION("""COMPUTED_VALUE"""),44733.941180636575)</f>
        <v>44733.94118</v>
      </c>
      <c r="B2377" s="24" t="str">
        <f>IFERROR(__xludf.DUMMYFUNCTION("""COMPUTED_VALUE"""),"Doris Parker Tuggle")</f>
        <v>Doris Parker Tuggle</v>
      </c>
      <c r="C2377" s="24">
        <f>IFERROR(__xludf.DUMMYFUNCTION("""COMPUTED_VALUE"""),17.0)</f>
        <v>17</v>
      </c>
      <c r="D2377" s="24"/>
      <c r="F2377" s="23">
        <f>IFERROR(__xludf.DUMMYFUNCTION("""COMPUTED_VALUE"""),44828.686973854165)</f>
        <v>44828.68697</v>
      </c>
      <c r="G2377" s="24" t="str">
        <f>IFERROR(__xludf.DUMMYFUNCTION("""COMPUTED_VALUE"""),"Claire")</f>
        <v>Claire</v>
      </c>
      <c r="H2377" s="24">
        <f>IFERROR(__xludf.DUMMYFUNCTION("""COMPUTED_VALUE"""),2197.0)</f>
        <v>2197</v>
      </c>
      <c r="I2377" s="24" t="str">
        <f>IFERROR(__xludf.DUMMYFUNCTION("""COMPUTED_VALUE"""),"Produce")</f>
        <v>Produce</v>
      </c>
    </row>
    <row r="2378">
      <c r="A2378" s="23">
        <f>IFERROR(__xludf.DUMMYFUNCTION("""COMPUTED_VALUE"""),44733.94194421296)</f>
        <v>44733.94194</v>
      </c>
      <c r="B2378" s="24" t="str">
        <f>IFERROR(__xludf.DUMMYFUNCTION("""COMPUTED_VALUE"""),"Doris Parker Tuggle")</f>
        <v>Doris Parker Tuggle</v>
      </c>
      <c r="C2378" s="24">
        <f>IFERROR(__xludf.DUMMYFUNCTION("""COMPUTED_VALUE"""),7.0)</f>
        <v>7</v>
      </c>
      <c r="D2378" s="24"/>
      <c r="F2378" s="23">
        <f>IFERROR(__xludf.DUMMYFUNCTION("""COMPUTED_VALUE"""),44828.68721408564)</f>
        <v>44828.68721</v>
      </c>
      <c r="G2378" s="24" t="str">
        <f>IFERROR(__xludf.DUMMYFUNCTION("""COMPUTED_VALUE"""),"Claire")</f>
        <v>Claire</v>
      </c>
      <c r="H2378" s="24">
        <f>IFERROR(__xludf.DUMMYFUNCTION("""COMPUTED_VALUE"""),201.0)</f>
        <v>201</v>
      </c>
      <c r="I2378" s="24" t="str">
        <f>IFERROR(__xludf.DUMMYFUNCTION("""COMPUTED_VALUE"""),"Produce")</f>
        <v>Produce</v>
      </c>
    </row>
    <row r="2379">
      <c r="A2379" s="23">
        <f>IFERROR(__xludf.DUMMYFUNCTION("""COMPUTED_VALUE"""),44734.60163748843)</f>
        <v>44734.60164</v>
      </c>
      <c r="B2379" s="24" t="str">
        <f>IFERROR(__xludf.DUMMYFUNCTION("""COMPUTED_VALUE"""),"Sisson St dump dpw drinks (Bud Stracker)")</f>
        <v>Sisson St dump dpw drinks (Bud Stracker)</v>
      </c>
      <c r="C2379" s="24">
        <f>IFERROR(__xludf.DUMMYFUNCTION("""COMPUTED_VALUE"""),15.0)</f>
        <v>15</v>
      </c>
      <c r="D2379" s="24"/>
      <c r="F2379" s="23">
        <f>IFERROR(__xludf.DUMMYFUNCTION("""COMPUTED_VALUE"""),44828.68744365741)</f>
        <v>44828.68744</v>
      </c>
      <c r="G2379" s="24" t="str">
        <f>IFERROR(__xludf.DUMMYFUNCTION("""COMPUTED_VALUE"""),"Claire")</f>
        <v>Claire</v>
      </c>
      <c r="H2379" s="24">
        <f>IFERROR(__xludf.DUMMYFUNCTION("""COMPUTED_VALUE"""),187.0)</f>
        <v>187</v>
      </c>
      <c r="I2379" s="24" t="str">
        <f>IFERROR(__xludf.DUMMYFUNCTION("""COMPUTED_VALUE"""),"Snacks")</f>
        <v>Snacks</v>
      </c>
    </row>
    <row r="2380">
      <c r="A2380" s="23">
        <f>IFERROR(__xludf.DUMMYFUNCTION("""COMPUTED_VALUE"""),44734.603093935184)</f>
        <v>44734.60309</v>
      </c>
      <c r="B2380" s="24" t="str">
        <f>IFERROR(__xludf.DUMMYFUNCTION("""COMPUTED_VALUE"""),"Bud Stracker")</f>
        <v>Bud Stracker</v>
      </c>
      <c r="C2380" s="24">
        <f>IFERROR(__xludf.DUMMYFUNCTION("""COMPUTED_VALUE"""),3.0)</f>
        <v>3</v>
      </c>
      <c r="D2380" s="24"/>
      <c r="F2380" s="23">
        <f>IFERROR(__xludf.DUMMYFUNCTION("""COMPUTED_VALUE"""),44828.688372523146)</f>
        <v>44828.68837</v>
      </c>
      <c r="G2380" s="24" t="str">
        <f>IFERROR(__xludf.DUMMYFUNCTION("""COMPUTED_VALUE"""),"Claire")</f>
        <v>Claire</v>
      </c>
      <c r="H2380" s="24">
        <f>IFERROR(__xludf.DUMMYFUNCTION("""COMPUTED_VALUE"""),199.0)</f>
        <v>199</v>
      </c>
      <c r="I2380" s="24" t="str">
        <f>IFERROR(__xludf.DUMMYFUNCTION("""COMPUTED_VALUE"""),"Snacks")</f>
        <v>Snacks</v>
      </c>
    </row>
    <row r="2381">
      <c r="A2381" s="23">
        <f>IFERROR(__xludf.DUMMYFUNCTION("""COMPUTED_VALUE"""),44734.704824548615)</f>
        <v>44734.70482</v>
      </c>
      <c r="B2381" s="24" t="str">
        <f>IFERROR(__xludf.DUMMYFUNCTION("""COMPUTED_VALUE"""),"Monah")</f>
        <v>Monah</v>
      </c>
      <c r="C2381" s="24">
        <f>IFERROR(__xludf.DUMMYFUNCTION("""COMPUTED_VALUE"""),18.0)</f>
        <v>18</v>
      </c>
      <c r="D2381" s="24"/>
      <c r="F2381" s="23">
        <f>IFERROR(__xludf.DUMMYFUNCTION("""COMPUTED_VALUE"""),44828.68870484954)</f>
        <v>44828.6887</v>
      </c>
      <c r="G2381" s="24" t="str">
        <f>IFERROR(__xludf.DUMMYFUNCTION("""COMPUTED_VALUE"""),"Claire")</f>
        <v>Claire</v>
      </c>
      <c r="H2381" s="24">
        <f>IFERROR(__xludf.DUMMYFUNCTION("""COMPUTED_VALUE"""),83.0)</f>
        <v>83</v>
      </c>
      <c r="I2381" s="24" t="str">
        <f>IFERROR(__xludf.DUMMYFUNCTION("""COMPUTED_VALUE"""),"Assorted Dry")</f>
        <v>Assorted Dry</v>
      </c>
    </row>
    <row r="2382">
      <c r="A2382" s="23">
        <f>IFERROR(__xludf.DUMMYFUNCTION("""COMPUTED_VALUE"""),44734.7050247338)</f>
        <v>44734.70502</v>
      </c>
      <c r="B2382" s="24" t="str">
        <f>IFERROR(__xludf.DUMMYFUNCTION("""COMPUTED_VALUE"""),"Monah expired")</f>
        <v>Monah expired</v>
      </c>
      <c r="C2382" s="24">
        <f>IFERROR(__xludf.DUMMYFUNCTION("""COMPUTED_VALUE"""),14.0)</f>
        <v>14</v>
      </c>
      <c r="D2382" s="24"/>
      <c r="F2382" s="23">
        <f>IFERROR(__xludf.DUMMYFUNCTION("""COMPUTED_VALUE"""),44828.6895424537)</f>
        <v>44828.68954</v>
      </c>
      <c r="G2382" s="24" t="str">
        <f>IFERROR(__xludf.DUMMYFUNCTION("""COMPUTED_VALUE"""),"Claire")</f>
        <v>Claire</v>
      </c>
      <c r="H2382" s="24">
        <f>IFERROR(__xludf.DUMMYFUNCTION("""COMPUTED_VALUE"""),75.0)</f>
        <v>75</v>
      </c>
      <c r="I2382" s="24" t="str">
        <f>IFERROR(__xludf.DUMMYFUNCTION("""COMPUTED_VALUE"""),"STEAM toys")</f>
        <v>STEAM toys</v>
      </c>
    </row>
    <row r="2383">
      <c r="A2383" s="23">
        <f>IFERROR(__xludf.DUMMYFUNCTION("""COMPUTED_VALUE"""),44734.71527799769)</f>
        <v>44734.71528</v>
      </c>
      <c r="B2383" s="24" t="str">
        <f>IFERROR(__xludf.DUMMYFUNCTION("""COMPUTED_VALUE"""),"Deborah Claridy ")</f>
        <v>Deborah Claridy </v>
      </c>
      <c r="C2383" s="24">
        <f>IFERROR(__xludf.DUMMYFUNCTION("""COMPUTED_VALUE"""),13.0)</f>
        <v>13</v>
      </c>
      <c r="D2383" s="24"/>
      <c r="F2383" s="23">
        <f>IFERROR(__xludf.DUMMYFUNCTION("""COMPUTED_VALUE"""),44828.68992737269)</f>
        <v>44828.68993</v>
      </c>
      <c r="G2383" s="24" t="str">
        <f>IFERROR(__xludf.DUMMYFUNCTION("""COMPUTED_VALUE"""),"Claire")</f>
        <v>Claire</v>
      </c>
      <c r="H2383" s="24">
        <f>IFERROR(__xludf.DUMMYFUNCTION("""COMPUTED_VALUE"""),538.0)</f>
        <v>538</v>
      </c>
      <c r="I2383" s="24" t="str">
        <f>IFERROR(__xludf.DUMMYFUNCTION("""COMPUTED_VALUE"""),"Produce")</f>
        <v>Produce</v>
      </c>
    </row>
    <row r="2384">
      <c r="A2384" s="23">
        <f>IFERROR(__xludf.DUMMYFUNCTION("""COMPUTED_VALUE"""),44734.764111875)</f>
        <v>44734.76411</v>
      </c>
      <c r="B2384" s="24" t="str">
        <f>IFERROR(__xludf.DUMMYFUNCTION("""COMPUTED_VALUE"""),"Linette ")</f>
        <v>Linette </v>
      </c>
      <c r="C2384" s="24">
        <f>IFERROR(__xludf.DUMMYFUNCTION("""COMPUTED_VALUE"""),24.0)</f>
        <v>24</v>
      </c>
      <c r="D2384" s="24"/>
      <c r="F2384" s="23">
        <f>IFERROR(__xludf.DUMMYFUNCTION("""COMPUTED_VALUE"""),44828.68994460648)</f>
        <v>44828.68994</v>
      </c>
      <c r="G2384" s="24" t="str">
        <f>IFERROR(__xludf.DUMMYFUNCTION("""COMPUTED_VALUE"""),"Keyra Hall")</f>
        <v>Keyra Hall</v>
      </c>
      <c r="H2384" s="24">
        <f>IFERROR(__xludf.DUMMYFUNCTION("""COMPUTED_VALUE"""),8.0)</f>
        <v>8</v>
      </c>
      <c r="I2384" s="24"/>
    </row>
    <row r="2385">
      <c r="A2385" s="23">
        <f>IFERROR(__xludf.DUMMYFUNCTION("""COMPUTED_VALUE"""),44734.76445351852)</f>
        <v>44734.76445</v>
      </c>
      <c r="B2385" s="24" t="str">
        <f>IFERROR(__xludf.DUMMYFUNCTION("""COMPUTED_VALUE"""),"Linette ")</f>
        <v>Linette </v>
      </c>
      <c r="C2385" s="24">
        <f>IFERROR(__xludf.DUMMYFUNCTION("""COMPUTED_VALUE"""),25.0)</f>
        <v>25</v>
      </c>
      <c r="D2385" s="24"/>
      <c r="F2385" s="23">
        <f>IFERROR(__xludf.DUMMYFUNCTION("""COMPUTED_VALUE"""),44828.69032480325)</f>
        <v>44828.69032</v>
      </c>
      <c r="G2385" s="24" t="str">
        <f>IFERROR(__xludf.DUMMYFUNCTION("""COMPUTED_VALUE"""),"Claire")</f>
        <v>Claire</v>
      </c>
      <c r="H2385" s="24">
        <f>IFERROR(__xludf.DUMMYFUNCTION("""COMPUTED_VALUE"""),480.0)</f>
        <v>480</v>
      </c>
      <c r="I2385" s="24" t="str">
        <f>IFERROR(__xludf.DUMMYFUNCTION("""COMPUTED_VALUE"""),"Produce")</f>
        <v>Produce</v>
      </c>
    </row>
    <row r="2386">
      <c r="A2386" s="23">
        <f>IFERROR(__xludf.DUMMYFUNCTION("""COMPUTED_VALUE"""),44734.87388394676)</f>
        <v>44734.87388</v>
      </c>
      <c r="B2386" s="24" t="str">
        <f>IFERROR(__xludf.DUMMYFUNCTION("""COMPUTED_VALUE"""),"Connor Gephart ")</f>
        <v>Connor Gephart </v>
      </c>
      <c r="C2386" s="24">
        <f>IFERROR(__xludf.DUMMYFUNCTION("""COMPUTED_VALUE"""),11.0)</f>
        <v>11</v>
      </c>
      <c r="D2386" s="24"/>
      <c r="F2386" s="23">
        <f>IFERROR(__xludf.DUMMYFUNCTION("""COMPUTED_VALUE"""),44828.690644282404)</f>
        <v>44828.69064</v>
      </c>
      <c r="G2386" s="24" t="str">
        <f>IFERROR(__xludf.DUMMYFUNCTION("""COMPUTED_VALUE"""),"Claire")</f>
        <v>Claire</v>
      </c>
      <c r="H2386" s="24">
        <f>IFERROR(__xludf.DUMMYFUNCTION("""COMPUTED_VALUE"""),158.0)</f>
        <v>158</v>
      </c>
      <c r="I2386" s="24" t="str">
        <f>IFERROR(__xludf.DUMMYFUNCTION("""COMPUTED_VALUE"""),"Frozen [Not Meat]")</f>
        <v>Frozen [Not Meat]</v>
      </c>
    </row>
    <row r="2387">
      <c r="A2387" s="23">
        <f>IFERROR(__xludf.DUMMYFUNCTION("""COMPUTED_VALUE"""),44734.88105895833)</f>
        <v>44734.88106</v>
      </c>
      <c r="B2387" s="24" t="str">
        <f>IFERROR(__xludf.DUMMYFUNCTION("""COMPUTED_VALUE"""),"Randy Cochran")</f>
        <v>Randy Cochran</v>
      </c>
      <c r="C2387" s="24">
        <f>IFERROR(__xludf.DUMMYFUNCTION("""COMPUTED_VALUE"""),20.0)</f>
        <v>20</v>
      </c>
      <c r="D2387" s="24"/>
      <c r="F2387" s="23">
        <f>IFERROR(__xludf.DUMMYFUNCTION("""COMPUTED_VALUE"""),44828.69278094907)</f>
        <v>44828.69278</v>
      </c>
      <c r="G2387" s="24" t="str">
        <f>IFERROR(__xludf.DUMMYFUNCTION("""COMPUTED_VALUE"""),"Claire")</f>
        <v>Claire</v>
      </c>
      <c r="H2387" s="24">
        <f>IFERROR(__xludf.DUMMYFUNCTION("""COMPUTED_VALUE"""),-480.0)</f>
        <v>-480</v>
      </c>
      <c r="I2387" s="24" t="str">
        <f>IFERROR(__xludf.DUMMYFUNCTION("""COMPUTED_VALUE"""),"Drinks [Dry]")</f>
        <v>Drinks [Dry]</v>
      </c>
    </row>
    <row r="2388">
      <c r="A2388" s="23">
        <f>IFERROR(__xludf.DUMMYFUNCTION("""COMPUTED_VALUE"""),44734.881214814806)</f>
        <v>44734.88121</v>
      </c>
      <c r="B2388" s="24" t="str">
        <f>IFERROR(__xludf.DUMMYFUNCTION("""COMPUTED_VALUE"""),"Randy Cochran")</f>
        <v>Randy Cochran</v>
      </c>
      <c r="C2388" s="24">
        <f>IFERROR(__xludf.DUMMYFUNCTION("""COMPUTED_VALUE"""),7.0)</f>
        <v>7</v>
      </c>
      <c r="D2388" s="24"/>
      <c r="F2388" s="23">
        <f>IFERROR(__xludf.DUMMYFUNCTION("""COMPUTED_VALUE"""),44828.69329581018)</f>
        <v>44828.6933</v>
      </c>
      <c r="G2388" s="24" t="str">
        <f>IFERROR(__xludf.DUMMYFUNCTION("""COMPUTED_VALUE"""),"Claire")</f>
        <v>Claire</v>
      </c>
      <c r="H2388" s="24">
        <f>IFERROR(__xludf.DUMMYFUNCTION("""COMPUTED_VALUE"""),-852.0)</f>
        <v>-852</v>
      </c>
      <c r="I2388" s="24" t="str">
        <f>IFERROR(__xludf.DUMMYFUNCTION("""COMPUTED_VALUE"""),"Produce")</f>
        <v>Produce</v>
      </c>
    </row>
    <row r="2389">
      <c r="A2389" s="23">
        <f>IFERROR(__xludf.DUMMYFUNCTION("""COMPUTED_VALUE"""),44734.88296309028)</f>
        <v>44734.88296</v>
      </c>
      <c r="B2389" s="24" t="str">
        <f>IFERROR(__xludf.DUMMYFUNCTION("""COMPUTED_VALUE"""),"Dee Satterfield")</f>
        <v>Dee Satterfield</v>
      </c>
      <c r="C2389" s="24">
        <f>IFERROR(__xludf.DUMMYFUNCTION("""COMPUTED_VALUE"""),20.0)</f>
        <v>20</v>
      </c>
      <c r="D2389" s="24"/>
      <c r="F2389" s="23">
        <f>IFERROR(__xludf.DUMMYFUNCTION("""COMPUTED_VALUE"""),44828.69354756945)</f>
        <v>44828.69355</v>
      </c>
      <c r="G2389" s="24" t="str">
        <f>IFERROR(__xludf.DUMMYFUNCTION("""COMPUTED_VALUE"""),"Claire")</f>
        <v>Claire</v>
      </c>
      <c r="H2389" s="24">
        <f>IFERROR(__xludf.DUMMYFUNCTION("""COMPUTED_VALUE"""),-170.0)</f>
        <v>-170</v>
      </c>
      <c r="I2389" s="24" t="str">
        <f>IFERROR(__xludf.DUMMYFUNCTION("""COMPUTED_VALUE"""),"Snacks")</f>
        <v>Snacks</v>
      </c>
    </row>
    <row r="2390">
      <c r="A2390" s="23">
        <f>IFERROR(__xludf.DUMMYFUNCTION("""COMPUTED_VALUE"""),44734.883210092594)</f>
        <v>44734.88321</v>
      </c>
      <c r="B2390" s="24" t="str">
        <f>IFERROR(__xludf.DUMMYFUNCTION("""COMPUTED_VALUE"""),"Dee Satterfield")</f>
        <v>Dee Satterfield</v>
      </c>
      <c r="C2390" s="24">
        <f>IFERROR(__xludf.DUMMYFUNCTION("""COMPUTED_VALUE"""),22.0)</f>
        <v>22</v>
      </c>
      <c r="D2390" s="24"/>
      <c r="F2390" s="23">
        <f>IFERROR(__xludf.DUMMYFUNCTION("""COMPUTED_VALUE"""),44828.695426446764)</f>
        <v>44828.69543</v>
      </c>
      <c r="G2390" s="24" t="str">
        <f>IFERROR(__xludf.DUMMYFUNCTION("""COMPUTED_VALUE"""),"Ajeñee Williams ")</f>
        <v>Ajeñee Williams </v>
      </c>
      <c r="H2390" s="24">
        <f>IFERROR(__xludf.DUMMYFUNCTION("""COMPUTED_VALUE"""),10.0)</f>
        <v>10</v>
      </c>
      <c r="I2390" s="24"/>
    </row>
    <row r="2391">
      <c r="A2391" s="23">
        <f>IFERROR(__xludf.DUMMYFUNCTION("""COMPUTED_VALUE"""),44734.886467743054)</f>
        <v>44734.88647</v>
      </c>
      <c r="B2391" s="24" t="str">
        <f>IFERROR(__xludf.DUMMYFUNCTION("""COMPUTED_VALUE"""),"Luke mayhew")</f>
        <v>Luke mayhew</v>
      </c>
      <c r="C2391" s="24">
        <f>IFERROR(__xludf.DUMMYFUNCTION("""COMPUTED_VALUE"""),20.0)</f>
        <v>20</v>
      </c>
      <c r="D2391" s="24"/>
      <c r="F2391" s="23">
        <f>IFERROR(__xludf.DUMMYFUNCTION("""COMPUTED_VALUE"""),44828.69552709491)</f>
        <v>44828.69553</v>
      </c>
      <c r="G2391" s="24" t="str">
        <f>IFERROR(__xludf.DUMMYFUNCTION("""COMPUTED_VALUE"""),"Claire")</f>
        <v>Claire</v>
      </c>
      <c r="H2391" s="24">
        <f>IFERROR(__xludf.DUMMYFUNCTION("""COMPUTED_VALUE"""),250.0)</f>
        <v>250</v>
      </c>
      <c r="I2391" s="24" t="str">
        <f>IFERROR(__xludf.DUMMYFUNCTION("""COMPUTED_VALUE"""),"Meat [Raw]")</f>
        <v>Meat [Raw]</v>
      </c>
    </row>
    <row r="2392">
      <c r="A2392" s="23">
        <f>IFERROR(__xludf.DUMMYFUNCTION("""COMPUTED_VALUE"""),44734.88662118055)</f>
        <v>44734.88662</v>
      </c>
      <c r="B2392" s="24" t="str">
        <f>IFERROR(__xludf.DUMMYFUNCTION("""COMPUTED_VALUE"""),"Luke Mayhew ")</f>
        <v>Luke Mayhew </v>
      </c>
      <c r="C2392" s="24">
        <f>IFERROR(__xludf.DUMMYFUNCTION("""COMPUTED_VALUE"""),14.0)</f>
        <v>14</v>
      </c>
      <c r="D2392" s="24"/>
      <c r="F2392" s="23">
        <f>IFERROR(__xludf.DUMMYFUNCTION("""COMPUTED_VALUE"""),44828.69679890046)</f>
        <v>44828.6968</v>
      </c>
      <c r="G2392" s="24" t="str">
        <f>IFERROR(__xludf.DUMMYFUNCTION("""COMPUTED_VALUE"""),"Nadia Simmons ")</f>
        <v>Nadia Simmons </v>
      </c>
      <c r="H2392" s="24">
        <f>IFERROR(__xludf.DUMMYFUNCTION("""COMPUTED_VALUE"""),14.0)</f>
        <v>14</v>
      </c>
      <c r="I2392" s="24"/>
    </row>
    <row r="2393">
      <c r="A2393" s="23">
        <f>IFERROR(__xludf.DUMMYFUNCTION("""COMPUTED_VALUE"""),44735.7106152662)</f>
        <v>44735.71062</v>
      </c>
      <c r="B2393" s="24" t="str">
        <f>IFERROR(__xludf.DUMMYFUNCTION("""COMPUTED_VALUE"""),"Norma Kriger")</f>
        <v>Norma Kriger</v>
      </c>
      <c r="C2393" s="24">
        <f>IFERROR(__xludf.DUMMYFUNCTION("""COMPUTED_VALUE"""),10.0)</f>
        <v>10</v>
      </c>
      <c r="D2393" s="24"/>
      <c r="F2393" s="23">
        <f>IFERROR(__xludf.DUMMYFUNCTION("""COMPUTED_VALUE"""),44828.69696630787)</f>
        <v>44828.69697</v>
      </c>
      <c r="G2393" s="24" t="str">
        <f>IFERROR(__xludf.DUMMYFUNCTION("""COMPUTED_VALUE"""),"Nadia Simmons ")</f>
        <v>Nadia Simmons </v>
      </c>
      <c r="H2393" s="24">
        <f>IFERROR(__xludf.DUMMYFUNCTION("""COMPUTED_VALUE"""),4.0)</f>
        <v>4</v>
      </c>
      <c r="I2393" s="24"/>
    </row>
    <row r="2394">
      <c r="A2394" s="23">
        <f>IFERROR(__xludf.DUMMYFUNCTION("""COMPUTED_VALUE"""),44736.71603539352)</f>
        <v>44736.71604</v>
      </c>
      <c r="B2394" s="24" t="str">
        <f>IFERROR(__xludf.DUMMYFUNCTION("""COMPUTED_VALUE"""),"Yulia")</f>
        <v>Yulia</v>
      </c>
      <c r="C2394" s="24">
        <f>IFERROR(__xludf.DUMMYFUNCTION("""COMPUTED_VALUE"""),53.0)</f>
        <v>53</v>
      </c>
      <c r="D2394" s="24"/>
      <c r="F2394" s="23">
        <f>IFERROR(__xludf.DUMMYFUNCTION("""COMPUTED_VALUE"""),44828.697155)</f>
        <v>44828.69716</v>
      </c>
      <c r="G2394" s="24" t="str">
        <f>IFERROR(__xludf.DUMMYFUNCTION("""COMPUTED_VALUE"""),"Cherise Castello")</f>
        <v>Cherise Castello</v>
      </c>
      <c r="H2394" s="24">
        <f>IFERROR(__xludf.DUMMYFUNCTION("""COMPUTED_VALUE"""),17.0)</f>
        <v>17</v>
      </c>
      <c r="I2394" s="24"/>
    </row>
    <row r="2395">
      <c r="A2395" s="23">
        <f>IFERROR(__xludf.DUMMYFUNCTION("""COMPUTED_VALUE"""),44736.72101954861)</f>
        <v>44736.72102</v>
      </c>
      <c r="B2395" s="24" t="str">
        <f>IFERROR(__xludf.DUMMYFUNCTION("""COMPUTED_VALUE"""),"Sunita Pathik")</f>
        <v>Sunita Pathik</v>
      </c>
      <c r="C2395" s="24">
        <f>IFERROR(__xludf.DUMMYFUNCTION("""COMPUTED_VALUE"""),7.0)</f>
        <v>7</v>
      </c>
      <c r="D2395" s="24"/>
      <c r="F2395" s="23">
        <f>IFERROR(__xludf.DUMMYFUNCTION("""COMPUTED_VALUE"""),44828.697974421295)</f>
        <v>44828.69797</v>
      </c>
      <c r="G2395" s="24" t="str">
        <f>IFERROR(__xludf.DUMMYFUNCTION("""COMPUTED_VALUE"""),"Danaysha")</f>
        <v>Danaysha</v>
      </c>
      <c r="H2395" s="24">
        <f>IFERROR(__xludf.DUMMYFUNCTION("""COMPUTED_VALUE"""),14.0)</f>
        <v>14</v>
      </c>
      <c r="I2395" s="24"/>
    </row>
    <row r="2396">
      <c r="A2396" s="23">
        <f>IFERROR(__xludf.DUMMYFUNCTION("""COMPUTED_VALUE"""),44736.72282167824)</f>
        <v>44736.72282</v>
      </c>
      <c r="B2396" s="24" t="str">
        <f>IFERROR(__xludf.DUMMYFUNCTION("""COMPUTED_VALUE"""),"Beth Torres")</f>
        <v>Beth Torres</v>
      </c>
      <c r="C2396" s="24">
        <f>IFERROR(__xludf.DUMMYFUNCTION("""COMPUTED_VALUE"""),14.0)</f>
        <v>14</v>
      </c>
      <c r="D2396" s="24"/>
      <c r="F2396" s="23">
        <f>IFERROR(__xludf.DUMMYFUNCTION("""COMPUTED_VALUE"""),44828.698131666664)</f>
        <v>44828.69813</v>
      </c>
      <c r="G2396" s="24" t="str">
        <f>IFERROR(__xludf.DUMMYFUNCTION("""COMPUTED_VALUE"""),"Danaysha ")</f>
        <v>Danaysha </v>
      </c>
      <c r="H2396" s="24">
        <f>IFERROR(__xludf.DUMMYFUNCTION("""COMPUTED_VALUE"""),18.0)</f>
        <v>18</v>
      </c>
      <c r="I2396" s="24"/>
    </row>
    <row r="2397">
      <c r="A2397" s="23">
        <f>IFERROR(__xludf.DUMMYFUNCTION("""COMPUTED_VALUE"""),44736.722988587964)</f>
        <v>44736.72299</v>
      </c>
      <c r="B2397" s="24" t="str">
        <f>IFERROR(__xludf.DUMMYFUNCTION("""COMPUTED_VALUE"""),"Beth Torres")</f>
        <v>Beth Torres</v>
      </c>
      <c r="C2397" s="24">
        <f>IFERROR(__xludf.DUMMYFUNCTION("""COMPUTED_VALUE"""),33.0)</f>
        <v>33</v>
      </c>
      <c r="D2397" s="24"/>
      <c r="F2397" s="23">
        <f>IFERROR(__xludf.DUMMYFUNCTION("""COMPUTED_VALUE"""),44828.6995209838)</f>
        <v>44828.69952</v>
      </c>
      <c r="G2397" s="24" t="str">
        <f>IFERROR(__xludf.DUMMYFUNCTION("""COMPUTED_VALUE"""),"Tyrisha Haskins ")</f>
        <v>Tyrisha Haskins </v>
      </c>
      <c r="H2397" s="24">
        <f>IFERROR(__xludf.DUMMYFUNCTION("""COMPUTED_VALUE"""),6.0)</f>
        <v>6</v>
      </c>
      <c r="I2397" s="24"/>
    </row>
    <row r="2398">
      <c r="A2398" s="23">
        <f>IFERROR(__xludf.DUMMYFUNCTION("""COMPUTED_VALUE"""),44736.73970798611)</f>
        <v>44736.73971</v>
      </c>
      <c r="B2398" s="24" t="str">
        <f>IFERROR(__xludf.DUMMYFUNCTION("""COMPUTED_VALUE"""),"Lynnett expire")</f>
        <v>Lynnett expire</v>
      </c>
      <c r="C2398" s="24">
        <f>IFERROR(__xludf.DUMMYFUNCTION("""COMPUTED_VALUE"""),22.0)</f>
        <v>22</v>
      </c>
      <c r="D2398" s="24"/>
      <c r="F2398" s="23">
        <f>IFERROR(__xludf.DUMMYFUNCTION("""COMPUTED_VALUE"""),44828.699809351856)</f>
        <v>44828.69981</v>
      </c>
      <c r="G2398" s="24" t="str">
        <f>IFERROR(__xludf.DUMMYFUNCTION("""COMPUTED_VALUE"""),"Tyrisha Haskins ")</f>
        <v>Tyrisha Haskins </v>
      </c>
      <c r="H2398" s="24">
        <f>IFERROR(__xludf.DUMMYFUNCTION("""COMPUTED_VALUE"""),7.0)</f>
        <v>7</v>
      </c>
      <c r="I2398" s="24"/>
    </row>
    <row r="2399">
      <c r="A2399" s="23">
        <f>IFERROR(__xludf.DUMMYFUNCTION("""COMPUTED_VALUE"""),44736.739853969906)</f>
        <v>44736.73985</v>
      </c>
      <c r="B2399" s="24" t="str">
        <f>IFERROR(__xludf.DUMMYFUNCTION("""COMPUTED_VALUE"""),"Lynnette")</f>
        <v>Lynnette</v>
      </c>
      <c r="C2399" s="24">
        <f>IFERROR(__xludf.DUMMYFUNCTION("""COMPUTED_VALUE"""),4.0)</f>
        <v>4</v>
      </c>
      <c r="D2399" s="24"/>
      <c r="F2399" s="23">
        <f>IFERROR(__xludf.DUMMYFUNCTION("""COMPUTED_VALUE"""),44828.70092787036)</f>
        <v>44828.70093</v>
      </c>
      <c r="G2399" s="24" t="str">
        <f>IFERROR(__xludf.DUMMYFUNCTION("""COMPUTED_VALUE"""),"Evelyn jiang")</f>
        <v>Evelyn jiang</v>
      </c>
      <c r="H2399" s="24">
        <f>IFERROR(__xludf.DUMMYFUNCTION("""COMPUTED_VALUE"""),17.0)</f>
        <v>17</v>
      </c>
      <c r="I2399" s="24"/>
    </row>
    <row r="2400">
      <c r="A2400" s="23">
        <f>IFERROR(__xludf.DUMMYFUNCTION("""COMPUTED_VALUE"""),44736.740019675926)</f>
        <v>44736.74002</v>
      </c>
      <c r="B2400" s="24" t="str">
        <f>IFERROR(__xludf.DUMMYFUNCTION("""COMPUTED_VALUE"""),"Juanita expired")</f>
        <v>Juanita expired</v>
      </c>
      <c r="C2400" s="24">
        <f>IFERROR(__xludf.DUMMYFUNCTION("""COMPUTED_VALUE"""),24.0)</f>
        <v>24</v>
      </c>
      <c r="D2400" s="24"/>
      <c r="F2400" s="23">
        <f>IFERROR(__xludf.DUMMYFUNCTION("""COMPUTED_VALUE"""),44828.70132662037)</f>
        <v>44828.70133</v>
      </c>
      <c r="G2400" s="24" t="str">
        <f>IFERROR(__xludf.DUMMYFUNCTION("""COMPUTED_VALUE"""),"Regina Shepherd ")</f>
        <v>Regina Shepherd </v>
      </c>
      <c r="H2400" s="24">
        <f>IFERROR(__xludf.DUMMYFUNCTION("""COMPUTED_VALUE"""),13.0)</f>
        <v>13</v>
      </c>
      <c r="I2400" s="24"/>
    </row>
    <row r="2401">
      <c r="A2401" s="23">
        <f>IFERROR(__xludf.DUMMYFUNCTION("""COMPUTED_VALUE"""),44736.785793993055)</f>
        <v>44736.78579</v>
      </c>
      <c r="B2401" s="24" t="str">
        <f>IFERROR(__xludf.DUMMYFUNCTION("""COMPUTED_VALUE"""),"Juanita ")</f>
        <v>Juanita </v>
      </c>
      <c r="C2401" s="24">
        <f>IFERROR(__xludf.DUMMYFUNCTION("""COMPUTED_VALUE"""),15.0)</f>
        <v>15</v>
      </c>
      <c r="D2401" s="24"/>
      <c r="F2401" s="23">
        <f>IFERROR(__xludf.DUMMYFUNCTION("""COMPUTED_VALUE"""),44828.70168179399)</f>
        <v>44828.70168</v>
      </c>
      <c r="G2401" s="24" t="str">
        <f>IFERROR(__xludf.DUMMYFUNCTION("""COMPUTED_VALUE"""),"Sara B. ")</f>
        <v>Sara B. </v>
      </c>
      <c r="H2401" s="24">
        <f>IFERROR(__xludf.DUMMYFUNCTION("""COMPUTED_VALUE"""),17.0)</f>
        <v>17</v>
      </c>
      <c r="I2401" s="24"/>
    </row>
    <row r="2402">
      <c r="A2402" s="23">
        <f>IFERROR(__xludf.DUMMYFUNCTION("""COMPUTED_VALUE"""),44737.709305787044)</f>
        <v>44737.70931</v>
      </c>
      <c r="B2402" s="24" t="str">
        <f>IFERROR(__xludf.DUMMYFUNCTION("""COMPUTED_VALUE"""),"Cybil Bailey")</f>
        <v>Cybil Bailey</v>
      </c>
      <c r="C2402" s="24">
        <f>IFERROR(__xludf.DUMMYFUNCTION("""COMPUTED_VALUE"""),5.0)</f>
        <v>5</v>
      </c>
      <c r="D2402" s="24"/>
      <c r="F2402" s="23">
        <f>IFERROR(__xludf.DUMMYFUNCTION("""COMPUTED_VALUE"""),44828.70418048611)</f>
        <v>44828.70418</v>
      </c>
      <c r="G2402" s="24" t="str">
        <f>IFERROR(__xludf.DUMMYFUNCTION("""COMPUTED_VALUE"""),"Nathan so")</f>
        <v>Nathan so</v>
      </c>
      <c r="H2402" s="24">
        <f>IFERROR(__xludf.DUMMYFUNCTION("""COMPUTED_VALUE"""),18.0)</f>
        <v>18</v>
      </c>
      <c r="I2402" s="24"/>
    </row>
    <row r="2403">
      <c r="A2403" s="23">
        <f>IFERROR(__xludf.DUMMYFUNCTION("""COMPUTED_VALUE"""),44737.7094657176)</f>
        <v>44737.70947</v>
      </c>
      <c r="B2403" s="24" t="str">
        <f>IFERROR(__xludf.DUMMYFUNCTION("""COMPUTED_VALUE"""),"Cybil Bailey")</f>
        <v>Cybil Bailey</v>
      </c>
      <c r="C2403" s="24">
        <f>IFERROR(__xludf.DUMMYFUNCTION("""COMPUTED_VALUE"""),3.0)</f>
        <v>3</v>
      </c>
      <c r="D2403" s="24"/>
      <c r="F2403" s="23">
        <f>IFERROR(__xludf.DUMMYFUNCTION("""COMPUTED_VALUE"""),44828.717238414356)</f>
        <v>44828.71724</v>
      </c>
      <c r="G2403" s="24" t="str">
        <f>IFERROR(__xludf.DUMMYFUNCTION("""COMPUTED_VALUE"""),"Beverly Pinn")</f>
        <v>Beverly Pinn</v>
      </c>
      <c r="H2403" s="24">
        <f>IFERROR(__xludf.DUMMYFUNCTION("""COMPUTED_VALUE"""),11.0)</f>
        <v>11</v>
      </c>
      <c r="I2403" s="24"/>
    </row>
    <row r="2404">
      <c r="A2404" s="23">
        <f>IFERROR(__xludf.DUMMYFUNCTION("""COMPUTED_VALUE"""),44737.710152060194)</f>
        <v>44737.71015</v>
      </c>
      <c r="B2404" s="24" t="str">
        <f>IFERROR(__xludf.DUMMYFUNCTION("""COMPUTED_VALUE"""),"nathan ")</f>
        <v>nathan </v>
      </c>
      <c r="C2404" s="24">
        <f>IFERROR(__xludf.DUMMYFUNCTION("""COMPUTED_VALUE"""),18.0)</f>
        <v>18</v>
      </c>
      <c r="D2404" s="24"/>
      <c r="F2404" s="23">
        <f>IFERROR(__xludf.DUMMYFUNCTION("""COMPUTED_VALUE"""),44828.717440381944)</f>
        <v>44828.71744</v>
      </c>
      <c r="G2404" s="24" t="str">
        <f>IFERROR(__xludf.DUMMYFUNCTION("""COMPUTED_VALUE"""),"Beverly Pinn")</f>
        <v>Beverly Pinn</v>
      </c>
      <c r="H2404" s="24">
        <f>IFERROR(__xludf.DUMMYFUNCTION("""COMPUTED_VALUE"""),38.0)</f>
        <v>38</v>
      </c>
      <c r="I2404" s="24"/>
    </row>
    <row r="2405">
      <c r="A2405" s="23">
        <f>IFERROR(__xludf.DUMMYFUNCTION("""COMPUTED_VALUE"""),44737.71193099538)</f>
        <v>44737.71193</v>
      </c>
      <c r="B2405" s="24" t="str">
        <f>IFERROR(__xludf.DUMMYFUNCTION("""COMPUTED_VALUE"""),"Emily Stucke")</f>
        <v>Emily Stucke</v>
      </c>
      <c r="C2405" s="24">
        <f>IFERROR(__xludf.DUMMYFUNCTION("""COMPUTED_VALUE"""),7.0)</f>
        <v>7</v>
      </c>
      <c r="D2405" s="24"/>
      <c r="F2405" s="23">
        <f>IFERROR(__xludf.DUMMYFUNCTION("""COMPUTED_VALUE"""),44828.72886792824)</f>
        <v>44828.72887</v>
      </c>
      <c r="G2405" s="24" t="str">
        <f>IFERROR(__xludf.DUMMYFUNCTION("""COMPUTED_VALUE"""),"Lynnette ")</f>
        <v>Lynnette </v>
      </c>
      <c r="H2405" s="24">
        <f>IFERROR(__xludf.DUMMYFUNCTION("""COMPUTED_VALUE"""),23.0)</f>
        <v>23</v>
      </c>
      <c r="I2405" s="24"/>
    </row>
    <row r="2406">
      <c r="A2406" s="23">
        <f>IFERROR(__xludf.DUMMYFUNCTION("""COMPUTED_VALUE"""),44737.72144284722)</f>
        <v>44737.72144</v>
      </c>
      <c r="B2406" s="24" t="str">
        <f>IFERROR(__xludf.DUMMYFUNCTION("""COMPUTED_VALUE"""),"Brandon ")</f>
        <v>Brandon </v>
      </c>
      <c r="C2406" s="24">
        <f>IFERROR(__xludf.DUMMYFUNCTION("""COMPUTED_VALUE"""),23.5)</f>
        <v>23.5</v>
      </c>
      <c r="D2406" s="24"/>
      <c r="F2406" s="23">
        <f>IFERROR(__xludf.DUMMYFUNCTION("""COMPUTED_VALUE"""),44828.72915175926)</f>
        <v>44828.72915</v>
      </c>
      <c r="G2406" s="24" t="str">
        <f>IFERROR(__xludf.DUMMYFUNCTION("""COMPUTED_VALUE"""),"Lynnette  ")</f>
        <v>Lynnette  </v>
      </c>
      <c r="H2406" s="24">
        <f>IFERROR(__xludf.DUMMYFUNCTION("""COMPUTED_VALUE"""),10.0)</f>
        <v>10</v>
      </c>
      <c r="I2406" s="24"/>
    </row>
    <row r="2407">
      <c r="A2407" s="23">
        <f>IFERROR(__xludf.DUMMYFUNCTION("""COMPUTED_VALUE"""),44737.72275651621)</f>
        <v>44737.72276</v>
      </c>
      <c r="B2407" s="24" t="str">
        <f>IFERROR(__xludf.DUMMYFUNCTION("""COMPUTED_VALUE"""),"Deborah claridy")</f>
        <v>Deborah claridy</v>
      </c>
      <c r="C2407" s="24">
        <f>IFERROR(__xludf.DUMMYFUNCTION("""COMPUTED_VALUE"""),6.0)</f>
        <v>6</v>
      </c>
      <c r="D2407" s="24"/>
      <c r="F2407" s="23">
        <f>IFERROR(__xludf.DUMMYFUNCTION("""COMPUTED_VALUE"""),44828.72937924768)</f>
        <v>44828.72938</v>
      </c>
      <c r="G2407" s="24" t="str">
        <f>IFERROR(__xludf.DUMMYFUNCTION("""COMPUTED_VALUE"""),"Juanita")</f>
        <v>Juanita</v>
      </c>
      <c r="H2407" s="24">
        <f>IFERROR(__xludf.DUMMYFUNCTION("""COMPUTED_VALUE"""),10.0)</f>
        <v>10</v>
      </c>
      <c r="I2407" s="24"/>
    </row>
    <row r="2408">
      <c r="A2408" s="23">
        <f>IFERROR(__xludf.DUMMYFUNCTION("""COMPUTED_VALUE"""),44737.7228628588)</f>
        <v>44737.72286</v>
      </c>
      <c r="B2408" s="24" t="str">
        <f>IFERROR(__xludf.DUMMYFUNCTION("""COMPUTED_VALUE"""),"Thomas aloisi")</f>
        <v>Thomas aloisi</v>
      </c>
      <c r="C2408" s="24">
        <f>IFERROR(__xludf.DUMMYFUNCTION("""COMPUTED_VALUE"""),19.0)</f>
        <v>19</v>
      </c>
      <c r="D2408" s="24"/>
      <c r="F2408" s="23">
        <f>IFERROR(__xludf.DUMMYFUNCTION("""COMPUTED_VALUE"""),44829.0)</f>
        <v>44829</v>
      </c>
      <c r="G2408" s="24" t="str">
        <f>IFERROR(__xludf.DUMMYFUNCTION("""COMPUTED_VALUE"""),"Claire")</f>
        <v>Claire</v>
      </c>
      <c r="H2408" s="24">
        <f>IFERROR(__xludf.DUMMYFUNCTION("""COMPUTED_VALUE"""),522.0)</f>
        <v>522</v>
      </c>
      <c r="I2408" s="24" t="str">
        <f>IFERROR(__xludf.DUMMYFUNCTION("""COMPUTED_VALUE"""),"Assorted Dry")</f>
        <v>Assorted Dry</v>
      </c>
    </row>
    <row r="2409">
      <c r="A2409" s="23">
        <f>IFERROR(__xludf.DUMMYFUNCTION("""COMPUTED_VALUE"""),44737.723116851856)</f>
        <v>44737.72312</v>
      </c>
      <c r="B2409" s="24" t="str">
        <f>IFERROR(__xludf.DUMMYFUNCTION("""COMPUTED_VALUE"""),"Deborah claridy")</f>
        <v>Deborah claridy</v>
      </c>
      <c r="C2409" s="24">
        <f>IFERROR(__xludf.DUMMYFUNCTION("""COMPUTED_VALUE"""),8.0)</f>
        <v>8</v>
      </c>
      <c r="D2409" s="24"/>
      <c r="F2409" s="23">
        <f>IFERROR(__xludf.DUMMYFUNCTION("""COMPUTED_VALUE"""),44829.0)</f>
        <v>44829</v>
      </c>
      <c r="G2409" s="24" t="str">
        <f>IFERROR(__xludf.DUMMYFUNCTION("""COMPUTED_VALUE"""),"Claire")</f>
        <v>Claire</v>
      </c>
      <c r="H2409" s="24">
        <f>IFERROR(__xludf.DUMMYFUNCTION("""COMPUTED_VALUE"""),664.0)</f>
        <v>664</v>
      </c>
      <c r="I2409" s="24" t="str">
        <f>IFERROR(__xludf.DUMMYFUNCTION("""COMPUTED_VALUE"""),"Assorted Dry")</f>
        <v>Assorted Dry</v>
      </c>
    </row>
    <row r="2410">
      <c r="A2410" s="23">
        <f>IFERROR(__xludf.DUMMYFUNCTION("""COMPUTED_VALUE"""),44737.7231205787)</f>
        <v>44737.72312</v>
      </c>
      <c r="B2410" s="24" t="str">
        <f>IFERROR(__xludf.DUMMYFUNCTION("""COMPUTED_VALUE"""),"Expired")</f>
        <v>Expired</v>
      </c>
      <c r="C2410" s="24">
        <f>IFERROR(__xludf.DUMMYFUNCTION("""COMPUTED_VALUE"""),3.0)</f>
        <v>3</v>
      </c>
      <c r="D2410" s="24"/>
      <c r="F2410" s="23">
        <f>IFERROR(__xludf.DUMMYFUNCTION("""COMPUTED_VALUE"""),44829.0)</f>
        <v>44829</v>
      </c>
      <c r="G2410" s="24" t="str">
        <f>IFERROR(__xludf.DUMMYFUNCTION("""COMPUTED_VALUE"""),"Claire")</f>
        <v>Claire</v>
      </c>
      <c r="H2410" s="24">
        <f>IFERROR(__xludf.DUMMYFUNCTION("""COMPUTED_VALUE"""),65.0)</f>
        <v>65</v>
      </c>
      <c r="I2410" s="24" t="str">
        <f>IFERROR(__xludf.DUMMYFUNCTION("""COMPUTED_VALUE"""),"STEAM toys")</f>
        <v>STEAM toys</v>
      </c>
    </row>
    <row r="2411">
      <c r="A2411" s="23">
        <f>IFERROR(__xludf.DUMMYFUNCTION("""COMPUTED_VALUE"""),44737.72728090278)</f>
        <v>44737.72728</v>
      </c>
      <c r="B2411" s="24" t="str">
        <f>IFERROR(__xludf.DUMMYFUNCTION("""COMPUTED_VALUE"""),"Vincent Faulk")</f>
        <v>Vincent Faulk</v>
      </c>
      <c r="C2411" s="24">
        <f>IFERROR(__xludf.DUMMYFUNCTION("""COMPUTED_VALUE"""),36.0)</f>
        <v>36</v>
      </c>
      <c r="D2411" s="24"/>
      <c r="F2411" s="23">
        <f>IFERROR(__xludf.DUMMYFUNCTION("""COMPUTED_VALUE"""),44829.0)</f>
        <v>44829</v>
      </c>
      <c r="G2411" s="24" t="str">
        <f>IFERROR(__xludf.DUMMYFUNCTION("""COMPUTED_VALUE"""),"Claire")</f>
        <v>Claire</v>
      </c>
      <c r="H2411" s="24">
        <f>IFERROR(__xludf.DUMMYFUNCTION("""COMPUTED_VALUE"""),63.0)</f>
        <v>63</v>
      </c>
      <c r="I2411" s="24" t="str">
        <f>IFERROR(__xludf.DUMMYFUNCTION("""COMPUTED_VALUE"""),"Assorted Dry")</f>
        <v>Assorted Dry</v>
      </c>
    </row>
    <row r="2412">
      <c r="A2412" s="23">
        <f>IFERROR(__xludf.DUMMYFUNCTION("""COMPUTED_VALUE"""),44737.72871527778)</f>
        <v>44737.72872</v>
      </c>
      <c r="B2412" s="24" t="str">
        <f>IFERROR(__xludf.DUMMYFUNCTION("""COMPUTED_VALUE"""),"Dean Chien")</f>
        <v>Dean Chien</v>
      </c>
      <c r="C2412" s="24">
        <f>IFERROR(__xludf.DUMMYFUNCTION("""COMPUTED_VALUE"""),20.0)</f>
        <v>20</v>
      </c>
      <c r="D2412" s="24"/>
      <c r="F2412" s="23">
        <f>IFERROR(__xludf.DUMMYFUNCTION("""COMPUTED_VALUE"""),44829.0)</f>
        <v>44829</v>
      </c>
      <c r="G2412" s="24" t="str">
        <f>IFERROR(__xludf.DUMMYFUNCTION("""COMPUTED_VALUE"""),"Claire")</f>
        <v>Claire</v>
      </c>
      <c r="H2412" s="24">
        <f>IFERROR(__xludf.DUMMYFUNCTION("""COMPUTED_VALUE"""),168.0)</f>
        <v>168</v>
      </c>
      <c r="I2412" s="24" t="str">
        <f>IFERROR(__xludf.DUMMYFUNCTION("""COMPUTED_VALUE"""),"Assorted Fridge")</f>
        <v>Assorted Fridge</v>
      </c>
    </row>
    <row r="2413">
      <c r="A2413" s="23">
        <f>IFERROR(__xludf.DUMMYFUNCTION("""COMPUTED_VALUE"""),44737.74045607639)</f>
        <v>44737.74046</v>
      </c>
      <c r="B2413" s="24" t="str">
        <f>IFERROR(__xludf.DUMMYFUNCTION("""COMPUTED_VALUE"""),"Juanita Chandler 5 teg")</f>
        <v>Juanita Chandler 5 teg</v>
      </c>
      <c r="C2413" s="24">
        <f>IFERROR(__xludf.DUMMYFUNCTION("""COMPUTED_VALUE"""),5.0)</f>
        <v>5</v>
      </c>
      <c r="D2413" s="24"/>
      <c r="F2413" s="23">
        <f>IFERROR(__xludf.DUMMYFUNCTION("""COMPUTED_VALUE"""),44829.0)</f>
        <v>44829</v>
      </c>
      <c r="G2413" s="24" t="str">
        <f>IFERROR(__xludf.DUMMYFUNCTION("""COMPUTED_VALUE"""),"Marci")</f>
        <v>Marci</v>
      </c>
      <c r="H2413" s="24">
        <f>IFERROR(__xludf.DUMMYFUNCTION("""COMPUTED_VALUE"""),14.0)</f>
        <v>14</v>
      </c>
      <c r="I2413" s="24"/>
    </row>
    <row r="2414">
      <c r="A2414" s="23">
        <f>IFERROR(__xludf.DUMMYFUNCTION("""COMPUTED_VALUE"""),44738.67466538195)</f>
        <v>44738.67467</v>
      </c>
      <c r="B2414" s="24" t="str">
        <f>IFERROR(__xludf.DUMMYFUNCTION("""COMPUTED_VALUE"""),"Carla")</f>
        <v>Carla</v>
      </c>
      <c r="C2414" s="24">
        <f>IFERROR(__xludf.DUMMYFUNCTION("""COMPUTED_VALUE"""),20.0)</f>
        <v>20</v>
      </c>
      <c r="D2414" s="24"/>
      <c r="F2414" s="23">
        <f>IFERROR(__xludf.DUMMYFUNCTION("""COMPUTED_VALUE"""),44829.0)</f>
        <v>44829</v>
      </c>
      <c r="G2414" s="24" t="str">
        <f>IFERROR(__xludf.DUMMYFUNCTION("""COMPUTED_VALUE"""),"Marci")</f>
        <v>Marci</v>
      </c>
      <c r="H2414" s="24">
        <f>IFERROR(__xludf.DUMMYFUNCTION("""COMPUTED_VALUE"""),32.0)</f>
        <v>32</v>
      </c>
      <c r="I2414" s="24"/>
    </row>
    <row r="2415">
      <c r="A2415" s="23">
        <f>IFERROR(__xludf.DUMMYFUNCTION("""COMPUTED_VALUE"""),44738.691663599544)</f>
        <v>44738.69166</v>
      </c>
      <c r="B2415" s="24" t="str">
        <f>IFERROR(__xludf.DUMMYFUNCTION("""COMPUTED_VALUE"""),"Kaneesha")</f>
        <v>Kaneesha</v>
      </c>
      <c r="C2415" s="24">
        <f>IFERROR(__xludf.DUMMYFUNCTION("""COMPUTED_VALUE"""),20.0)</f>
        <v>20</v>
      </c>
      <c r="D2415" s="24"/>
      <c r="F2415" s="23">
        <f>IFERROR(__xludf.DUMMYFUNCTION("""COMPUTED_VALUE"""),44829.0)</f>
        <v>44829</v>
      </c>
      <c r="G2415" s="24" t="str">
        <f>IFERROR(__xludf.DUMMYFUNCTION("""COMPUTED_VALUE"""),"Yulia")</f>
        <v>Yulia</v>
      </c>
      <c r="H2415" s="24">
        <f>IFERROR(__xludf.DUMMYFUNCTION("""COMPUTED_VALUE"""),20.0)</f>
        <v>20</v>
      </c>
      <c r="I2415" s="24"/>
    </row>
    <row r="2416">
      <c r="A2416" s="23">
        <f>IFERROR(__xludf.DUMMYFUNCTION("""COMPUTED_VALUE"""),44738.691963425925)</f>
        <v>44738.69196</v>
      </c>
      <c r="B2416" s="24" t="str">
        <f>IFERROR(__xludf.DUMMYFUNCTION("""COMPUTED_VALUE"""),"Kaneesha (expired)")</f>
        <v>Kaneesha (expired)</v>
      </c>
      <c r="C2416" s="24">
        <f>IFERROR(__xludf.DUMMYFUNCTION("""COMPUTED_VALUE"""),43.0)</f>
        <v>43</v>
      </c>
      <c r="D2416" s="24"/>
      <c r="F2416" s="23">
        <f>IFERROR(__xludf.DUMMYFUNCTION("""COMPUTED_VALUE"""),44829.0)</f>
        <v>44829</v>
      </c>
      <c r="G2416" s="24" t="str">
        <f>IFERROR(__xludf.DUMMYFUNCTION("""COMPUTED_VALUE"""),"Yulia")</f>
        <v>Yulia</v>
      </c>
      <c r="H2416" s="24">
        <f>IFERROR(__xludf.DUMMYFUNCTION("""COMPUTED_VALUE"""),36.0)</f>
        <v>36</v>
      </c>
      <c r="I2416" s="24"/>
    </row>
    <row r="2417">
      <c r="A2417" s="23">
        <f>IFERROR(__xludf.DUMMYFUNCTION("""COMPUTED_VALUE"""),44738.700053900466)</f>
        <v>44738.70005</v>
      </c>
      <c r="B2417" s="24" t="str">
        <f>IFERROR(__xludf.DUMMYFUNCTION("""COMPUTED_VALUE"""),"Dorja ")</f>
        <v>Dorja </v>
      </c>
      <c r="C2417" s="24">
        <f>IFERROR(__xludf.DUMMYFUNCTION("""COMPUTED_VALUE"""),27.0)</f>
        <v>27</v>
      </c>
      <c r="D2417" s="24"/>
      <c r="F2417" s="23">
        <f>IFERROR(__xludf.DUMMYFUNCTION("""COMPUTED_VALUE"""),44829.0)</f>
        <v>44829</v>
      </c>
      <c r="G2417" s="24" t="str">
        <f>IFERROR(__xludf.DUMMYFUNCTION("""COMPUTED_VALUE"""),"Ladaisha Thompson")</f>
        <v>Ladaisha Thompson</v>
      </c>
      <c r="H2417" s="24">
        <f>IFERROR(__xludf.DUMMYFUNCTION("""COMPUTED_VALUE"""),18.0)</f>
        <v>18</v>
      </c>
      <c r="I2417" s="24"/>
    </row>
    <row r="2418">
      <c r="A2418" s="23">
        <f>IFERROR(__xludf.DUMMYFUNCTION("""COMPUTED_VALUE"""),44738.700262488426)</f>
        <v>44738.70026</v>
      </c>
      <c r="B2418" s="24" t="str">
        <f>IFERROR(__xludf.DUMMYFUNCTION("""COMPUTED_VALUE"""),"Dorja ")</f>
        <v>Dorja </v>
      </c>
      <c r="C2418" s="24">
        <f>IFERROR(__xludf.DUMMYFUNCTION("""COMPUTED_VALUE"""),48.0)</f>
        <v>48</v>
      </c>
      <c r="D2418" s="24"/>
      <c r="F2418" s="23">
        <f>IFERROR(__xludf.DUMMYFUNCTION("""COMPUTED_VALUE"""),44829.51604643518)</f>
        <v>44829.51605</v>
      </c>
      <c r="G2418" s="24" t="str">
        <f>IFERROR(__xludf.DUMMYFUNCTION("""COMPUTED_VALUE"""),"Dorja ")</f>
        <v>Dorja </v>
      </c>
      <c r="H2418" s="24">
        <f>IFERROR(__xludf.DUMMYFUNCTION("""COMPUTED_VALUE"""),499.0)</f>
        <v>499</v>
      </c>
      <c r="I2418" s="24" t="str">
        <f>IFERROR(__xludf.DUMMYFUNCTION("""COMPUTED_VALUE"""),"Mixed")</f>
        <v>Mixed</v>
      </c>
    </row>
    <row r="2419">
      <c r="A2419" s="23">
        <f>IFERROR(__xludf.DUMMYFUNCTION("""COMPUTED_VALUE"""),44738.72645018519)</f>
        <v>44738.72645</v>
      </c>
      <c r="B2419" s="24" t="str">
        <f>IFERROR(__xludf.DUMMYFUNCTION("""COMPUTED_VALUE"""),"Zoe")</f>
        <v>Zoe</v>
      </c>
      <c r="C2419" s="24">
        <f>IFERROR(__xludf.DUMMYFUNCTION("""COMPUTED_VALUE"""),15.0)</f>
        <v>15</v>
      </c>
      <c r="D2419" s="24"/>
      <c r="F2419" s="23">
        <f>IFERROR(__xludf.DUMMYFUNCTION("""COMPUTED_VALUE"""),44829.51651971065)</f>
        <v>44829.51652</v>
      </c>
      <c r="G2419" s="24" t="str">
        <f>IFERROR(__xludf.DUMMYFUNCTION("""COMPUTED_VALUE"""),"Dorja")</f>
        <v>Dorja</v>
      </c>
      <c r="H2419" s="24">
        <f>IFERROR(__xludf.DUMMYFUNCTION("""COMPUTED_VALUE"""),828.0)</f>
        <v>828</v>
      </c>
      <c r="I2419" s="24" t="str">
        <f>IFERROR(__xludf.DUMMYFUNCTION("""COMPUTED_VALUE"""),"Produce")</f>
        <v>Produce</v>
      </c>
    </row>
    <row r="2420">
      <c r="A2420" s="23">
        <f>IFERROR(__xludf.DUMMYFUNCTION("""COMPUTED_VALUE"""),44740.71536553241)</f>
        <v>44740.71537</v>
      </c>
      <c r="B2420" s="24" t="str">
        <f>IFERROR(__xludf.DUMMYFUNCTION("""COMPUTED_VALUE"""),"Kaneesha ")</f>
        <v>Kaneesha </v>
      </c>
      <c r="C2420" s="24">
        <f>IFERROR(__xludf.DUMMYFUNCTION("""COMPUTED_VALUE"""),20.0)</f>
        <v>20</v>
      </c>
      <c r="D2420" s="24"/>
      <c r="F2420" s="23">
        <f>IFERROR(__xludf.DUMMYFUNCTION("""COMPUTED_VALUE"""),44829.51717944445)</f>
        <v>44829.51718</v>
      </c>
      <c r="G2420" s="24" t="str">
        <f>IFERROR(__xludf.DUMMYFUNCTION("""COMPUTED_VALUE"""),"Dorja")</f>
        <v>Dorja</v>
      </c>
      <c r="H2420" s="24">
        <f>IFERROR(__xludf.DUMMYFUNCTION("""COMPUTED_VALUE"""),147.0)</f>
        <v>147</v>
      </c>
      <c r="I2420" s="24" t="str">
        <f>IFERROR(__xludf.DUMMYFUNCTION("""COMPUTED_VALUE"""),"Toys")</f>
        <v>Toys</v>
      </c>
    </row>
    <row r="2421">
      <c r="A2421" s="23">
        <f>IFERROR(__xludf.DUMMYFUNCTION("""COMPUTED_VALUE"""),44740.715958252316)</f>
        <v>44740.71596</v>
      </c>
      <c r="B2421" s="24" t="str">
        <f>IFERROR(__xludf.DUMMYFUNCTION("""COMPUTED_VALUE"""),"Kaneesha (expired)")</f>
        <v>Kaneesha (expired)</v>
      </c>
      <c r="C2421" s="24">
        <f>IFERROR(__xludf.DUMMYFUNCTION("""COMPUTED_VALUE"""),32.0)</f>
        <v>32</v>
      </c>
      <c r="D2421" s="24"/>
      <c r="F2421" s="23">
        <f>IFERROR(__xludf.DUMMYFUNCTION("""COMPUTED_VALUE"""),44829.51769143518)</f>
        <v>44829.51769</v>
      </c>
      <c r="G2421" s="24" t="str">
        <f>IFERROR(__xludf.DUMMYFUNCTION("""COMPUTED_VALUE"""),"Dorja")</f>
        <v>Dorja</v>
      </c>
      <c r="H2421" s="24">
        <f>IFERROR(__xludf.DUMMYFUNCTION("""COMPUTED_VALUE"""),358.0)</f>
        <v>358</v>
      </c>
      <c r="I2421" s="24" t="str">
        <f>IFERROR(__xludf.DUMMYFUNCTION("""COMPUTED_VALUE"""),"Produce")</f>
        <v>Produce</v>
      </c>
    </row>
    <row r="2422">
      <c r="A2422" s="23">
        <f>IFERROR(__xludf.DUMMYFUNCTION("""COMPUTED_VALUE"""),44740.7169684838)</f>
        <v>44740.71697</v>
      </c>
      <c r="B2422" s="24" t="str">
        <f>IFERROR(__xludf.DUMMYFUNCTION("""COMPUTED_VALUE"""),"Jan Kleinman ")</f>
        <v>Jan Kleinman </v>
      </c>
      <c r="C2422" s="24">
        <f>IFERROR(__xludf.DUMMYFUNCTION("""COMPUTED_VALUE"""),27.0)</f>
        <v>27</v>
      </c>
      <c r="D2422" s="24"/>
      <c r="F2422" s="23">
        <f>IFERROR(__xludf.DUMMYFUNCTION("""COMPUTED_VALUE"""),44829.530232280085)</f>
        <v>44829.53023</v>
      </c>
      <c r="G2422" s="24" t="str">
        <f>IFERROR(__xludf.DUMMYFUNCTION("""COMPUTED_VALUE"""),"Dorja")</f>
        <v>Dorja</v>
      </c>
      <c r="H2422" s="24">
        <f>IFERROR(__xludf.DUMMYFUNCTION("""COMPUTED_VALUE"""),445.0)</f>
        <v>445</v>
      </c>
      <c r="I2422" s="24" t="str">
        <f>IFERROR(__xludf.DUMMYFUNCTION("""COMPUTED_VALUE"""),"Amazon")</f>
        <v>Amazon</v>
      </c>
    </row>
    <row r="2423">
      <c r="A2423" s="23">
        <f>IFERROR(__xludf.DUMMYFUNCTION("""COMPUTED_VALUE"""),44740.722397418984)</f>
        <v>44740.7224</v>
      </c>
      <c r="B2423" s="24" t="str">
        <f>IFERROR(__xludf.DUMMYFUNCTION("""COMPUTED_VALUE"""),"Beverly E. Pinn")</f>
        <v>Beverly E. Pinn</v>
      </c>
      <c r="C2423" s="24">
        <f>IFERROR(__xludf.DUMMYFUNCTION("""COMPUTED_VALUE"""),10.0)</f>
        <v>10</v>
      </c>
      <c r="D2423" s="24"/>
      <c r="F2423" s="23">
        <f>IFERROR(__xludf.DUMMYFUNCTION("""COMPUTED_VALUE"""),44829.53212177083)</f>
        <v>44829.53212</v>
      </c>
      <c r="G2423" s="24" t="str">
        <f>IFERROR(__xludf.DUMMYFUNCTION("""COMPUTED_VALUE"""),"Dorja ")</f>
        <v>Dorja </v>
      </c>
      <c r="H2423" s="24">
        <f>IFERROR(__xludf.DUMMYFUNCTION("""COMPUTED_VALUE"""),68.0)</f>
        <v>68</v>
      </c>
      <c r="I2423" s="24" t="str">
        <f>IFERROR(__xludf.DUMMYFUNCTION("""COMPUTED_VALUE"""),"Snacks")</f>
        <v>Snacks</v>
      </c>
    </row>
    <row r="2424">
      <c r="A2424" s="23">
        <f>IFERROR(__xludf.DUMMYFUNCTION("""COMPUTED_VALUE"""),44740.72284811342)</f>
        <v>44740.72285</v>
      </c>
      <c r="B2424" s="24" t="str">
        <f>IFERROR(__xludf.DUMMYFUNCTION("""COMPUTED_VALUE"""),"Beverly E. Pinn")</f>
        <v>Beverly E. Pinn</v>
      </c>
      <c r="C2424" s="24">
        <f>IFERROR(__xludf.DUMMYFUNCTION("""COMPUTED_VALUE"""),19.0)</f>
        <v>19</v>
      </c>
      <c r="D2424" s="24"/>
      <c r="F2424" s="23">
        <f>IFERROR(__xludf.DUMMYFUNCTION("""COMPUTED_VALUE"""),44829.534916585646)</f>
        <v>44829.53492</v>
      </c>
      <c r="G2424" s="24" t="str">
        <f>IFERROR(__xludf.DUMMYFUNCTION("""COMPUTED_VALUE"""),"Dorja ")</f>
        <v>Dorja </v>
      </c>
      <c r="H2424" s="24">
        <f>IFERROR(__xludf.DUMMYFUNCTION("""COMPUTED_VALUE"""),654.0)</f>
        <v>654</v>
      </c>
      <c r="I2424" s="24" t="str">
        <f>IFERROR(__xludf.DUMMYFUNCTION("""COMPUTED_VALUE"""),"Amazon")</f>
        <v>Amazon</v>
      </c>
    </row>
    <row r="2425">
      <c r="A2425" s="23">
        <f>IFERROR(__xludf.DUMMYFUNCTION("""COMPUTED_VALUE"""),44740.73806884259)</f>
        <v>44740.73807</v>
      </c>
      <c r="B2425" s="24" t="str">
        <f>IFERROR(__xludf.DUMMYFUNCTION("""COMPUTED_VALUE"""),"Dorja ")</f>
        <v>Dorja </v>
      </c>
      <c r="C2425" s="24">
        <f>IFERROR(__xludf.DUMMYFUNCTION("""COMPUTED_VALUE"""),26.0)</f>
        <v>26</v>
      </c>
      <c r="D2425" s="24"/>
      <c r="F2425" s="23">
        <f>IFERROR(__xludf.DUMMYFUNCTION("""COMPUTED_VALUE"""),44829.54023373843)</f>
        <v>44829.54023</v>
      </c>
      <c r="G2425" s="24" t="str">
        <f>IFERROR(__xludf.DUMMYFUNCTION("""COMPUTED_VALUE"""),"Dorja ")</f>
        <v>Dorja </v>
      </c>
      <c r="H2425" s="24">
        <f>IFERROR(__xludf.DUMMYFUNCTION("""COMPUTED_VALUE"""),260.0)</f>
        <v>260</v>
      </c>
      <c r="I2425" s="24" t="str">
        <f>IFERROR(__xludf.DUMMYFUNCTION("""COMPUTED_VALUE"""),"Assorted Fridge")</f>
        <v>Assorted Fridge</v>
      </c>
    </row>
    <row r="2426">
      <c r="A2426" s="23">
        <f>IFERROR(__xludf.DUMMYFUNCTION("""COMPUTED_VALUE"""),44740.73823643519)</f>
        <v>44740.73824</v>
      </c>
      <c r="B2426" s="24" t="str">
        <f>IFERROR(__xludf.DUMMYFUNCTION("""COMPUTED_VALUE"""),"Dorja ")</f>
        <v>Dorja </v>
      </c>
      <c r="C2426" s="24">
        <f>IFERROR(__xludf.DUMMYFUNCTION("""COMPUTED_VALUE"""),32.0)</f>
        <v>32</v>
      </c>
      <c r="D2426" s="24"/>
      <c r="F2426" s="23">
        <f>IFERROR(__xludf.DUMMYFUNCTION("""COMPUTED_VALUE"""),44829.5430775463)</f>
        <v>44829.54308</v>
      </c>
      <c r="G2426" s="24" t="str">
        <f>IFERROR(__xludf.DUMMYFUNCTION("""COMPUTED_VALUE"""),"Dorja")</f>
        <v>Dorja</v>
      </c>
      <c r="H2426" s="24">
        <f>IFERROR(__xludf.DUMMYFUNCTION("""COMPUTED_VALUE"""),229.0)</f>
        <v>229</v>
      </c>
      <c r="I2426" s="24" t="str">
        <f>IFERROR(__xludf.DUMMYFUNCTION("""COMPUTED_VALUE"""),"Amazon")</f>
        <v>Amazon</v>
      </c>
    </row>
    <row r="2427">
      <c r="A2427" s="23">
        <f>IFERROR(__xludf.DUMMYFUNCTION("""COMPUTED_VALUE"""),44740.73956842593)</f>
        <v>44740.73957</v>
      </c>
      <c r="B2427" s="24" t="str">
        <f>IFERROR(__xludf.DUMMYFUNCTION("""COMPUTED_VALUE"""),"Dorja ")</f>
        <v>Dorja </v>
      </c>
      <c r="C2427" s="24">
        <f>IFERROR(__xludf.DUMMYFUNCTION("""COMPUTED_VALUE"""),14.0)</f>
        <v>14</v>
      </c>
      <c r="D2427" s="24"/>
      <c r="F2427" s="23">
        <f>IFERROR(__xludf.DUMMYFUNCTION("""COMPUTED_VALUE"""),44829.545586712964)</f>
        <v>44829.54559</v>
      </c>
      <c r="G2427" s="24" t="str">
        <f>IFERROR(__xludf.DUMMYFUNCTION("""COMPUTED_VALUE"""),"Dorja ")</f>
        <v>Dorja </v>
      </c>
      <c r="H2427" s="24">
        <f>IFERROR(__xludf.DUMMYFUNCTION("""COMPUTED_VALUE"""),447.0)</f>
        <v>447</v>
      </c>
      <c r="I2427" s="24" t="str">
        <f>IFERROR(__xludf.DUMMYFUNCTION("""COMPUTED_VALUE"""),"Amazon")</f>
        <v>Amazon</v>
      </c>
    </row>
    <row r="2428">
      <c r="A2428" s="23">
        <f>IFERROR(__xludf.DUMMYFUNCTION("""COMPUTED_VALUE"""),44740.75534002315)</f>
        <v>44740.75534</v>
      </c>
      <c r="B2428" s="24" t="str">
        <f>IFERROR(__xludf.DUMMYFUNCTION("""COMPUTED_VALUE"""),"Jean.     Extra")</f>
        <v>Jean.     Extra</v>
      </c>
      <c r="C2428" s="24">
        <f>IFERROR(__xludf.DUMMYFUNCTION("""COMPUTED_VALUE"""),16.0)</f>
        <v>16</v>
      </c>
      <c r="D2428" s="24"/>
      <c r="F2428" s="23">
        <f>IFERROR(__xludf.DUMMYFUNCTION("""COMPUTED_VALUE"""),44829.55204246528)</f>
        <v>44829.55204</v>
      </c>
      <c r="G2428" s="24" t="str">
        <f>IFERROR(__xludf.DUMMYFUNCTION("""COMPUTED_VALUE"""),"Dorja ")</f>
        <v>Dorja </v>
      </c>
      <c r="H2428" s="24">
        <f>IFERROR(__xludf.DUMMYFUNCTION("""COMPUTED_VALUE"""),562.0)</f>
        <v>562</v>
      </c>
      <c r="I2428" s="24" t="str">
        <f>IFERROR(__xludf.DUMMYFUNCTION("""COMPUTED_VALUE"""),"Amazon")</f>
        <v>Amazon</v>
      </c>
    </row>
    <row r="2429">
      <c r="A2429" s="23">
        <f>IFERROR(__xludf.DUMMYFUNCTION("""COMPUTED_VALUE"""),44740.75577203704)</f>
        <v>44740.75577</v>
      </c>
      <c r="B2429" s="24" t="str">
        <f>IFERROR(__xludf.DUMMYFUNCTION("""COMPUTED_VALUE"""),"Jean")</f>
        <v>Jean</v>
      </c>
      <c r="C2429" s="24">
        <f>IFERROR(__xludf.DUMMYFUNCTION("""COMPUTED_VALUE"""),34.0)</f>
        <v>34</v>
      </c>
      <c r="D2429" s="24"/>
      <c r="F2429" s="23">
        <f>IFERROR(__xludf.DUMMYFUNCTION("""COMPUTED_VALUE"""),44829.567876712965)</f>
        <v>44829.56788</v>
      </c>
      <c r="G2429" s="24" t="str">
        <f>IFERROR(__xludf.DUMMYFUNCTION("""COMPUTED_VALUE"""),"Dorja ")</f>
        <v>Dorja </v>
      </c>
      <c r="H2429" s="24">
        <f>IFERROR(__xludf.DUMMYFUNCTION("""COMPUTED_VALUE"""),137.0)</f>
        <v>137</v>
      </c>
      <c r="I2429" s="24" t="str">
        <f>IFERROR(__xludf.DUMMYFUNCTION("""COMPUTED_VALUE"""),"Homewood Friends")</f>
        <v>Homewood Friends</v>
      </c>
    </row>
    <row r="2430">
      <c r="A2430" s="23">
        <f>IFERROR(__xludf.DUMMYFUNCTION("""COMPUTED_VALUE"""),44741.594688599536)</f>
        <v>44741.59469</v>
      </c>
      <c r="B2430" s="24" t="str">
        <f>IFERROR(__xludf.DUMMYFUNCTION("""COMPUTED_VALUE"""),"Bud Stracker (sisson St dpw drinks)")</f>
        <v>Bud Stracker (sisson St dpw drinks)</v>
      </c>
      <c r="C2430" s="24">
        <f>IFERROR(__xludf.DUMMYFUNCTION("""COMPUTED_VALUE"""),9.0)</f>
        <v>9</v>
      </c>
      <c r="D2430" s="24"/>
      <c r="F2430" s="23">
        <f>IFERROR(__xludf.DUMMYFUNCTION("""COMPUTED_VALUE"""),44829.56816126157)</f>
        <v>44829.56816</v>
      </c>
      <c r="G2430" s="24" t="str">
        <f>IFERROR(__xludf.DUMMYFUNCTION("""COMPUTED_VALUE"""),"Dorja ")</f>
        <v>Dorja </v>
      </c>
      <c r="H2430" s="24">
        <f>IFERROR(__xludf.DUMMYFUNCTION("""COMPUTED_VALUE"""),88.0)</f>
        <v>88</v>
      </c>
      <c r="I2430" s="24" t="str">
        <f>IFERROR(__xludf.DUMMYFUNCTION("""COMPUTED_VALUE"""),"Homewood Friends")</f>
        <v>Homewood Friends</v>
      </c>
    </row>
    <row r="2431">
      <c r="A2431" s="23">
        <f>IFERROR(__xludf.DUMMYFUNCTION("""COMPUTED_VALUE"""),44741.59506807871)</f>
        <v>44741.59507</v>
      </c>
      <c r="B2431" s="24" t="str">
        <f>IFERROR(__xludf.DUMMYFUNCTION("""COMPUTED_VALUE"""),"Bud Stracker ")</f>
        <v>Bud Stracker </v>
      </c>
      <c r="C2431" s="24">
        <f>IFERROR(__xludf.DUMMYFUNCTION("""COMPUTED_VALUE"""),4.0)</f>
        <v>4</v>
      </c>
      <c r="D2431" s="24"/>
      <c r="F2431" s="23">
        <f>IFERROR(__xludf.DUMMYFUNCTION("""COMPUTED_VALUE"""),44829.56873259259)</f>
        <v>44829.56873</v>
      </c>
      <c r="G2431" s="24" t="str">
        <f>IFERROR(__xludf.DUMMYFUNCTION("""COMPUTED_VALUE"""),"Dorja ")</f>
        <v>Dorja </v>
      </c>
      <c r="H2431" s="24">
        <f>IFERROR(__xludf.DUMMYFUNCTION("""COMPUTED_VALUE"""),137.0)</f>
        <v>137</v>
      </c>
      <c r="I2431" s="24" t="str">
        <f>IFERROR(__xludf.DUMMYFUNCTION("""COMPUTED_VALUE"""),"Household")</f>
        <v>Household</v>
      </c>
    </row>
    <row r="2432">
      <c r="A2432" s="23">
        <f>IFERROR(__xludf.DUMMYFUNCTION("""COMPUTED_VALUE"""),44741.66729667824)</f>
        <v>44741.6673</v>
      </c>
      <c r="B2432" s="24" t="str">
        <f>IFERROR(__xludf.DUMMYFUNCTION("""COMPUTED_VALUE"""),"Michelle and Maritza")</f>
        <v>Michelle and Maritza</v>
      </c>
      <c r="C2432" s="24">
        <f>IFERROR(__xludf.DUMMYFUNCTION("""COMPUTED_VALUE"""),190.0)</f>
        <v>190</v>
      </c>
      <c r="D2432" s="24"/>
      <c r="F2432" s="23">
        <f>IFERROR(__xludf.DUMMYFUNCTION("""COMPUTED_VALUE"""),44829.58320706019)</f>
        <v>44829.58321</v>
      </c>
      <c r="G2432" s="24" t="str">
        <f>IFERROR(__xludf.DUMMYFUNCTION("""COMPUTED_VALUE"""),"Ladaisha Thompson")</f>
        <v>Ladaisha Thompson</v>
      </c>
      <c r="H2432" s="24">
        <f>IFERROR(__xludf.DUMMYFUNCTION("""COMPUTED_VALUE"""),14.0)</f>
        <v>14</v>
      </c>
      <c r="I2432" s="24" t="str">
        <f>IFERROR(__xludf.DUMMYFUNCTION("""COMPUTED_VALUE"""),"Medicine")</f>
        <v>Medicine</v>
      </c>
    </row>
    <row r="2433">
      <c r="A2433" s="23">
        <f>IFERROR(__xludf.DUMMYFUNCTION("""COMPUTED_VALUE"""),44741.712054398144)</f>
        <v>44741.71205</v>
      </c>
      <c r="B2433" s="24" t="str">
        <f>IFERROR(__xludf.DUMMYFUNCTION("""COMPUTED_VALUE"""),"Doris Parker Tuggle")</f>
        <v>Doris Parker Tuggle</v>
      </c>
      <c r="C2433" s="24">
        <f>IFERROR(__xludf.DUMMYFUNCTION("""COMPUTED_VALUE"""),20.0)</f>
        <v>20</v>
      </c>
      <c r="D2433" s="24"/>
      <c r="F2433" s="23">
        <f>IFERROR(__xludf.DUMMYFUNCTION("""COMPUTED_VALUE"""),44829.62116400463)</f>
        <v>44829.62116</v>
      </c>
      <c r="G2433" s="24" t="str">
        <f>IFERROR(__xludf.DUMMYFUNCTION("""COMPUTED_VALUE"""),"Jemila Sequeira ")</f>
        <v>Jemila Sequeira </v>
      </c>
      <c r="H2433" s="24">
        <f>IFERROR(__xludf.DUMMYFUNCTION("""COMPUTED_VALUE"""),23.0)</f>
        <v>23</v>
      </c>
      <c r="I2433" s="24"/>
    </row>
    <row r="2434">
      <c r="A2434" s="23">
        <f>IFERROR(__xludf.DUMMYFUNCTION("""COMPUTED_VALUE"""),44741.71256891204)</f>
        <v>44741.71257</v>
      </c>
      <c r="B2434" s="24" t="str">
        <f>IFERROR(__xludf.DUMMYFUNCTION("""COMPUTED_VALUE"""),"Doris Parker Tuggle")</f>
        <v>Doris Parker Tuggle</v>
      </c>
      <c r="C2434" s="24">
        <f>IFERROR(__xludf.DUMMYFUNCTION("""COMPUTED_VALUE"""),10.0)</f>
        <v>10</v>
      </c>
      <c r="D2434" s="24"/>
      <c r="F2434" s="23">
        <f>IFERROR(__xludf.DUMMYFUNCTION("""COMPUTED_VALUE"""),44829.662356168985)</f>
        <v>44829.66236</v>
      </c>
      <c r="G2434" s="24" t="str">
        <f>IFERROR(__xludf.DUMMYFUNCTION("""COMPUTED_VALUE"""),"Dorja")</f>
        <v>Dorja</v>
      </c>
      <c r="H2434" s="24">
        <f>IFERROR(__xludf.DUMMYFUNCTION("""COMPUTED_VALUE"""),29.0)</f>
        <v>29</v>
      </c>
      <c r="I2434" s="24"/>
    </row>
    <row r="2435">
      <c r="A2435" s="23">
        <f>IFERROR(__xludf.DUMMYFUNCTION("""COMPUTED_VALUE"""),44741.72745415509)</f>
        <v>44741.72745</v>
      </c>
      <c r="B2435" s="24" t="str">
        <f>IFERROR(__xludf.DUMMYFUNCTION("""COMPUTED_VALUE"""),"Karen")</f>
        <v>Karen</v>
      </c>
      <c r="C2435" s="24">
        <f>IFERROR(__xludf.DUMMYFUNCTION("""COMPUTED_VALUE"""),20.0)</f>
        <v>20</v>
      </c>
      <c r="D2435" s="24"/>
      <c r="F2435" s="23">
        <f>IFERROR(__xludf.DUMMYFUNCTION("""COMPUTED_VALUE"""),44829.663045972215)</f>
        <v>44829.66305</v>
      </c>
      <c r="G2435" s="24" t="str">
        <f>IFERROR(__xludf.DUMMYFUNCTION("""COMPUTED_VALUE"""),"Zoe")</f>
        <v>Zoe</v>
      </c>
      <c r="H2435" s="24">
        <f>IFERROR(__xludf.DUMMYFUNCTION("""COMPUTED_VALUE"""),20.0)</f>
        <v>20</v>
      </c>
      <c r="I2435" s="24"/>
    </row>
    <row r="2436">
      <c r="A2436" s="23">
        <f>IFERROR(__xludf.DUMMYFUNCTION("""COMPUTED_VALUE"""),44741.72767729167)</f>
        <v>44741.72768</v>
      </c>
      <c r="B2436" s="24" t="str">
        <f>IFERROR(__xludf.DUMMYFUNCTION("""COMPUTED_VALUE"""),"Karen expired")</f>
        <v>Karen expired</v>
      </c>
      <c r="C2436" s="24">
        <f>IFERROR(__xludf.DUMMYFUNCTION("""COMPUTED_VALUE"""),32.0)</f>
        <v>32</v>
      </c>
      <c r="D2436" s="24"/>
      <c r="F2436" s="23">
        <f>IFERROR(__xludf.DUMMYFUNCTION("""COMPUTED_VALUE"""),44829.6632419213)</f>
        <v>44829.66324</v>
      </c>
      <c r="G2436" s="24" t="str">
        <f>IFERROR(__xludf.DUMMYFUNCTION("""COMPUTED_VALUE"""),"Opey")</f>
        <v>Opey</v>
      </c>
      <c r="H2436" s="24">
        <f>IFERROR(__xludf.DUMMYFUNCTION("""COMPUTED_VALUE"""),17.0)</f>
        <v>17</v>
      </c>
      <c r="I2436" s="24"/>
    </row>
    <row r="2437">
      <c r="A2437" s="23">
        <f>IFERROR(__xludf.DUMMYFUNCTION("""COMPUTED_VALUE"""),44741.87717883102)</f>
        <v>44741.87718</v>
      </c>
      <c r="B2437" s="24" t="str">
        <f>IFERROR(__xludf.DUMMYFUNCTION("""COMPUTED_VALUE"""),"Maddie Pardes")</f>
        <v>Maddie Pardes</v>
      </c>
      <c r="C2437" s="24">
        <f>IFERROR(__xludf.DUMMYFUNCTION("""COMPUTED_VALUE"""),18.0)</f>
        <v>18</v>
      </c>
      <c r="D2437" s="24"/>
      <c r="F2437" s="23">
        <f>IFERROR(__xludf.DUMMYFUNCTION("""COMPUTED_VALUE"""),44829.66804267361)</f>
        <v>44829.66804</v>
      </c>
      <c r="G2437" s="24" t="str">
        <f>IFERROR(__xludf.DUMMYFUNCTION("""COMPUTED_VALUE"""),"Kaneesha ")</f>
        <v>Kaneesha </v>
      </c>
      <c r="H2437" s="24">
        <f>IFERROR(__xludf.DUMMYFUNCTION("""COMPUTED_VALUE"""),17.0)</f>
        <v>17</v>
      </c>
      <c r="I2437" s="24"/>
    </row>
    <row r="2438">
      <c r="A2438" s="23">
        <f>IFERROR(__xludf.DUMMYFUNCTION("""COMPUTED_VALUE"""),44741.88342430555)</f>
        <v>44741.88342</v>
      </c>
      <c r="B2438" s="24" t="str">
        <f>IFERROR(__xludf.DUMMYFUNCTION("""COMPUTED_VALUE"""),"Luke mayhew")</f>
        <v>Luke mayhew</v>
      </c>
      <c r="C2438" s="24">
        <f>IFERROR(__xludf.DUMMYFUNCTION("""COMPUTED_VALUE"""),20.0)</f>
        <v>20</v>
      </c>
      <c r="D2438" s="24"/>
      <c r="F2438" s="23">
        <f>IFERROR(__xludf.DUMMYFUNCTION("""COMPUTED_VALUE"""),44829.66831010417)</f>
        <v>44829.66831</v>
      </c>
      <c r="G2438" s="24" t="str">
        <f>IFERROR(__xludf.DUMMYFUNCTION("""COMPUTED_VALUE"""),"Kaneesha ")</f>
        <v>Kaneesha </v>
      </c>
      <c r="H2438" s="24">
        <f>IFERROR(__xludf.DUMMYFUNCTION("""COMPUTED_VALUE"""),23.0)</f>
        <v>23</v>
      </c>
      <c r="I2438" s="24"/>
    </row>
    <row r="2439">
      <c r="A2439" s="23">
        <f>IFERROR(__xludf.DUMMYFUNCTION("""COMPUTED_VALUE"""),44741.88436181713)</f>
        <v>44741.88436</v>
      </c>
      <c r="B2439" s="24" t="str">
        <f>IFERROR(__xludf.DUMMYFUNCTION("""COMPUTED_VALUE"""),"Expired")</f>
        <v>Expired</v>
      </c>
      <c r="C2439" s="24">
        <f>IFERROR(__xludf.DUMMYFUNCTION("""COMPUTED_VALUE"""),8.0)</f>
        <v>8</v>
      </c>
      <c r="D2439" s="24"/>
      <c r="F2439" s="23">
        <f>IFERROR(__xludf.DUMMYFUNCTION("""COMPUTED_VALUE"""),44831.0)</f>
        <v>44831</v>
      </c>
      <c r="G2439" s="24" t="str">
        <f>IFERROR(__xludf.DUMMYFUNCTION("""COMPUTED_VALUE"""),"Claire")</f>
        <v>Claire</v>
      </c>
      <c r="H2439" s="24">
        <f>IFERROR(__xludf.DUMMYFUNCTION("""COMPUTED_VALUE"""),112.0)</f>
        <v>112</v>
      </c>
      <c r="I2439" s="24" t="str">
        <f>IFERROR(__xludf.DUMMYFUNCTION("""COMPUTED_VALUE"""),"Assorted Dry")</f>
        <v>Assorted Dry</v>
      </c>
    </row>
    <row r="2440">
      <c r="A2440" s="23">
        <f>IFERROR(__xludf.DUMMYFUNCTION("""COMPUTED_VALUE"""),44741.88789268518)</f>
        <v>44741.88789</v>
      </c>
      <c r="B2440" s="24" t="str">
        <f>IFERROR(__xludf.DUMMYFUNCTION("""COMPUTED_VALUE"""),"Lynwood ")</f>
        <v>Lynwood </v>
      </c>
      <c r="C2440" s="24">
        <f>IFERROR(__xludf.DUMMYFUNCTION("""COMPUTED_VALUE"""),20.0)</f>
        <v>20</v>
      </c>
      <c r="D2440" s="24"/>
      <c r="F2440" s="23">
        <f>IFERROR(__xludf.DUMMYFUNCTION("""COMPUTED_VALUE"""),44831.0)</f>
        <v>44831</v>
      </c>
      <c r="G2440" s="24" t="str">
        <f>IFERROR(__xludf.DUMMYFUNCTION("""COMPUTED_VALUE"""),"Marci")</f>
        <v>Marci</v>
      </c>
      <c r="H2440" s="24">
        <f>IFERROR(__xludf.DUMMYFUNCTION("""COMPUTED_VALUE"""),16.0)</f>
        <v>16</v>
      </c>
      <c r="I2440" s="24"/>
    </row>
    <row r="2441">
      <c r="A2441" s="23">
        <f>IFERROR(__xludf.DUMMYFUNCTION("""COMPUTED_VALUE"""),44741.8901443287)</f>
        <v>44741.89014</v>
      </c>
      <c r="B2441" s="24" t="str">
        <f>IFERROR(__xludf.DUMMYFUNCTION("""COMPUTED_VALUE"""),"Amanda Wall")</f>
        <v>Amanda Wall</v>
      </c>
      <c r="C2441" s="24">
        <f>IFERROR(__xludf.DUMMYFUNCTION("""COMPUTED_VALUE"""),20.0)</f>
        <v>20</v>
      </c>
      <c r="D2441" s="24"/>
      <c r="F2441" s="23">
        <f>IFERROR(__xludf.DUMMYFUNCTION("""COMPUTED_VALUE"""),44831.0)</f>
        <v>44831</v>
      </c>
      <c r="G2441" s="24" t="str">
        <f>IFERROR(__xludf.DUMMYFUNCTION("""COMPUTED_VALUE"""),"Marci")</f>
        <v>Marci</v>
      </c>
      <c r="H2441" s="24">
        <f>IFERROR(__xludf.DUMMYFUNCTION("""COMPUTED_VALUE"""),23.0)</f>
        <v>23</v>
      </c>
      <c r="I2441" s="24"/>
    </row>
    <row r="2442">
      <c r="A2442" s="23">
        <f>IFERROR(__xludf.DUMMYFUNCTION("""COMPUTED_VALUE"""),44741.890315868055)</f>
        <v>44741.89032</v>
      </c>
      <c r="B2442" s="24" t="str">
        <f>IFERROR(__xludf.DUMMYFUNCTION("""COMPUTED_VALUE"""),"Free")</f>
        <v>Free</v>
      </c>
      <c r="C2442" s="24">
        <f>IFERROR(__xludf.DUMMYFUNCTION("""COMPUTED_VALUE"""),7.0)</f>
        <v>7</v>
      </c>
      <c r="D2442" s="24"/>
      <c r="F2442" s="23">
        <f>IFERROR(__xludf.DUMMYFUNCTION("""COMPUTED_VALUE"""),44831.69919613426)</f>
        <v>44831.6992</v>
      </c>
      <c r="G2442" s="24" t="str">
        <f>IFERROR(__xludf.DUMMYFUNCTION("""COMPUTED_VALUE"""),"Beverly Graham ")</f>
        <v>Beverly Graham </v>
      </c>
      <c r="H2442" s="24">
        <f>IFERROR(__xludf.DUMMYFUNCTION("""COMPUTED_VALUE"""),18.0)</f>
        <v>18</v>
      </c>
      <c r="I2442" s="24"/>
    </row>
    <row r="2443">
      <c r="A2443" s="23">
        <f>IFERROR(__xludf.DUMMYFUNCTION("""COMPUTED_VALUE"""),44742.707302696756)</f>
        <v>44742.7073</v>
      </c>
      <c r="B2443" s="24" t="str">
        <f>IFERROR(__xludf.DUMMYFUNCTION("""COMPUTED_VALUE"""),"Norma kriger")</f>
        <v>Norma kriger</v>
      </c>
      <c r="C2443" s="24">
        <f>IFERROR(__xludf.DUMMYFUNCTION("""COMPUTED_VALUE"""),11.0)</f>
        <v>11</v>
      </c>
      <c r="D2443" s="24"/>
      <c r="F2443" s="23">
        <f>IFERROR(__xludf.DUMMYFUNCTION("""COMPUTED_VALUE"""),44831.69920293982)</f>
        <v>44831.6992</v>
      </c>
      <c r="G2443" s="24" t="str">
        <f>IFERROR(__xludf.DUMMYFUNCTION("""COMPUTED_VALUE"""),"Beverly Pinn")</f>
        <v>Beverly Pinn</v>
      </c>
      <c r="H2443" s="24">
        <f>IFERROR(__xludf.DUMMYFUNCTION("""COMPUTED_VALUE"""),19.0)</f>
        <v>19</v>
      </c>
      <c r="I2443" s="24"/>
    </row>
    <row r="2444">
      <c r="A2444" s="23">
        <f>IFERROR(__xludf.DUMMYFUNCTION("""COMPUTED_VALUE"""),44742.71967123843)</f>
        <v>44742.71967</v>
      </c>
      <c r="B2444" s="24" t="str">
        <f>IFERROR(__xludf.DUMMYFUNCTION("""COMPUTED_VALUE"""),"Jean")</f>
        <v>Jean</v>
      </c>
      <c r="C2444" s="24">
        <f>IFERROR(__xludf.DUMMYFUNCTION("""COMPUTED_VALUE"""),35.0)</f>
        <v>35</v>
      </c>
      <c r="D2444" s="24"/>
      <c r="F2444" s="23">
        <f>IFERROR(__xludf.DUMMYFUNCTION("""COMPUTED_VALUE"""),44831.699549895835)</f>
        <v>44831.69955</v>
      </c>
      <c r="G2444" s="24" t="str">
        <f>IFERROR(__xludf.DUMMYFUNCTION("""COMPUTED_VALUE"""),"Beverly Pinn")</f>
        <v>Beverly Pinn</v>
      </c>
      <c r="H2444" s="24">
        <f>IFERROR(__xludf.DUMMYFUNCTION("""COMPUTED_VALUE"""),11.0)</f>
        <v>11</v>
      </c>
      <c r="I2444" s="24"/>
    </row>
    <row r="2445">
      <c r="A2445" s="23">
        <f>IFERROR(__xludf.DUMMYFUNCTION("""COMPUTED_VALUE"""),44742.71991452546)</f>
        <v>44742.71991</v>
      </c>
      <c r="B2445" s="24" t="str">
        <f>IFERROR(__xludf.DUMMYFUNCTION("""COMPUTED_VALUE"""),"Jean")</f>
        <v>Jean</v>
      </c>
      <c r="C2445" s="24">
        <f>IFERROR(__xludf.DUMMYFUNCTION("""COMPUTED_VALUE"""),12.0)</f>
        <v>12</v>
      </c>
      <c r="D2445" s="24"/>
      <c r="F2445" s="23">
        <f>IFERROR(__xludf.DUMMYFUNCTION("""COMPUTED_VALUE"""),44831.69986822917)</f>
        <v>44831.69987</v>
      </c>
      <c r="G2445" s="24" t="str">
        <f>IFERROR(__xludf.DUMMYFUNCTION("""COMPUTED_VALUE"""),"Beverly Graham ")</f>
        <v>Beverly Graham </v>
      </c>
      <c r="H2445" s="24">
        <f>IFERROR(__xludf.DUMMYFUNCTION("""COMPUTED_VALUE"""),8.0)</f>
        <v>8</v>
      </c>
      <c r="I2445" s="24"/>
    </row>
    <row r="2446">
      <c r="A2446" s="23">
        <f>IFERROR(__xludf.DUMMYFUNCTION("""COMPUTED_VALUE"""),44742.86957678241)</f>
        <v>44742.86958</v>
      </c>
      <c r="B2446" s="24" t="str">
        <f>IFERROR(__xludf.DUMMYFUNCTION("""COMPUTED_VALUE"""),"Kay Fenton")</f>
        <v>Kay Fenton</v>
      </c>
      <c r="C2446" s="24">
        <f>IFERROR(__xludf.DUMMYFUNCTION("""COMPUTED_VALUE"""),8.0)</f>
        <v>8</v>
      </c>
      <c r="D2446" s="24"/>
      <c r="F2446" s="23">
        <f>IFERROR(__xludf.DUMMYFUNCTION("""COMPUTED_VALUE"""),44831.699915173616)</f>
        <v>44831.69992</v>
      </c>
      <c r="G2446" s="24" t="str">
        <f>IFERROR(__xludf.DUMMYFUNCTION("""COMPUTED_VALUE"""),"Kaneesha ")</f>
        <v>Kaneesha </v>
      </c>
      <c r="H2446" s="24">
        <f>IFERROR(__xludf.DUMMYFUNCTION("""COMPUTED_VALUE"""),20.0)</f>
        <v>20</v>
      </c>
      <c r="I2446" s="24"/>
    </row>
    <row r="2447">
      <c r="A2447" s="23">
        <f>IFERROR(__xludf.DUMMYFUNCTION("""COMPUTED_VALUE"""),44742.875007766204)</f>
        <v>44742.87501</v>
      </c>
      <c r="B2447" s="24" t="str">
        <f>IFERROR(__xludf.DUMMYFUNCTION("""COMPUTED_VALUE"""),"Aziza ")</f>
        <v>Aziza </v>
      </c>
      <c r="C2447" s="24">
        <f>IFERROR(__xludf.DUMMYFUNCTION("""COMPUTED_VALUE"""),20.0)</f>
        <v>20</v>
      </c>
      <c r="D2447" s="24"/>
      <c r="F2447" s="23">
        <f>IFERROR(__xludf.DUMMYFUNCTION("""COMPUTED_VALUE"""),44831.70023422454)</f>
        <v>44831.70023</v>
      </c>
      <c r="G2447" s="24" t="str">
        <f>IFERROR(__xludf.DUMMYFUNCTION("""COMPUTED_VALUE"""),"Kaneesha")</f>
        <v>Kaneesha</v>
      </c>
      <c r="H2447" s="24">
        <f>IFERROR(__xludf.DUMMYFUNCTION("""COMPUTED_VALUE"""),15.0)</f>
        <v>15</v>
      </c>
      <c r="I2447" s="24"/>
    </row>
    <row r="2448">
      <c r="A2448" s="23">
        <f>IFERROR(__xludf.DUMMYFUNCTION("""COMPUTED_VALUE"""),44742.87736104167)</f>
        <v>44742.87736</v>
      </c>
      <c r="B2448" s="24" t="str">
        <f>IFERROR(__xludf.DUMMYFUNCTION("""COMPUTED_VALUE"""),"Aziza - pet kitty litter ")</f>
        <v>Aziza - pet kitty litter </v>
      </c>
      <c r="C2448" s="24">
        <f>IFERROR(__xludf.DUMMYFUNCTION("""COMPUTED_VALUE"""),17.0)</f>
        <v>17</v>
      </c>
      <c r="D2448" s="24"/>
      <c r="F2448" s="23">
        <f>IFERROR(__xludf.DUMMYFUNCTION("""COMPUTED_VALUE"""),44831.70479943287)</f>
        <v>44831.7048</v>
      </c>
      <c r="G2448" s="24" t="str">
        <f>IFERROR(__xludf.DUMMYFUNCTION("""COMPUTED_VALUE"""),"Annie Hopson")</f>
        <v>Annie Hopson</v>
      </c>
      <c r="H2448" s="24">
        <f>IFERROR(__xludf.DUMMYFUNCTION("""COMPUTED_VALUE"""),20.0)</f>
        <v>20</v>
      </c>
      <c r="I2448" s="24"/>
    </row>
    <row r="2449">
      <c r="A2449" s="23">
        <f>IFERROR(__xludf.DUMMYFUNCTION("""COMPUTED_VALUE"""),44742.87772212963)</f>
        <v>44742.87772</v>
      </c>
      <c r="B2449" s="24" t="str">
        <f>IFERROR(__xludf.DUMMYFUNCTION("""COMPUTED_VALUE"""),"Nathaniel ")</f>
        <v>Nathaniel </v>
      </c>
      <c r="C2449" s="24">
        <f>IFERROR(__xludf.DUMMYFUNCTION("""COMPUTED_VALUE"""),20.0)</f>
        <v>20</v>
      </c>
      <c r="D2449" s="24"/>
      <c r="F2449" s="23">
        <f>IFERROR(__xludf.DUMMYFUNCTION("""COMPUTED_VALUE"""),44831.70510561343)</f>
        <v>44831.70511</v>
      </c>
      <c r="G2449" s="24" t="str">
        <f>IFERROR(__xludf.DUMMYFUNCTION("""COMPUTED_VALUE"""),"Annie Hopson")</f>
        <v>Annie Hopson</v>
      </c>
      <c r="H2449" s="24">
        <f>IFERROR(__xludf.DUMMYFUNCTION("""COMPUTED_VALUE"""),23.0)</f>
        <v>23</v>
      </c>
      <c r="I2449" s="24"/>
    </row>
    <row r="2450">
      <c r="A2450" s="23">
        <f>IFERROR(__xludf.DUMMYFUNCTION("""COMPUTED_VALUE"""),44742.888072800924)</f>
        <v>44742.88807</v>
      </c>
      <c r="B2450" s="24" t="str">
        <f>IFERROR(__xludf.DUMMYFUNCTION("""COMPUTED_VALUE"""),"Sheneil ")</f>
        <v>Sheneil </v>
      </c>
      <c r="C2450" s="24">
        <f>IFERROR(__xludf.DUMMYFUNCTION("""COMPUTED_VALUE"""),20.0)</f>
        <v>20</v>
      </c>
      <c r="D2450" s="24"/>
      <c r="F2450" s="23">
        <f>IFERROR(__xludf.DUMMYFUNCTION("""COMPUTED_VALUE"""),44831.70728334491)</f>
        <v>44831.70728</v>
      </c>
      <c r="G2450" s="24" t="str">
        <f>IFERROR(__xludf.DUMMYFUNCTION("""COMPUTED_VALUE"""),"Jean")</f>
        <v>Jean</v>
      </c>
      <c r="H2450" s="24">
        <f>IFERROR(__xludf.DUMMYFUNCTION("""COMPUTED_VALUE"""),10.0)</f>
        <v>10</v>
      </c>
      <c r="I2450" s="24"/>
    </row>
    <row r="2451">
      <c r="A2451" s="23">
        <f>IFERROR(__xludf.DUMMYFUNCTION("""COMPUTED_VALUE"""),44743.72751436343)</f>
        <v>44743.72751</v>
      </c>
      <c r="B2451" s="24" t="str">
        <f>IFERROR(__xludf.DUMMYFUNCTION("""COMPUTED_VALUE"""),"Dorja ")</f>
        <v>Dorja </v>
      </c>
      <c r="C2451" s="24">
        <f>IFERROR(__xludf.DUMMYFUNCTION("""COMPUTED_VALUE"""),13.0)</f>
        <v>13</v>
      </c>
      <c r="D2451" s="24"/>
      <c r="F2451" s="23">
        <f>IFERROR(__xludf.DUMMYFUNCTION("""COMPUTED_VALUE"""),44831.70755730324)</f>
        <v>44831.70756</v>
      </c>
      <c r="G2451" s="24" t="str">
        <f>IFERROR(__xludf.DUMMYFUNCTION("""COMPUTED_VALUE"""),"Jean")</f>
        <v>Jean</v>
      </c>
      <c r="H2451" s="24">
        <f>IFERROR(__xludf.DUMMYFUNCTION("""COMPUTED_VALUE"""),26.0)</f>
        <v>26</v>
      </c>
      <c r="I2451" s="24"/>
    </row>
    <row r="2452">
      <c r="A2452" s="23">
        <f>IFERROR(__xludf.DUMMYFUNCTION("""COMPUTED_VALUE"""),44743.730831469904)</f>
        <v>44743.73083</v>
      </c>
      <c r="B2452" s="24" t="str">
        <f>IFERROR(__xludf.DUMMYFUNCTION("""COMPUTED_VALUE"""),"Dorja ")</f>
        <v>Dorja </v>
      </c>
      <c r="C2452" s="24">
        <f>IFERROR(__xludf.DUMMYFUNCTION("""COMPUTED_VALUE"""),25.0)</f>
        <v>25</v>
      </c>
      <c r="D2452" s="24"/>
      <c r="F2452" s="23">
        <f>IFERROR(__xludf.DUMMYFUNCTION("""COMPUTED_VALUE"""),44831.708755914355)</f>
        <v>44831.70876</v>
      </c>
      <c r="G2452" s="24" t="str">
        <f>IFERROR(__xludf.DUMMYFUNCTION("""COMPUTED_VALUE"""),"Jean")</f>
        <v>Jean</v>
      </c>
      <c r="H2452" s="24">
        <f>IFERROR(__xludf.DUMMYFUNCTION("""COMPUTED_VALUE"""),3.0)</f>
        <v>3</v>
      </c>
      <c r="I2452" s="24" t="str">
        <f>IFERROR(__xludf.DUMMYFUNCTION("""COMPUTED_VALUE"""),"Toys")</f>
        <v>Toys</v>
      </c>
    </row>
    <row r="2453">
      <c r="A2453" s="23">
        <f>IFERROR(__xludf.DUMMYFUNCTION("""COMPUTED_VALUE"""),44743.73233266204)</f>
        <v>44743.73233</v>
      </c>
      <c r="B2453" s="24" t="str">
        <f>IFERROR(__xludf.DUMMYFUNCTION("""COMPUTED_VALUE"""),"Juanita Chandler ")</f>
        <v>Juanita Chandler </v>
      </c>
      <c r="C2453" s="24">
        <f>IFERROR(__xludf.DUMMYFUNCTION("""COMPUTED_VALUE"""),26.0)</f>
        <v>26</v>
      </c>
      <c r="D2453" s="24"/>
      <c r="F2453" s="23">
        <f>IFERROR(__xludf.DUMMYFUNCTION("""COMPUTED_VALUE"""),44832.0)</f>
        <v>44832</v>
      </c>
      <c r="G2453" s="24" t="str">
        <f>IFERROR(__xludf.DUMMYFUNCTION("""COMPUTED_VALUE"""),"Juanita Chandler")</f>
        <v>Juanita Chandler</v>
      </c>
      <c r="H2453" s="24">
        <f>IFERROR(__xludf.DUMMYFUNCTION("""COMPUTED_VALUE"""),22.0)</f>
        <v>22</v>
      </c>
      <c r="I2453" s="24"/>
    </row>
    <row r="2454">
      <c r="A2454" s="23">
        <f>IFERROR(__xludf.DUMMYFUNCTION("""COMPUTED_VALUE"""),44743.73264608796)</f>
        <v>44743.73265</v>
      </c>
      <c r="B2454" s="24" t="str">
        <f>IFERROR(__xludf.DUMMYFUNCTION("""COMPUTED_VALUE"""),"Juanita Chandler ")</f>
        <v>Juanita Chandler </v>
      </c>
      <c r="C2454" s="24">
        <f>IFERROR(__xludf.DUMMYFUNCTION("""COMPUTED_VALUE"""),19.0)</f>
        <v>19</v>
      </c>
      <c r="D2454" s="24"/>
      <c r="F2454" s="23">
        <f>IFERROR(__xludf.DUMMYFUNCTION("""COMPUTED_VALUE"""),44832.0)</f>
        <v>44832</v>
      </c>
      <c r="G2454" s="24" t="str">
        <f>IFERROR(__xludf.DUMMYFUNCTION("""COMPUTED_VALUE"""),"Juanita Chandler")</f>
        <v>Juanita Chandler</v>
      </c>
      <c r="H2454" s="24">
        <f>IFERROR(__xludf.DUMMYFUNCTION("""COMPUTED_VALUE"""),8.0)</f>
        <v>8</v>
      </c>
      <c r="I2454" s="24"/>
    </row>
    <row r="2455">
      <c r="A2455" s="23">
        <f>IFERROR(__xludf.DUMMYFUNCTION("""COMPUTED_VALUE"""),44744.74784833333)</f>
        <v>44744.74785</v>
      </c>
      <c r="B2455" s="24" t="str">
        <f>IFERROR(__xludf.DUMMYFUNCTION("""COMPUTED_VALUE"""),"Cybil Bailey")</f>
        <v>Cybil Bailey</v>
      </c>
      <c r="C2455" s="24">
        <f>IFERROR(__xludf.DUMMYFUNCTION("""COMPUTED_VALUE"""),7.0)</f>
        <v>7</v>
      </c>
      <c r="D2455" s="24"/>
      <c r="F2455" s="23">
        <f>IFERROR(__xludf.DUMMYFUNCTION("""COMPUTED_VALUE"""),44832.0)</f>
        <v>44832</v>
      </c>
      <c r="G2455" s="24" t="str">
        <f>IFERROR(__xludf.DUMMYFUNCTION("""COMPUTED_VALUE"""),"Doris Parker tuggle")</f>
        <v>Doris Parker tuggle</v>
      </c>
      <c r="H2455" s="24">
        <f>IFERROR(__xludf.DUMMYFUNCTION("""COMPUTED_VALUE"""),18.0)</f>
        <v>18</v>
      </c>
      <c r="I2455" s="24"/>
    </row>
    <row r="2456">
      <c r="A2456" s="23">
        <f>IFERROR(__xludf.DUMMYFUNCTION("""COMPUTED_VALUE"""),44744.75278607639)</f>
        <v>44744.75279</v>
      </c>
      <c r="B2456" s="24" t="str">
        <f>IFERROR(__xludf.DUMMYFUNCTION("""COMPUTED_VALUE"""),"nathan")</f>
        <v>nathan</v>
      </c>
      <c r="C2456" s="24">
        <f>IFERROR(__xludf.DUMMYFUNCTION("""COMPUTED_VALUE"""),18.0)</f>
        <v>18</v>
      </c>
      <c r="D2456" s="24"/>
      <c r="F2456" s="23">
        <f>IFERROR(__xludf.DUMMYFUNCTION("""COMPUTED_VALUE"""),44832.0)</f>
        <v>44832</v>
      </c>
      <c r="G2456" s="24" t="str">
        <f>IFERROR(__xludf.DUMMYFUNCTION("""COMPUTED_VALUE"""),"Treston Codrington")</f>
        <v>Treston Codrington</v>
      </c>
      <c r="H2456" s="24">
        <f>IFERROR(__xludf.DUMMYFUNCTION("""COMPUTED_VALUE"""),19.0)</f>
        <v>19</v>
      </c>
      <c r="I2456" s="24"/>
    </row>
    <row r="2457">
      <c r="A2457" s="23">
        <f>IFERROR(__xludf.DUMMYFUNCTION("""COMPUTED_VALUE"""),44744.757923819445)</f>
        <v>44744.75792</v>
      </c>
      <c r="B2457" s="24" t="str">
        <f>IFERROR(__xludf.DUMMYFUNCTION("""COMPUTED_VALUE"""),"Beverly Pinn")</f>
        <v>Beverly Pinn</v>
      </c>
      <c r="C2457" s="24">
        <f>IFERROR(__xludf.DUMMYFUNCTION("""COMPUTED_VALUE"""),18.0)</f>
        <v>18</v>
      </c>
      <c r="D2457" s="24"/>
      <c r="F2457" s="23">
        <f>IFERROR(__xludf.DUMMYFUNCTION("""COMPUTED_VALUE"""),44832.0)</f>
        <v>44832</v>
      </c>
      <c r="G2457" s="24" t="str">
        <f>IFERROR(__xludf.DUMMYFUNCTION("""COMPUTED_VALUE"""),"Treston Codrington")</f>
        <v>Treston Codrington</v>
      </c>
      <c r="H2457" s="24">
        <f>IFERROR(__xludf.DUMMYFUNCTION("""COMPUTED_VALUE"""),12.0)</f>
        <v>12</v>
      </c>
      <c r="I2457" s="24"/>
    </row>
    <row r="2458">
      <c r="A2458" s="23">
        <f>IFERROR(__xludf.DUMMYFUNCTION("""COMPUTED_VALUE"""),44744.75827429398)</f>
        <v>44744.75827</v>
      </c>
      <c r="B2458" s="24" t="str">
        <f>IFERROR(__xludf.DUMMYFUNCTION("""COMPUTED_VALUE"""),"Beverly Pinn")</f>
        <v>Beverly Pinn</v>
      </c>
      <c r="C2458" s="24">
        <f>IFERROR(__xludf.DUMMYFUNCTION("""COMPUTED_VALUE"""),3.0)</f>
        <v>3</v>
      </c>
      <c r="D2458" s="24"/>
      <c r="F2458" s="23">
        <f>IFERROR(__xludf.DUMMYFUNCTION("""COMPUTED_VALUE"""),44832.303085625)</f>
        <v>44832.30309</v>
      </c>
      <c r="G2458" s="24" t="str">
        <f>IFERROR(__xludf.DUMMYFUNCTION("""COMPUTED_VALUE"""),"Dorja ")</f>
        <v>Dorja </v>
      </c>
      <c r="H2458" s="24">
        <f>IFERROR(__xludf.DUMMYFUNCTION("""COMPUTED_VALUE"""),17.0)</f>
        <v>17</v>
      </c>
      <c r="I2458" s="24"/>
    </row>
    <row r="2459">
      <c r="A2459" s="23">
        <f>IFERROR(__xludf.DUMMYFUNCTION("""COMPUTED_VALUE"""),44744.758275671295)</f>
        <v>44744.75828</v>
      </c>
      <c r="B2459" s="24" t="str">
        <f>IFERROR(__xludf.DUMMYFUNCTION("""COMPUTED_VALUE"""),"Evelyn jiang")</f>
        <v>Evelyn jiang</v>
      </c>
      <c r="C2459" s="24">
        <f>IFERROR(__xludf.DUMMYFUNCTION("""COMPUTED_VALUE"""),19.0)</f>
        <v>19</v>
      </c>
      <c r="D2459" s="24"/>
      <c r="F2459" s="23">
        <f>IFERROR(__xludf.DUMMYFUNCTION("""COMPUTED_VALUE"""),44832.573393252314)</f>
        <v>44832.57339</v>
      </c>
      <c r="G2459" s="24" t="str">
        <f>IFERROR(__xludf.DUMMYFUNCTION("""COMPUTED_VALUE"""),"Bud - Sisson st dpw drinks")</f>
        <v>Bud - Sisson st dpw drinks</v>
      </c>
      <c r="H2459" s="24">
        <f>IFERROR(__xludf.DUMMYFUNCTION("""COMPUTED_VALUE"""),15.0)</f>
        <v>15</v>
      </c>
      <c r="I2459" s="24"/>
    </row>
    <row r="2460">
      <c r="A2460" s="23">
        <f>IFERROR(__xludf.DUMMYFUNCTION("""COMPUTED_VALUE"""),44744.75848037037)</f>
        <v>44744.75848</v>
      </c>
      <c r="B2460" s="24" t="str">
        <f>IFERROR(__xludf.DUMMYFUNCTION("""COMPUTED_VALUE"""),"Tiffany Jiang")</f>
        <v>Tiffany Jiang</v>
      </c>
      <c r="C2460" s="24">
        <f>IFERROR(__xludf.DUMMYFUNCTION("""COMPUTED_VALUE"""),19.0)</f>
        <v>19</v>
      </c>
      <c r="D2460" s="24"/>
      <c r="F2460" s="23">
        <f>IFERROR(__xludf.DUMMYFUNCTION("""COMPUTED_VALUE"""),44832.57373659723)</f>
        <v>44832.57374</v>
      </c>
      <c r="G2460" s="24" t="str">
        <f>IFERROR(__xludf.DUMMYFUNCTION("""COMPUTED_VALUE"""),"Bud Stracker - personal ")</f>
        <v>Bud Stracker - personal </v>
      </c>
      <c r="H2460" s="24">
        <f>IFERROR(__xludf.DUMMYFUNCTION("""COMPUTED_VALUE"""),3.0)</f>
        <v>3</v>
      </c>
      <c r="I2460" s="24"/>
    </row>
    <row r="2461">
      <c r="A2461" s="23">
        <f>IFERROR(__xludf.DUMMYFUNCTION("""COMPUTED_VALUE"""),44744.77594730324)</f>
        <v>44744.77595</v>
      </c>
      <c r="B2461" s="24" t="str">
        <f>IFERROR(__xludf.DUMMYFUNCTION("""COMPUTED_VALUE"""),"Lynnette ")</f>
        <v>Lynnette </v>
      </c>
      <c r="C2461" s="24">
        <f>IFERROR(__xludf.DUMMYFUNCTION("""COMPUTED_VALUE"""),20.0)</f>
        <v>20</v>
      </c>
      <c r="D2461" s="24"/>
      <c r="F2461" s="23">
        <f>IFERROR(__xludf.DUMMYFUNCTION("""COMPUTED_VALUE"""),44833.0)</f>
        <v>44833</v>
      </c>
      <c r="G2461" s="24" t="str">
        <f>IFERROR(__xludf.DUMMYFUNCTION("""COMPUTED_VALUE"""),"Claire")</f>
        <v>Claire</v>
      </c>
      <c r="H2461" s="24">
        <f>IFERROR(__xludf.DUMMYFUNCTION("""COMPUTED_VALUE"""),139.0)</f>
        <v>139</v>
      </c>
      <c r="I2461" s="24" t="str">
        <f>IFERROR(__xludf.DUMMYFUNCTION("""COMPUTED_VALUE"""),"Snacks")</f>
        <v>Snacks</v>
      </c>
    </row>
    <row r="2462">
      <c r="A2462" s="23">
        <f>IFERROR(__xludf.DUMMYFUNCTION("""COMPUTED_VALUE"""),44744.77617210648)</f>
        <v>44744.77617</v>
      </c>
      <c r="B2462" s="24" t="str">
        <f>IFERROR(__xludf.DUMMYFUNCTION("""COMPUTED_VALUE"""),"Lynnette danage")</f>
        <v>Lynnette danage</v>
      </c>
      <c r="C2462" s="24">
        <f>IFERROR(__xludf.DUMMYFUNCTION("""COMPUTED_VALUE"""),4.0)</f>
        <v>4</v>
      </c>
      <c r="D2462" s="24"/>
      <c r="F2462" s="23">
        <f>IFERROR(__xludf.DUMMYFUNCTION("""COMPUTED_VALUE"""),44833.0)</f>
        <v>44833</v>
      </c>
      <c r="G2462" s="24" t="str">
        <f>IFERROR(__xludf.DUMMYFUNCTION("""COMPUTED_VALUE"""),"Hong Xue")</f>
        <v>Hong Xue</v>
      </c>
      <c r="H2462" s="24">
        <f>IFERROR(__xludf.DUMMYFUNCTION("""COMPUTED_VALUE"""),20.0)</f>
        <v>20</v>
      </c>
      <c r="I2462" s="24"/>
    </row>
    <row r="2463">
      <c r="A2463" s="23">
        <f>IFERROR(__xludf.DUMMYFUNCTION("""COMPUTED_VALUE"""),44745.0)</f>
        <v>44745</v>
      </c>
      <c r="B2463" s="24" t="str">
        <f>IFERROR(__xludf.DUMMYFUNCTION("""COMPUTED_VALUE"""),"Alex Wang")</f>
        <v>Alex Wang</v>
      </c>
      <c r="C2463" s="24">
        <f>IFERROR(__xludf.DUMMYFUNCTION("""COMPUTED_VALUE"""),20.0)</f>
        <v>20</v>
      </c>
      <c r="D2463" s="24"/>
      <c r="F2463" s="23">
        <f>IFERROR(__xludf.DUMMYFUNCTION("""COMPUTED_VALUE"""),44833.0)</f>
        <v>44833</v>
      </c>
      <c r="G2463" s="24" t="str">
        <f>IFERROR(__xludf.DUMMYFUNCTION("""COMPUTED_VALUE"""),"Hong Xue")</f>
        <v>Hong Xue</v>
      </c>
      <c r="H2463" s="24">
        <f>IFERROR(__xludf.DUMMYFUNCTION("""COMPUTED_VALUE"""),30.0)</f>
        <v>30</v>
      </c>
      <c r="I2463" s="24"/>
    </row>
    <row r="2464">
      <c r="A2464" s="23">
        <f>IFERROR(__xludf.DUMMYFUNCTION("""COMPUTED_VALUE"""),44745.0)</f>
        <v>44745</v>
      </c>
      <c r="B2464" s="24" t="str">
        <f>IFERROR(__xludf.DUMMYFUNCTION("""COMPUTED_VALUE"""),"Marci")</f>
        <v>Marci</v>
      </c>
      <c r="C2464" s="24">
        <f>IFERROR(__xludf.DUMMYFUNCTION("""COMPUTED_VALUE"""),16.0)</f>
        <v>16</v>
      </c>
      <c r="D2464" s="24"/>
      <c r="F2464" s="23">
        <f>IFERROR(__xludf.DUMMYFUNCTION("""COMPUTED_VALUE"""),44833.0)</f>
        <v>44833</v>
      </c>
      <c r="G2464" s="24" t="str">
        <f>IFERROR(__xludf.DUMMYFUNCTION("""COMPUTED_VALUE"""),"Norma Kriger")</f>
        <v>Norma Kriger</v>
      </c>
      <c r="H2464" s="24">
        <f>IFERROR(__xludf.DUMMYFUNCTION("""COMPUTED_VALUE"""),23.0)</f>
        <v>23</v>
      </c>
      <c r="I2464" s="24"/>
    </row>
    <row r="2465">
      <c r="A2465" s="23">
        <f>IFERROR(__xludf.DUMMYFUNCTION("""COMPUTED_VALUE"""),44745.0)</f>
        <v>44745</v>
      </c>
      <c r="B2465" s="24" t="str">
        <f>IFERROR(__xludf.DUMMYFUNCTION("""COMPUTED_VALUE"""),"Marci")</f>
        <v>Marci</v>
      </c>
      <c r="C2465" s="24">
        <f>IFERROR(__xludf.DUMMYFUNCTION("""COMPUTED_VALUE"""),28.0)</f>
        <v>28</v>
      </c>
      <c r="D2465" s="24"/>
      <c r="F2465" s="23">
        <f>IFERROR(__xludf.DUMMYFUNCTION("""COMPUTED_VALUE"""),44833.0)</f>
        <v>44833</v>
      </c>
      <c r="G2465" s="24" t="str">
        <f>IFERROR(__xludf.DUMMYFUNCTION("""COMPUTED_VALUE"""),"Norma Kriger")</f>
        <v>Norma Kriger</v>
      </c>
      <c r="H2465" s="24">
        <f>IFERROR(__xludf.DUMMYFUNCTION("""COMPUTED_VALUE"""),6.0)</f>
        <v>6</v>
      </c>
      <c r="I2465" s="24"/>
    </row>
    <row r="2466">
      <c r="A2466" s="23">
        <f>IFERROR(__xludf.DUMMYFUNCTION("""COMPUTED_VALUE"""),44745.67547950232)</f>
        <v>44745.67548</v>
      </c>
      <c r="B2466" s="24" t="str">
        <f>IFERROR(__xludf.DUMMYFUNCTION("""COMPUTED_VALUE"""),"Evan El-Halawani")</f>
        <v>Evan El-Halawani</v>
      </c>
      <c r="C2466" s="24">
        <f>IFERROR(__xludf.DUMMYFUNCTION("""COMPUTED_VALUE"""),18.0)</f>
        <v>18</v>
      </c>
      <c r="D2466" s="24"/>
      <c r="F2466" s="23">
        <f>IFERROR(__xludf.DUMMYFUNCTION("""COMPUTED_VALUE"""),44833.0)</f>
        <v>44833</v>
      </c>
      <c r="G2466" s="24" t="str">
        <f>IFERROR(__xludf.DUMMYFUNCTION("""COMPUTED_VALUE"""),"Nathaniel McClean")</f>
        <v>Nathaniel McClean</v>
      </c>
      <c r="H2466" s="24">
        <f>IFERROR(__xludf.DUMMYFUNCTION("""COMPUTED_VALUE"""),18.0)</f>
        <v>18</v>
      </c>
      <c r="I2466" s="24"/>
    </row>
    <row r="2467">
      <c r="A2467" s="23">
        <f>IFERROR(__xludf.DUMMYFUNCTION("""COMPUTED_VALUE"""),44745.67560032407)</f>
        <v>44745.6756</v>
      </c>
      <c r="B2467" s="24" t="str">
        <f>IFERROR(__xludf.DUMMYFUNCTION("""COMPUTED_VALUE"""),"Anna Nicosia")</f>
        <v>Anna Nicosia</v>
      </c>
      <c r="C2467" s="24">
        <f>IFERROR(__xludf.DUMMYFUNCTION("""COMPUTED_VALUE"""),19.0)</f>
        <v>19</v>
      </c>
      <c r="D2467" s="24"/>
      <c r="F2467" s="23">
        <f>IFERROR(__xludf.DUMMYFUNCTION("""COMPUTED_VALUE"""),44833.0)</f>
        <v>44833</v>
      </c>
      <c r="G2467" s="24" t="str">
        <f>IFERROR(__xludf.DUMMYFUNCTION("""COMPUTED_VALUE"""),"Aziza Frank")</f>
        <v>Aziza Frank</v>
      </c>
      <c r="H2467" s="24">
        <f>IFERROR(__xludf.DUMMYFUNCTION("""COMPUTED_VALUE"""),20.0)</f>
        <v>20</v>
      </c>
      <c r="I2467" s="24"/>
    </row>
    <row r="2468">
      <c r="A2468" s="23">
        <f>IFERROR(__xludf.DUMMYFUNCTION("""COMPUTED_VALUE"""),44745.675687592586)</f>
        <v>44745.67569</v>
      </c>
      <c r="B2468" s="24" t="str">
        <f>IFERROR(__xludf.DUMMYFUNCTION("""COMPUTED_VALUE"""),"Anna Nicosia")</f>
        <v>Anna Nicosia</v>
      </c>
      <c r="C2468" s="24">
        <f>IFERROR(__xludf.DUMMYFUNCTION("""COMPUTED_VALUE"""),3.0)</f>
        <v>3</v>
      </c>
      <c r="D2468" s="24"/>
      <c r="F2468" s="23">
        <f>IFERROR(__xludf.DUMMYFUNCTION("""COMPUTED_VALUE"""),44833.571370868056)</f>
        <v>44833.57137</v>
      </c>
      <c r="G2468" s="24" t="str">
        <f>IFERROR(__xludf.DUMMYFUNCTION("""COMPUTED_VALUE"""),"Jean")</f>
        <v>Jean</v>
      </c>
      <c r="H2468" s="24">
        <f>IFERROR(__xludf.DUMMYFUNCTION("""COMPUTED_VALUE"""),254.0)</f>
        <v>254</v>
      </c>
      <c r="I2468" s="24" t="str">
        <f>IFERROR(__xludf.DUMMYFUNCTION("""COMPUTED_VALUE"""),"Snacks")</f>
        <v>Snacks</v>
      </c>
    </row>
    <row r="2469">
      <c r="A2469" s="23">
        <f>IFERROR(__xludf.DUMMYFUNCTION("""COMPUTED_VALUE"""),44745.678266620365)</f>
        <v>44745.67827</v>
      </c>
      <c r="B2469" s="24" t="str">
        <f>IFERROR(__xludf.DUMMYFUNCTION("""COMPUTED_VALUE"""),"Kaneesha ")</f>
        <v>Kaneesha </v>
      </c>
      <c r="C2469" s="24">
        <f>IFERROR(__xludf.DUMMYFUNCTION("""COMPUTED_VALUE"""),20.0)</f>
        <v>20</v>
      </c>
      <c r="D2469" s="24"/>
      <c r="F2469" s="23">
        <f>IFERROR(__xludf.DUMMYFUNCTION("""COMPUTED_VALUE"""),44833.57246994213)</f>
        <v>44833.57247</v>
      </c>
      <c r="G2469" s="24" t="str">
        <f>IFERROR(__xludf.DUMMYFUNCTION("""COMPUTED_VALUE"""),"Jean")</f>
        <v>Jean</v>
      </c>
      <c r="H2469" s="24">
        <f>IFERROR(__xludf.DUMMYFUNCTION("""COMPUTED_VALUE"""),208.0)</f>
        <v>208</v>
      </c>
      <c r="I2469" s="24" t="str">
        <f>IFERROR(__xludf.DUMMYFUNCTION("""COMPUTED_VALUE"""),"Snacks")</f>
        <v>Snacks</v>
      </c>
    </row>
    <row r="2470">
      <c r="A2470" s="23">
        <f>IFERROR(__xludf.DUMMYFUNCTION("""COMPUTED_VALUE"""),44745.678487129626)</f>
        <v>44745.67849</v>
      </c>
      <c r="B2470" s="24" t="str">
        <f>IFERROR(__xludf.DUMMYFUNCTION("""COMPUTED_VALUE"""),"Kaneesha (extra)")</f>
        <v>Kaneesha (extra)</v>
      </c>
      <c r="C2470" s="24">
        <f>IFERROR(__xludf.DUMMYFUNCTION("""COMPUTED_VALUE"""),21.0)</f>
        <v>21</v>
      </c>
      <c r="D2470" s="24"/>
      <c r="F2470" s="23">
        <f>IFERROR(__xludf.DUMMYFUNCTION("""COMPUTED_VALUE"""),44833.57332913195)</f>
        <v>44833.57333</v>
      </c>
      <c r="G2470" s="24" t="str">
        <f>IFERROR(__xludf.DUMMYFUNCTION("""COMPUTED_VALUE"""),"Jean")</f>
        <v>Jean</v>
      </c>
      <c r="H2470" s="24">
        <f>IFERROR(__xludf.DUMMYFUNCTION("""COMPUTED_VALUE"""),198.0)</f>
        <v>198</v>
      </c>
      <c r="I2470" s="24" t="str">
        <f>IFERROR(__xludf.DUMMYFUNCTION("""COMPUTED_VALUE"""),"Snacks")</f>
        <v>Snacks</v>
      </c>
    </row>
    <row r="2471">
      <c r="A2471" s="23">
        <f>IFERROR(__xludf.DUMMYFUNCTION("""COMPUTED_VALUE"""),44745.7129855324)</f>
        <v>44745.71299</v>
      </c>
      <c r="B2471" s="24" t="str">
        <f>IFERROR(__xludf.DUMMYFUNCTION("""COMPUTED_VALUE"""),"Zoe")</f>
        <v>Zoe</v>
      </c>
      <c r="C2471" s="24">
        <f>IFERROR(__xludf.DUMMYFUNCTION("""COMPUTED_VALUE"""),13.0)</f>
        <v>13</v>
      </c>
      <c r="D2471" s="24"/>
      <c r="F2471" s="23">
        <f>IFERROR(__xludf.DUMMYFUNCTION("""COMPUTED_VALUE"""),44833.57419789352)</f>
        <v>44833.5742</v>
      </c>
      <c r="G2471" s="24" t="str">
        <f>IFERROR(__xludf.DUMMYFUNCTION("""COMPUTED_VALUE"""),"Jean")</f>
        <v>Jean</v>
      </c>
      <c r="H2471" s="24">
        <f>IFERROR(__xludf.DUMMYFUNCTION("""COMPUTED_VALUE"""),201.0)</f>
        <v>201</v>
      </c>
      <c r="I2471" s="24" t="str">
        <f>IFERROR(__xludf.DUMMYFUNCTION("""COMPUTED_VALUE"""),"Snacks")</f>
        <v>Snacks</v>
      </c>
    </row>
    <row r="2472">
      <c r="A2472" s="23">
        <f>IFERROR(__xludf.DUMMYFUNCTION("""COMPUTED_VALUE"""),44747.71793803241)</f>
        <v>44747.71794</v>
      </c>
      <c r="B2472" s="24" t="str">
        <f>IFERROR(__xludf.DUMMYFUNCTION("""COMPUTED_VALUE"""),"Beverly Pinn")</f>
        <v>Beverly Pinn</v>
      </c>
      <c r="C2472" s="24">
        <f>IFERROR(__xludf.DUMMYFUNCTION("""COMPUTED_VALUE"""),20.0)</f>
        <v>20</v>
      </c>
      <c r="D2472" s="24"/>
      <c r="F2472" s="23">
        <f>IFERROR(__xludf.DUMMYFUNCTION("""COMPUTED_VALUE"""),44833.57497829861)</f>
        <v>44833.57498</v>
      </c>
      <c r="G2472" s="24" t="str">
        <f>IFERROR(__xludf.DUMMYFUNCTION("""COMPUTED_VALUE"""),"Jean")</f>
        <v>Jean</v>
      </c>
      <c r="H2472" s="24">
        <f>IFERROR(__xludf.DUMMYFUNCTION("""COMPUTED_VALUE"""),182.0)</f>
        <v>182</v>
      </c>
      <c r="I2472" s="24" t="str">
        <f>IFERROR(__xludf.DUMMYFUNCTION("""COMPUTED_VALUE"""),"Snacks")</f>
        <v>Snacks</v>
      </c>
    </row>
    <row r="2473">
      <c r="A2473" s="23">
        <f>IFERROR(__xludf.DUMMYFUNCTION("""COMPUTED_VALUE"""),44747.71842753472)</f>
        <v>44747.71843</v>
      </c>
      <c r="B2473" s="24" t="str">
        <f>IFERROR(__xludf.DUMMYFUNCTION("""COMPUTED_VALUE"""),"Beverly Pinn")</f>
        <v>Beverly Pinn</v>
      </c>
      <c r="C2473" s="24">
        <f>IFERROR(__xludf.DUMMYFUNCTION("""COMPUTED_VALUE"""),35.0)</f>
        <v>35</v>
      </c>
      <c r="D2473" s="24"/>
      <c r="F2473" s="23">
        <f>IFERROR(__xludf.DUMMYFUNCTION("""COMPUTED_VALUE"""),44833.57542972222)</f>
        <v>44833.57543</v>
      </c>
      <c r="G2473" s="24" t="str">
        <f>IFERROR(__xludf.DUMMYFUNCTION("""COMPUTED_VALUE"""),"Jean")</f>
        <v>Jean</v>
      </c>
      <c r="H2473" s="24">
        <f>IFERROR(__xludf.DUMMYFUNCTION("""COMPUTED_VALUE"""),181.0)</f>
        <v>181</v>
      </c>
      <c r="I2473" s="24" t="str">
        <f>IFERROR(__xludf.DUMMYFUNCTION("""COMPUTED_VALUE"""),"Snacks")</f>
        <v>Snacks</v>
      </c>
    </row>
    <row r="2474">
      <c r="A2474" s="23">
        <f>IFERROR(__xludf.DUMMYFUNCTION("""COMPUTED_VALUE"""),44747.71893643519)</f>
        <v>44747.71894</v>
      </c>
      <c r="B2474" s="24" t="str">
        <f>IFERROR(__xludf.DUMMYFUNCTION("""COMPUTED_VALUE"""),"Jean. Extra")</f>
        <v>Jean. Extra</v>
      </c>
      <c r="C2474" s="24">
        <f>IFERROR(__xludf.DUMMYFUNCTION("""COMPUTED_VALUE"""),44.0)</f>
        <v>44</v>
      </c>
      <c r="D2474" s="24"/>
      <c r="F2474" s="23">
        <f>IFERROR(__xludf.DUMMYFUNCTION("""COMPUTED_VALUE"""),44833.576134085655)</f>
        <v>44833.57613</v>
      </c>
      <c r="G2474" s="24" t="str">
        <f>IFERROR(__xludf.DUMMYFUNCTION("""COMPUTED_VALUE"""),"Jean")</f>
        <v>Jean</v>
      </c>
      <c r="H2474" s="24">
        <f>IFERROR(__xludf.DUMMYFUNCTION("""COMPUTED_VALUE"""),210.0)</f>
        <v>210</v>
      </c>
      <c r="I2474" s="24" t="str">
        <f>IFERROR(__xludf.DUMMYFUNCTION("""COMPUTED_VALUE"""),"Snacks")</f>
        <v>Snacks</v>
      </c>
    </row>
    <row r="2475">
      <c r="A2475" s="23">
        <f>IFERROR(__xludf.DUMMYFUNCTION("""COMPUTED_VALUE"""),44747.7191714699)</f>
        <v>44747.71917</v>
      </c>
      <c r="B2475" s="24" t="str">
        <f>IFERROR(__xludf.DUMMYFUNCTION("""COMPUTED_VALUE"""),"Jean")</f>
        <v>Jean</v>
      </c>
      <c r="C2475" s="24">
        <f>IFERROR(__xludf.DUMMYFUNCTION("""COMPUTED_VALUE"""),19.0)</f>
        <v>19</v>
      </c>
      <c r="D2475" s="24"/>
      <c r="F2475" s="23">
        <f>IFERROR(__xludf.DUMMYFUNCTION("""COMPUTED_VALUE"""),44833.57671952547)</f>
        <v>44833.57672</v>
      </c>
      <c r="G2475" s="24" t="str">
        <f>IFERROR(__xludf.DUMMYFUNCTION("""COMPUTED_VALUE"""),"Jean")</f>
        <v>Jean</v>
      </c>
      <c r="H2475" s="24">
        <f>IFERROR(__xludf.DUMMYFUNCTION("""COMPUTED_VALUE"""),803.0)</f>
        <v>803</v>
      </c>
      <c r="I2475" s="24" t="str">
        <f>IFERROR(__xludf.DUMMYFUNCTION("""COMPUTED_VALUE"""),"Produce")</f>
        <v>Produce</v>
      </c>
    </row>
    <row r="2476">
      <c r="A2476" s="23">
        <f>IFERROR(__xludf.DUMMYFUNCTION("""COMPUTED_VALUE"""),44747.0)</f>
        <v>44747</v>
      </c>
      <c r="B2476" s="24" t="str">
        <f>IFERROR(__xludf.DUMMYFUNCTION("""COMPUTED_VALUE"""),"Gretchen Pike")</f>
        <v>Gretchen Pike</v>
      </c>
      <c r="C2476" s="24">
        <f>IFERROR(__xludf.DUMMYFUNCTION("""COMPUTED_VALUE"""),20.0)</f>
        <v>20</v>
      </c>
      <c r="D2476" s="24"/>
      <c r="F2476" s="23">
        <f>IFERROR(__xludf.DUMMYFUNCTION("""COMPUTED_VALUE"""),44833.57746135417)</f>
        <v>44833.57746</v>
      </c>
      <c r="G2476" s="24" t="str">
        <f>IFERROR(__xludf.DUMMYFUNCTION("""COMPUTED_VALUE"""),"Jean")</f>
        <v>Jean</v>
      </c>
      <c r="H2476" s="24">
        <f>IFERROR(__xludf.DUMMYFUNCTION("""COMPUTED_VALUE"""),89.0)</f>
        <v>89</v>
      </c>
      <c r="I2476" s="24" t="str">
        <f>IFERROR(__xludf.DUMMYFUNCTION("""COMPUTED_VALUE"""),"Cleaning Supplies")</f>
        <v>Cleaning Supplies</v>
      </c>
    </row>
    <row r="2477">
      <c r="A2477" s="23">
        <f>IFERROR(__xludf.DUMMYFUNCTION("""COMPUTED_VALUE"""),44747.0)</f>
        <v>44747</v>
      </c>
      <c r="B2477" s="24" t="str">
        <f>IFERROR(__xludf.DUMMYFUNCTION("""COMPUTED_VALUE"""),"Gretchen Pike")</f>
        <v>Gretchen Pike</v>
      </c>
      <c r="C2477" s="24">
        <f>IFERROR(__xludf.DUMMYFUNCTION("""COMPUTED_VALUE"""),3.0)</f>
        <v>3</v>
      </c>
      <c r="D2477" s="24"/>
      <c r="F2477" s="23">
        <f>IFERROR(__xludf.DUMMYFUNCTION("""COMPUTED_VALUE"""),44833.70717868055)</f>
        <v>44833.70718</v>
      </c>
      <c r="G2477" s="24" t="str">
        <f>IFERROR(__xludf.DUMMYFUNCTION("""COMPUTED_VALUE"""),"Barbara jordan")</f>
        <v>Barbara jordan</v>
      </c>
      <c r="H2477" s="24">
        <f>IFERROR(__xludf.DUMMYFUNCTION("""COMPUTED_VALUE"""),19.0)</f>
        <v>19</v>
      </c>
      <c r="I2477" s="24"/>
    </row>
    <row r="2478">
      <c r="A2478" s="23">
        <f>IFERROR(__xludf.DUMMYFUNCTION("""COMPUTED_VALUE"""),44747.0)</f>
        <v>44747</v>
      </c>
      <c r="B2478" s="24" t="str">
        <f>IFERROR(__xludf.DUMMYFUNCTION("""COMPUTED_VALUE"""),"Jewel Pike")</f>
        <v>Jewel Pike</v>
      </c>
      <c r="C2478" s="24">
        <f>IFERROR(__xludf.DUMMYFUNCTION("""COMPUTED_VALUE"""),17.0)</f>
        <v>17</v>
      </c>
      <c r="D2478" s="24"/>
      <c r="F2478" s="23">
        <f>IFERROR(__xludf.DUMMYFUNCTION("""COMPUTED_VALUE"""),44833.70772730325)</f>
        <v>44833.70773</v>
      </c>
      <c r="G2478" s="24" t="str">
        <f>IFERROR(__xludf.DUMMYFUNCTION("""COMPUTED_VALUE"""),"Barbara")</f>
        <v>Barbara</v>
      </c>
      <c r="H2478" s="24">
        <f>IFERROR(__xludf.DUMMYFUNCTION("""COMPUTED_VALUE"""),2.0)</f>
        <v>2</v>
      </c>
      <c r="I2478" s="24"/>
    </row>
    <row r="2479">
      <c r="A2479" s="23">
        <f>IFERROR(__xludf.DUMMYFUNCTION("""COMPUTED_VALUE"""),44747.0)</f>
        <v>44747</v>
      </c>
      <c r="B2479" s="24" t="str">
        <f>IFERROR(__xludf.DUMMYFUNCTION("""COMPUTED_VALUE"""),"Jewel Pike")</f>
        <v>Jewel Pike</v>
      </c>
      <c r="C2479" s="24">
        <f>IFERROR(__xludf.DUMMYFUNCTION("""COMPUTED_VALUE"""),3.0)</f>
        <v>3</v>
      </c>
      <c r="D2479" s="24"/>
      <c r="F2479" s="23">
        <f>IFERROR(__xludf.DUMMYFUNCTION("""COMPUTED_VALUE"""),44833.71306017361)</f>
        <v>44833.71306</v>
      </c>
      <c r="G2479" s="24" t="str">
        <f>IFERROR(__xludf.DUMMYFUNCTION("""COMPUTED_VALUE"""),"Jean")</f>
        <v>Jean</v>
      </c>
      <c r="H2479" s="24">
        <f>IFERROR(__xludf.DUMMYFUNCTION("""COMPUTED_VALUE"""),11.0)</f>
        <v>11</v>
      </c>
      <c r="I2479" s="24"/>
    </row>
    <row r="2480">
      <c r="A2480" s="23">
        <f>IFERROR(__xludf.DUMMYFUNCTION("""COMPUTED_VALUE"""),44747.0)</f>
        <v>44747</v>
      </c>
      <c r="B2480" s="24" t="str">
        <f>IFERROR(__xludf.DUMMYFUNCTION("""COMPUTED_VALUE"""),"Doris Parker Tuggle")</f>
        <v>Doris Parker Tuggle</v>
      </c>
      <c r="C2480" s="24">
        <f>IFERROR(__xludf.DUMMYFUNCTION("""COMPUTED_VALUE"""),20.0)</f>
        <v>20</v>
      </c>
      <c r="D2480" s="24"/>
      <c r="F2480" s="23">
        <f>IFERROR(__xludf.DUMMYFUNCTION("""COMPUTED_VALUE"""),44833.71338285879)</f>
        <v>44833.71338</v>
      </c>
      <c r="G2480" s="24" t="str">
        <f>IFERROR(__xludf.DUMMYFUNCTION("""COMPUTED_VALUE"""),"Jean")</f>
        <v>Jean</v>
      </c>
      <c r="H2480" s="24">
        <f>IFERROR(__xludf.DUMMYFUNCTION("""COMPUTED_VALUE"""),6.0)</f>
        <v>6</v>
      </c>
      <c r="I2480" s="24" t="str">
        <f>IFERROR(__xludf.DUMMYFUNCTION("""COMPUTED_VALUE"""),"Damage/expired/extra")</f>
        <v>Damage/expired/extra</v>
      </c>
    </row>
    <row r="2481">
      <c r="A2481" s="23">
        <f>IFERROR(__xludf.DUMMYFUNCTION("""COMPUTED_VALUE"""),44747.0)</f>
        <v>44747</v>
      </c>
      <c r="B2481" s="24" t="str">
        <f>IFERROR(__xludf.DUMMYFUNCTION("""COMPUTED_VALUE"""),"Doris Parker Tuggle")</f>
        <v>Doris Parker Tuggle</v>
      </c>
      <c r="C2481" s="24">
        <f>IFERROR(__xludf.DUMMYFUNCTION("""COMPUTED_VALUE"""),9.0)</f>
        <v>9</v>
      </c>
      <c r="D2481" s="24"/>
      <c r="F2481" s="23">
        <f>IFERROR(__xludf.DUMMYFUNCTION("""COMPUTED_VALUE"""),44833.858867152776)</f>
        <v>44833.85887</v>
      </c>
      <c r="G2481" s="24" t="str">
        <f>IFERROR(__xludf.DUMMYFUNCTION("""COMPUTED_VALUE"""),"Sheneil")</f>
        <v>Sheneil</v>
      </c>
      <c r="H2481" s="24">
        <f>IFERROR(__xludf.DUMMYFUNCTION("""COMPUTED_VALUE"""),19.0)</f>
        <v>19</v>
      </c>
      <c r="I2481" s="24"/>
    </row>
    <row r="2482">
      <c r="A2482" s="23">
        <f>IFERROR(__xludf.DUMMYFUNCTION("""COMPUTED_VALUE"""),44747.0)</f>
        <v>44747</v>
      </c>
      <c r="B2482" s="24" t="str">
        <f>IFERROR(__xludf.DUMMYFUNCTION("""COMPUTED_VALUE"""),"Marci")</f>
        <v>Marci</v>
      </c>
      <c r="C2482" s="24">
        <f>IFERROR(__xludf.DUMMYFUNCTION("""COMPUTED_VALUE"""),18.0)</f>
        <v>18</v>
      </c>
      <c r="D2482" s="24"/>
      <c r="F2482" s="23">
        <f>IFERROR(__xludf.DUMMYFUNCTION("""COMPUTED_VALUE"""),44834.0)</f>
        <v>44834</v>
      </c>
      <c r="G2482" s="24" t="str">
        <f>IFERROR(__xludf.DUMMYFUNCTION("""COMPUTED_VALUE"""),"Claire")</f>
        <v>Claire</v>
      </c>
      <c r="H2482" s="24">
        <f>IFERROR(__xludf.DUMMYFUNCTION("""COMPUTED_VALUE"""),46.0)</f>
        <v>46</v>
      </c>
      <c r="I2482" s="24" t="str">
        <f>IFERROR(__xludf.DUMMYFUNCTION("""COMPUTED_VALUE"""),"Hand sanitizer")</f>
        <v>Hand sanitizer</v>
      </c>
    </row>
    <row r="2483">
      <c r="A2483" s="23">
        <f>IFERROR(__xludf.DUMMYFUNCTION("""COMPUTED_VALUE"""),44747.0)</f>
        <v>44747</v>
      </c>
      <c r="B2483" s="24" t="str">
        <f>IFERROR(__xludf.DUMMYFUNCTION("""COMPUTED_VALUE"""),"Marci")</f>
        <v>Marci</v>
      </c>
      <c r="C2483" s="24">
        <f>IFERROR(__xludf.DUMMYFUNCTION("""COMPUTED_VALUE"""),60.0)</f>
        <v>60</v>
      </c>
      <c r="D2483" s="24"/>
      <c r="F2483" s="23">
        <f>IFERROR(__xludf.DUMMYFUNCTION("""COMPUTED_VALUE"""),44834.0)</f>
        <v>44834</v>
      </c>
      <c r="G2483" s="24" t="str">
        <f>IFERROR(__xludf.DUMMYFUNCTION("""COMPUTED_VALUE"""),"Juanita Chandler")</f>
        <v>Juanita Chandler</v>
      </c>
      <c r="H2483" s="24">
        <f>IFERROR(__xludf.DUMMYFUNCTION("""COMPUTED_VALUE"""),9.0)</f>
        <v>9</v>
      </c>
      <c r="I2483" s="24"/>
    </row>
    <row r="2484">
      <c r="A2484" s="23">
        <f>IFERROR(__xludf.DUMMYFUNCTION("""COMPUTED_VALUE"""),44748.0)</f>
        <v>44748</v>
      </c>
      <c r="B2484" s="24" t="str">
        <f>IFERROR(__xludf.DUMMYFUNCTION("""COMPUTED_VALUE"""),"Doris Parker Tuggle")</f>
        <v>Doris Parker Tuggle</v>
      </c>
      <c r="C2484" s="24">
        <f>IFERROR(__xludf.DUMMYFUNCTION("""COMPUTED_VALUE"""),18.0)</f>
        <v>18</v>
      </c>
      <c r="D2484" s="24"/>
      <c r="F2484" s="23">
        <f>IFERROR(__xludf.DUMMYFUNCTION("""COMPUTED_VALUE"""),44834.584268715276)</f>
        <v>44834.58427</v>
      </c>
      <c r="G2484" s="24" t="str">
        <f>IFERROR(__xludf.DUMMYFUNCTION("""COMPUTED_VALUE"""),"Claire")</f>
        <v>Claire</v>
      </c>
      <c r="H2484" s="24">
        <f>IFERROR(__xludf.DUMMYFUNCTION("""COMPUTED_VALUE"""),1496.0)</f>
        <v>1496</v>
      </c>
      <c r="I2484" s="24" t="str">
        <f>IFERROR(__xludf.DUMMYFUNCTION("""COMPUTED_VALUE"""),"Whitebox")</f>
        <v>Whitebox</v>
      </c>
    </row>
    <row r="2485">
      <c r="A2485" s="23">
        <f>IFERROR(__xludf.DUMMYFUNCTION("""COMPUTED_VALUE"""),44748.0)</f>
        <v>44748</v>
      </c>
      <c r="B2485" s="24" t="str">
        <f>IFERROR(__xludf.DUMMYFUNCTION("""COMPUTED_VALUE"""),"Maddie Pardes")</f>
        <v>Maddie Pardes</v>
      </c>
      <c r="C2485" s="24">
        <f>IFERROR(__xludf.DUMMYFUNCTION("""COMPUTED_VALUE"""),17.0)</f>
        <v>17</v>
      </c>
      <c r="D2485" s="24"/>
      <c r="F2485" s="23">
        <f>IFERROR(__xludf.DUMMYFUNCTION("""COMPUTED_VALUE"""),44834.584601076385)</f>
        <v>44834.5846</v>
      </c>
      <c r="G2485" s="24" t="str">
        <f>IFERROR(__xludf.DUMMYFUNCTION("""COMPUTED_VALUE"""),"Claire")</f>
        <v>Claire</v>
      </c>
      <c r="H2485" s="24">
        <f>IFERROR(__xludf.DUMMYFUNCTION("""COMPUTED_VALUE"""),1497.0)</f>
        <v>1497</v>
      </c>
      <c r="I2485" s="24" t="str">
        <f>IFERROR(__xludf.DUMMYFUNCTION("""COMPUTED_VALUE"""),"Whitebox")</f>
        <v>Whitebox</v>
      </c>
    </row>
    <row r="2486">
      <c r="A2486" s="23">
        <f>IFERROR(__xludf.DUMMYFUNCTION("""COMPUTED_VALUE"""),44748.0)</f>
        <v>44748</v>
      </c>
      <c r="B2486" s="24" t="str">
        <f>IFERROR(__xludf.DUMMYFUNCTION("""COMPUTED_VALUE"""),"Maddie Pardes")</f>
        <v>Maddie Pardes</v>
      </c>
      <c r="C2486" s="24">
        <f>IFERROR(__xludf.DUMMYFUNCTION("""COMPUTED_VALUE"""),1.0)</f>
        <v>1</v>
      </c>
      <c r="D2486" s="24"/>
      <c r="F2486" s="23">
        <f>IFERROR(__xludf.DUMMYFUNCTION("""COMPUTED_VALUE"""),44834.584920821755)</f>
        <v>44834.58492</v>
      </c>
      <c r="G2486" s="24" t="str">
        <f>IFERROR(__xludf.DUMMYFUNCTION("""COMPUTED_VALUE"""),"Claire")</f>
        <v>Claire</v>
      </c>
      <c r="H2486" s="24">
        <f>IFERROR(__xludf.DUMMYFUNCTION("""COMPUTED_VALUE"""),1498.0)</f>
        <v>1498</v>
      </c>
      <c r="I2486" s="24" t="str">
        <f>IFERROR(__xludf.DUMMYFUNCTION("""COMPUTED_VALUE"""),"Whitebox")</f>
        <v>Whitebox</v>
      </c>
    </row>
    <row r="2487">
      <c r="A2487" s="23">
        <f>IFERROR(__xludf.DUMMYFUNCTION("""COMPUTED_VALUE"""),44748.0)</f>
        <v>44748</v>
      </c>
      <c r="B2487" s="24" t="str">
        <f>IFERROR(__xludf.DUMMYFUNCTION("""COMPUTED_VALUE"""),"Lynwood McDaniel")</f>
        <v>Lynwood McDaniel</v>
      </c>
      <c r="C2487" s="24">
        <f>IFERROR(__xludf.DUMMYFUNCTION("""COMPUTED_VALUE"""),20.0)</f>
        <v>20</v>
      </c>
      <c r="D2487" s="24"/>
      <c r="F2487" s="23">
        <f>IFERROR(__xludf.DUMMYFUNCTION("""COMPUTED_VALUE"""),44834.58519953704)</f>
        <v>44834.5852</v>
      </c>
      <c r="G2487" s="24" t="str">
        <f>IFERROR(__xludf.DUMMYFUNCTION("""COMPUTED_VALUE"""),"Claire")</f>
        <v>Claire</v>
      </c>
      <c r="H2487" s="24">
        <f>IFERROR(__xludf.DUMMYFUNCTION("""COMPUTED_VALUE"""),1499.0)</f>
        <v>1499</v>
      </c>
      <c r="I2487" s="24" t="str">
        <f>IFERROR(__xludf.DUMMYFUNCTION("""COMPUTED_VALUE"""),"Whitebox")</f>
        <v>Whitebox</v>
      </c>
    </row>
    <row r="2488">
      <c r="A2488" s="23">
        <f>IFERROR(__xludf.DUMMYFUNCTION("""COMPUTED_VALUE"""),44748.0)</f>
        <v>44748</v>
      </c>
      <c r="B2488" s="24" t="str">
        <f>IFERROR(__xludf.DUMMYFUNCTION("""COMPUTED_VALUE"""),"Teia H")</f>
        <v>Teia H</v>
      </c>
      <c r="C2488" s="24">
        <f>IFERROR(__xludf.DUMMYFUNCTION("""COMPUTED_VALUE"""),20.0)</f>
        <v>20</v>
      </c>
      <c r="D2488" s="24"/>
      <c r="F2488" s="23">
        <f>IFERROR(__xludf.DUMMYFUNCTION("""COMPUTED_VALUE"""),44834.58549777778)</f>
        <v>44834.5855</v>
      </c>
      <c r="G2488" s="24" t="str">
        <f>IFERROR(__xludf.DUMMYFUNCTION("""COMPUTED_VALUE"""),"Claire")</f>
        <v>Claire</v>
      </c>
      <c r="H2488" s="24">
        <f>IFERROR(__xludf.DUMMYFUNCTION("""COMPUTED_VALUE"""),1495.0)</f>
        <v>1495</v>
      </c>
      <c r="I2488" s="24" t="str">
        <f>IFERROR(__xludf.DUMMYFUNCTION("""COMPUTED_VALUE"""),"Whitebox")</f>
        <v>Whitebox</v>
      </c>
    </row>
    <row r="2489">
      <c r="A2489" s="23">
        <f>IFERROR(__xludf.DUMMYFUNCTION("""COMPUTED_VALUE"""),44748.63537106482)</f>
        <v>44748.63537</v>
      </c>
      <c r="B2489" s="24" t="str">
        <f>IFERROR(__xludf.DUMMYFUNCTION("""COMPUTED_VALUE"""),"Bud Stracker - Sisson St DPW drinks ")</f>
        <v>Bud Stracker - Sisson St DPW drinks </v>
      </c>
      <c r="C2489" s="24">
        <f>IFERROR(__xludf.DUMMYFUNCTION("""COMPUTED_VALUE"""),21.0)</f>
        <v>21</v>
      </c>
      <c r="D2489" s="24"/>
      <c r="F2489" s="23">
        <f>IFERROR(__xludf.DUMMYFUNCTION("""COMPUTED_VALUE"""),44834.58576938657)</f>
        <v>44834.58577</v>
      </c>
      <c r="G2489" s="24" t="str">
        <f>IFERROR(__xludf.DUMMYFUNCTION("""COMPUTED_VALUE"""),"Claire")</f>
        <v>Claire</v>
      </c>
      <c r="H2489" s="24">
        <f>IFERROR(__xludf.DUMMYFUNCTION("""COMPUTED_VALUE"""),1500.0)</f>
        <v>1500</v>
      </c>
      <c r="I2489" s="24" t="str">
        <f>IFERROR(__xludf.DUMMYFUNCTION("""COMPUTED_VALUE"""),"Whitebox")</f>
        <v>Whitebox</v>
      </c>
    </row>
    <row r="2490">
      <c r="A2490" s="23">
        <f>IFERROR(__xludf.DUMMYFUNCTION("""COMPUTED_VALUE"""),44748.63576567129)</f>
        <v>44748.63577</v>
      </c>
      <c r="B2490" s="24" t="str">
        <f>IFERROR(__xludf.DUMMYFUNCTION("""COMPUTED_VALUE"""),"Bud Stracker - personal ")</f>
        <v>Bud Stracker - personal </v>
      </c>
      <c r="C2490" s="24">
        <f>IFERROR(__xludf.DUMMYFUNCTION("""COMPUTED_VALUE"""),7.0)</f>
        <v>7</v>
      </c>
      <c r="D2490" s="24"/>
      <c r="F2490" s="23">
        <f>IFERROR(__xludf.DUMMYFUNCTION("""COMPUTED_VALUE"""),44834.58605092593)</f>
        <v>44834.58605</v>
      </c>
      <c r="G2490" s="24" t="str">
        <f>IFERROR(__xludf.DUMMYFUNCTION("""COMPUTED_VALUE"""),"Claire")</f>
        <v>Claire</v>
      </c>
      <c r="H2490" s="24">
        <f>IFERROR(__xludf.DUMMYFUNCTION("""COMPUTED_VALUE"""),1494.0)</f>
        <v>1494</v>
      </c>
      <c r="I2490" s="24" t="str">
        <f>IFERROR(__xludf.DUMMYFUNCTION("""COMPUTED_VALUE"""),"Whitebox")</f>
        <v>Whitebox</v>
      </c>
    </row>
    <row r="2491">
      <c r="A2491" s="23">
        <f>IFERROR(__xludf.DUMMYFUNCTION("""COMPUTED_VALUE"""),44748.715905254634)</f>
        <v>44748.71591</v>
      </c>
      <c r="B2491" s="24" t="str">
        <f>IFERROR(__xludf.DUMMYFUNCTION("""COMPUTED_VALUE"""),"Marilyn Okine")</f>
        <v>Marilyn Okine</v>
      </c>
      <c r="C2491" s="24">
        <f>IFERROR(__xludf.DUMMYFUNCTION("""COMPUTED_VALUE"""),20.0)</f>
        <v>20</v>
      </c>
      <c r="D2491" s="24"/>
      <c r="F2491" s="23">
        <f>IFERROR(__xludf.DUMMYFUNCTION("""COMPUTED_VALUE"""),44834.58631672453)</f>
        <v>44834.58632</v>
      </c>
      <c r="G2491" s="24" t="str">
        <f>IFERROR(__xludf.DUMMYFUNCTION("""COMPUTED_VALUE"""),"Claire")</f>
        <v>Claire</v>
      </c>
      <c r="H2491" s="24">
        <f>IFERROR(__xludf.DUMMYFUNCTION("""COMPUTED_VALUE"""),1501.0)</f>
        <v>1501</v>
      </c>
      <c r="I2491" s="24" t="str">
        <f>IFERROR(__xludf.DUMMYFUNCTION("""COMPUTED_VALUE"""),"Whitebox")</f>
        <v>Whitebox</v>
      </c>
    </row>
    <row r="2492">
      <c r="A2492" s="23">
        <f>IFERROR(__xludf.DUMMYFUNCTION("""COMPUTED_VALUE"""),44748.73404167824)</f>
        <v>44748.73404</v>
      </c>
      <c r="B2492" s="24" t="str">
        <f>IFERROR(__xludf.DUMMYFUNCTION("""COMPUTED_VALUE"""),"Juanita Chandler")</f>
        <v>Juanita Chandler</v>
      </c>
      <c r="C2492" s="24">
        <f>IFERROR(__xludf.DUMMYFUNCTION("""COMPUTED_VALUE"""),5.0)</f>
        <v>5</v>
      </c>
      <c r="D2492" s="24"/>
      <c r="F2492" s="23">
        <f>IFERROR(__xludf.DUMMYFUNCTION("""COMPUTED_VALUE"""),44834.58660967592)</f>
        <v>44834.58661</v>
      </c>
      <c r="G2492" s="24" t="str">
        <f>IFERROR(__xludf.DUMMYFUNCTION("""COMPUTED_VALUE"""),"Claire")</f>
        <v>Claire</v>
      </c>
      <c r="H2492" s="24">
        <f>IFERROR(__xludf.DUMMYFUNCTION("""COMPUTED_VALUE"""),1493.0)</f>
        <v>1493</v>
      </c>
      <c r="I2492" s="24" t="str">
        <f>IFERROR(__xludf.DUMMYFUNCTION("""COMPUTED_VALUE"""),"Whitebox")</f>
        <v>Whitebox</v>
      </c>
    </row>
    <row r="2493">
      <c r="A2493" s="23">
        <f>IFERROR(__xludf.DUMMYFUNCTION("""COMPUTED_VALUE"""),44748.734478171296)</f>
        <v>44748.73448</v>
      </c>
      <c r="B2493" s="24" t="str">
        <f>IFERROR(__xludf.DUMMYFUNCTION("""COMPUTED_VALUE"""),"Juanita Chandler ")</f>
        <v>Juanita Chandler </v>
      </c>
      <c r="C2493" s="24">
        <f>IFERROR(__xludf.DUMMYFUNCTION("""COMPUTED_VALUE"""),71.0)</f>
        <v>71</v>
      </c>
      <c r="D2493" s="24"/>
      <c r="F2493" s="23">
        <f>IFERROR(__xludf.DUMMYFUNCTION("""COMPUTED_VALUE"""),44834.58686243056)</f>
        <v>44834.58686</v>
      </c>
      <c r="G2493" s="24" t="str">
        <f>IFERROR(__xludf.DUMMYFUNCTION("""COMPUTED_VALUE"""),"Claire")</f>
        <v>Claire</v>
      </c>
      <c r="H2493" s="24">
        <f>IFERROR(__xludf.DUMMYFUNCTION("""COMPUTED_VALUE"""),1492.0)</f>
        <v>1492</v>
      </c>
      <c r="I2493" s="24" t="str">
        <f>IFERROR(__xludf.DUMMYFUNCTION("""COMPUTED_VALUE"""),"Whitebox")</f>
        <v>Whitebox</v>
      </c>
    </row>
    <row r="2494">
      <c r="A2494" s="23">
        <f>IFERROR(__xludf.DUMMYFUNCTION("""COMPUTED_VALUE"""),44748.73886201389)</f>
        <v>44748.73886</v>
      </c>
      <c r="B2494" s="24" t="str">
        <f>IFERROR(__xludf.DUMMYFUNCTION("""COMPUTED_VALUE"""),"Karen")</f>
        <v>Karen</v>
      </c>
      <c r="C2494" s="24">
        <f>IFERROR(__xludf.DUMMYFUNCTION("""COMPUTED_VALUE"""),16.0)</f>
        <v>16</v>
      </c>
      <c r="D2494" s="24"/>
      <c r="F2494" s="23">
        <f>IFERROR(__xludf.DUMMYFUNCTION("""COMPUTED_VALUE"""),44834.58722356482)</f>
        <v>44834.58722</v>
      </c>
      <c r="G2494" s="24" t="str">
        <f>IFERROR(__xludf.DUMMYFUNCTION("""COMPUTED_VALUE"""),"Claire")</f>
        <v>Claire</v>
      </c>
      <c r="H2494" s="24">
        <f>IFERROR(__xludf.DUMMYFUNCTION("""COMPUTED_VALUE"""),760.0)</f>
        <v>760</v>
      </c>
      <c r="I2494" s="24" t="str">
        <f>IFERROR(__xludf.DUMMYFUNCTION("""COMPUTED_VALUE"""),"Whitebox")</f>
        <v>Whitebox</v>
      </c>
    </row>
    <row r="2495">
      <c r="A2495" s="23">
        <f>IFERROR(__xludf.DUMMYFUNCTION("""COMPUTED_VALUE"""),44748.739122847226)</f>
        <v>44748.73912</v>
      </c>
      <c r="B2495" s="24" t="str">
        <f>IFERROR(__xludf.DUMMYFUNCTION("""COMPUTED_VALUE"""),"Karen expired ")</f>
        <v>Karen expired </v>
      </c>
      <c r="C2495" s="24">
        <f>IFERROR(__xludf.DUMMYFUNCTION("""COMPUTED_VALUE"""),63.0)</f>
        <v>63</v>
      </c>
      <c r="D2495" s="24"/>
      <c r="F2495" s="23">
        <f>IFERROR(__xludf.DUMMYFUNCTION("""COMPUTED_VALUE"""),44834.58763615741)</f>
        <v>44834.58764</v>
      </c>
      <c r="G2495" s="24" t="str">
        <f>IFERROR(__xludf.DUMMYFUNCTION("""COMPUTED_VALUE"""),"Claire")</f>
        <v>Claire</v>
      </c>
      <c r="H2495" s="24">
        <f>IFERROR(__xludf.DUMMYFUNCTION("""COMPUTED_VALUE"""),916.0)</f>
        <v>916</v>
      </c>
      <c r="I2495" s="24" t="str">
        <f>IFERROR(__xludf.DUMMYFUNCTION("""COMPUTED_VALUE"""),"First Fruits Farm")</f>
        <v>First Fruits Farm</v>
      </c>
    </row>
    <row r="2496">
      <c r="A2496" s="23">
        <f>IFERROR(__xludf.DUMMYFUNCTION("""COMPUTED_VALUE"""),44748.7393928588)</f>
        <v>44748.73939</v>
      </c>
      <c r="B2496" s="24" t="str">
        <f>IFERROR(__xludf.DUMMYFUNCTION("""COMPUTED_VALUE"""),"Karen donation ")</f>
        <v>Karen donation </v>
      </c>
      <c r="C2496" s="24">
        <f>IFERROR(__xludf.DUMMYFUNCTION("""COMPUTED_VALUE"""),11.0)</f>
        <v>11</v>
      </c>
      <c r="D2496" s="24"/>
      <c r="F2496" s="23">
        <f>IFERROR(__xludf.DUMMYFUNCTION("""COMPUTED_VALUE"""),44834.5879027662)</f>
        <v>44834.5879</v>
      </c>
      <c r="G2496" s="24" t="str">
        <f>IFERROR(__xludf.DUMMYFUNCTION("""COMPUTED_VALUE"""),"Claire")</f>
        <v>Claire</v>
      </c>
      <c r="H2496" s="24">
        <f>IFERROR(__xludf.DUMMYFUNCTION("""COMPUTED_VALUE"""),1239.0)</f>
        <v>1239</v>
      </c>
      <c r="I2496" s="24" t="str">
        <f>IFERROR(__xludf.DUMMYFUNCTION("""COMPUTED_VALUE"""),"First Fruits Farm")</f>
        <v>First Fruits Farm</v>
      </c>
    </row>
    <row r="2497">
      <c r="A2497" s="23">
        <f>IFERROR(__xludf.DUMMYFUNCTION("""COMPUTED_VALUE"""),44748.86949146991)</f>
        <v>44748.86949</v>
      </c>
      <c r="B2497" s="24" t="str">
        <f>IFERROR(__xludf.DUMMYFUNCTION("""COMPUTED_VALUE"""),"Connor Gephart")</f>
        <v>Connor Gephart</v>
      </c>
      <c r="C2497" s="24">
        <f>IFERROR(__xludf.DUMMYFUNCTION("""COMPUTED_VALUE"""),12.0)</f>
        <v>12</v>
      </c>
      <c r="D2497" s="24"/>
      <c r="F2497" s="23">
        <f>IFERROR(__xludf.DUMMYFUNCTION("""COMPUTED_VALUE"""),44834.5880994676)</f>
        <v>44834.5881</v>
      </c>
      <c r="G2497" s="24" t="str">
        <f>IFERROR(__xludf.DUMMYFUNCTION("""COMPUTED_VALUE"""),"Claire")</f>
        <v>Claire</v>
      </c>
      <c r="H2497" s="24">
        <f>IFERROR(__xludf.DUMMYFUNCTION("""COMPUTED_VALUE"""),1095.0)</f>
        <v>1095</v>
      </c>
      <c r="I2497" s="24" t="str">
        <f>IFERROR(__xludf.DUMMYFUNCTION("""COMPUTED_VALUE"""),"First Fruits Farm")</f>
        <v>First Fruits Farm</v>
      </c>
    </row>
    <row r="2498">
      <c r="A2498" s="23">
        <f>IFERROR(__xludf.DUMMYFUNCTION("""COMPUTED_VALUE"""),44748.0)</f>
        <v>44748</v>
      </c>
      <c r="B2498" s="24" t="str">
        <f>IFERROR(__xludf.DUMMYFUNCTION("""COMPUTED_VALUE"""),"Camille")</f>
        <v>Camille</v>
      </c>
      <c r="C2498" s="24">
        <f>IFERROR(__xludf.DUMMYFUNCTION("""COMPUTED_VALUE"""),8.0)</f>
        <v>8</v>
      </c>
      <c r="D2498" s="24"/>
      <c r="F2498" s="23">
        <f>IFERROR(__xludf.DUMMYFUNCTION("""COMPUTED_VALUE"""),44834.58845466435)</f>
        <v>44834.58845</v>
      </c>
      <c r="G2498" s="24" t="str">
        <f>IFERROR(__xludf.DUMMYFUNCTION("""COMPUTED_VALUE"""),"Claire")</f>
        <v>Claire</v>
      </c>
      <c r="H2498" s="24">
        <f>IFERROR(__xludf.DUMMYFUNCTION("""COMPUTED_VALUE"""),114.0)</f>
        <v>114</v>
      </c>
      <c r="I2498" s="24" t="str">
        <f>IFERROR(__xludf.DUMMYFUNCTION("""COMPUTED_VALUE"""),"Jean (Cecil)")</f>
        <v>Jean (Cecil)</v>
      </c>
    </row>
    <row r="2499">
      <c r="A2499" s="23">
        <f>IFERROR(__xludf.DUMMYFUNCTION("""COMPUTED_VALUE"""),44748.87680327547)</f>
        <v>44748.8768</v>
      </c>
      <c r="B2499" s="24" t="str">
        <f>IFERROR(__xludf.DUMMYFUNCTION("""COMPUTED_VALUE"""),"Camille")</f>
        <v>Camille</v>
      </c>
      <c r="C2499" s="24">
        <f>IFERROR(__xludf.DUMMYFUNCTION("""COMPUTED_VALUE"""),10.0)</f>
        <v>10</v>
      </c>
      <c r="D2499" s="24"/>
      <c r="F2499" s="23">
        <f>IFERROR(__xludf.DUMMYFUNCTION("""COMPUTED_VALUE"""),44834.58901328703)</f>
        <v>44834.58901</v>
      </c>
      <c r="G2499" s="24" t="str">
        <f>IFERROR(__xludf.DUMMYFUNCTION("""COMPUTED_VALUE"""),"Claire")</f>
        <v>Claire</v>
      </c>
      <c r="H2499" s="24">
        <f>IFERROR(__xludf.DUMMYFUNCTION("""COMPUTED_VALUE"""),114.0)</f>
        <v>114</v>
      </c>
      <c r="I2499" s="24" t="str">
        <f>IFERROR(__xludf.DUMMYFUNCTION("""COMPUTED_VALUE"""),"Jean (Dallas Nicholas)")</f>
        <v>Jean (Dallas Nicholas)</v>
      </c>
    </row>
    <row r="2500">
      <c r="A2500" s="23">
        <f>IFERROR(__xludf.DUMMYFUNCTION("""COMPUTED_VALUE"""),44748.87687211805)</f>
        <v>44748.87687</v>
      </c>
      <c r="B2500" s="24" t="str">
        <f>IFERROR(__xludf.DUMMYFUNCTION("""COMPUTED_VALUE"""),"Cybil Bailey")</f>
        <v>Cybil Bailey</v>
      </c>
      <c r="C2500" s="24">
        <f>IFERROR(__xludf.DUMMYFUNCTION("""COMPUTED_VALUE"""),9.0)</f>
        <v>9</v>
      </c>
      <c r="D2500" s="24"/>
      <c r="F2500" s="23">
        <f>IFERROR(__xludf.DUMMYFUNCTION("""COMPUTED_VALUE"""),44834.640207743054)</f>
        <v>44834.64021</v>
      </c>
      <c r="G2500" s="24" t="str">
        <f>IFERROR(__xludf.DUMMYFUNCTION("""COMPUTED_VALUE"""),"Claire")</f>
        <v>Claire</v>
      </c>
      <c r="H2500" s="24">
        <f>IFERROR(__xludf.DUMMYFUNCTION("""COMPUTED_VALUE"""),675.0)</f>
        <v>675</v>
      </c>
      <c r="I2500" s="24" t="str">
        <f>IFERROR(__xludf.DUMMYFUNCTION("""COMPUTED_VALUE"""),"Produce")</f>
        <v>Produce</v>
      </c>
    </row>
    <row r="2501">
      <c r="A2501" s="23">
        <f>IFERROR(__xludf.DUMMYFUNCTION("""COMPUTED_VALUE"""),44748.8769196875)</f>
        <v>44748.87692</v>
      </c>
      <c r="B2501" s="24" t="str">
        <f>IFERROR(__xludf.DUMMYFUNCTION("""COMPUTED_VALUE"""),"Solene ")</f>
        <v>Solene </v>
      </c>
      <c r="C2501" s="24">
        <f>IFERROR(__xludf.DUMMYFUNCTION("""COMPUTED_VALUE"""),8.0)</f>
        <v>8</v>
      </c>
      <c r="D2501" s="24"/>
      <c r="F2501" s="23">
        <f>IFERROR(__xludf.DUMMYFUNCTION("""COMPUTED_VALUE"""),44834.64055835648)</f>
        <v>44834.64056</v>
      </c>
      <c r="G2501" s="24" t="str">
        <f>IFERROR(__xludf.DUMMYFUNCTION("""COMPUTED_VALUE"""),"Claire")</f>
        <v>Claire</v>
      </c>
      <c r="H2501" s="24">
        <f>IFERROR(__xludf.DUMMYFUNCTION("""COMPUTED_VALUE"""),58.0)</f>
        <v>58</v>
      </c>
      <c r="I2501" s="24" t="str">
        <f>IFERROR(__xludf.DUMMYFUNCTION("""COMPUTED_VALUE"""),"Snacks")</f>
        <v>Snacks</v>
      </c>
    </row>
    <row r="2502">
      <c r="A2502" s="23">
        <f>IFERROR(__xludf.DUMMYFUNCTION("""COMPUTED_VALUE"""),44748.88214431713)</f>
        <v>44748.88214</v>
      </c>
      <c r="B2502" s="24" t="str">
        <f>IFERROR(__xludf.DUMMYFUNCTION("""COMPUTED_VALUE"""),"Dee Satterfield")</f>
        <v>Dee Satterfield</v>
      </c>
      <c r="C2502" s="24">
        <f>IFERROR(__xludf.DUMMYFUNCTION("""COMPUTED_VALUE"""),20.0)</f>
        <v>20</v>
      </c>
      <c r="D2502" s="24"/>
      <c r="F2502" s="23">
        <f>IFERROR(__xludf.DUMMYFUNCTION("""COMPUTED_VALUE"""),44834.64089026621)</f>
        <v>44834.64089</v>
      </c>
      <c r="G2502" s="24" t="str">
        <f>IFERROR(__xludf.DUMMYFUNCTION("""COMPUTED_VALUE"""),"Claire")</f>
        <v>Claire</v>
      </c>
      <c r="H2502" s="24">
        <f>IFERROR(__xludf.DUMMYFUNCTION("""COMPUTED_VALUE"""),502.0)</f>
        <v>502</v>
      </c>
      <c r="I2502" s="24" t="str">
        <f>IFERROR(__xludf.DUMMYFUNCTION("""COMPUTED_VALUE"""),"Assorted Dry")</f>
        <v>Assorted Dry</v>
      </c>
    </row>
    <row r="2503">
      <c r="A2503" s="23">
        <f>IFERROR(__xludf.DUMMYFUNCTION("""COMPUTED_VALUE"""),44748.88251159722)</f>
        <v>44748.88251</v>
      </c>
      <c r="B2503" s="24" t="str">
        <f>IFERROR(__xludf.DUMMYFUNCTION("""COMPUTED_VALUE"""),"Dee Satterfield")</f>
        <v>Dee Satterfield</v>
      </c>
      <c r="C2503" s="24">
        <f>IFERROR(__xludf.DUMMYFUNCTION("""COMPUTED_VALUE"""),20.0)</f>
        <v>20</v>
      </c>
      <c r="D2503" s="24"/>
      <c r="F2503" s="23">
        <f>IFERROR(__xludf.DUMMYFUNCTION("""COMPUTED_VALUE"""),44834.64111284722)</f>
        <v>44834.64111</v>
      </c>
      <c r="G2503" s="24" t="str">
        <f>IFERROR(__xludf.DUMMYFUNCTION("""COMPUTED_VALUE"""),"Claire")</f>
        <v>Claire</v>
      </c>
      <c r="H2503" s="24">
        <f>IFERROR(__xludf.DUMMYFUNCTION("""COMPUTED_VALUE"""),653.0)</f>
        <v>653</v>
      </c>
      <c r="I2503" s="24" t="str">
        <f>IFERROR(__xludf.DUMMYFUNCTION("""COMPUTED_VALUE"""),"Produce")</f>
        <v>Produce</v>
      </c>
    </row>
    <row r="2504">
      <c r="A2504" s="23">
        <f>IFERROR(__xludf.DUMMYFUNCTION("""COMPUTED_VALUE"""),44748.896399247686)</f>
        <v>44748.8964</v>
      </c>
      <c r="B2504" s="24" t="str">
        <f>IFERROR(__xludf.DUMMYFUNCTION("""COMPUTED_VALUE"""),"Shaneen")</f>
        <v>Shaneen</v>
      </c>
      <c r="C2504" s="24">
        <f>IFERROR(__xludf.DUMMYFUNCTION("""COMPUTED_VALUE"""),24.0)</f>
        <v>24</v>
      </c>
      <c r="D2504" s="24"/>
      <c r="F2504" s="23">
        <f>IFERROR(__xludf.DUMMYFUNCTION("""COMPUTED_VALUE"""),44834.64139166667)</f>
        <v>44834.64139</v>
      </c>
      <c r="G2504" s="24" t="str">
        <f>IFERROR(__xludf.DUMMYFUNCTION("""COMPUTED_VALUE"""),"Claire")</f>
        <v>Claire</v>
      </c>
      <c r="H2504" s="24">
        <f>IFERROR(__xludf.DUMMYFUNCTION("""COMPUTED_VALUE"""),512.0)</f>
        <v>512</v>
      </c>
      <c r="I2504" s="24" t="str">
        <f>IFERROR(__xludf.DUMMYFUNCTION("""COMPUTED_VALUE"""),"Assorted Dry")</f>
        <v>Assorted Dry</v>
      </c>
    </row>
    <row r="2505">
      <c r="A2505" s="23">
        <f>IFERROR(__xludf.DUMMYFUNCTION("""COMPUTED_VALUE"""),44748.89657959491)</f>
        <v>44748.89658</v>
      </c>
      <c r="B2505" s="24" t="str">
        <f>IFERROR(__xludf.DUMMYFUNCTION("""COMPUTED_VALUE"""),"Shaneen Expired Food")</f>
        <v>Shaneen Expired Food</v>
      </c>
      <c r="C2505" s="24">
        <f>IFERROR(__xludf.DUMMYFUNCTION("""COMPUTED_VALUE"""),34.0)</f>
        <v>34</v>
      </c>
      <c r="D2505" s="24"/>
      <c r="F2505" s="23">
        <f>IFERROR(__xludf.DUMMYFUNCTION("""COMPUTED_VALUE"""),44834.641566481485)</f>
        <v>44834.64157</v>
      </c>
      <c r="G2505" s="24" t="str">
        <f>IFERROR(__xludf.DUMMYFUNCTION("""COMPUTED_VALUE"""),"Claire")</f>
        <v>Claire</v>
      </c>
      <c r="H2505" s="24">
        <f>IFERROR(__xludf.DUMMYFUNCTION("""COMPUTED_VALUE"""),50.0)</f>
        <v>50</v>
      </c>
      <c r="I2505" s="24" t="str">
        <f>IFERROR(__xludf.DUMMYFUNCTION("""COMPUTED_VALUE"""),"Snacks")</f>
        <v>Snacks</v>
      </c>
    </row>
    <row r="2506">
      <c r="A2506" s="23">
        <f>IFERROR(__xludf.DUMMYFUNCTION("""COMPUTED_VALUE"""),44749.0)</f>
        <v>44749</v>
      </c>
      <c r="B2506" s="24" t="str">
        <f>IFERROR(__xludf.DUMMYFUNCTION("""COMPUTED_VALUE"""),"Denise Brown")</f>
        <v>Denise Brown</v>
      </c>
      <c r="C2506" s="24">
        <f>IFERROR(__xludf.DUMMYFUNCTION("""COMPUTED_VALUE"""),20.0)</f>
        <v>20</v>
      </c>
      <c r="D2506" s="24"/>
      <c r="F2506" s="23">
        <f>IFERROR(__xludf.DUMMYFUNCTION("""COMPUTED_VALUE"""),44834.647149236116)</f>
        <v>44834.64715</v>
      </c>
      <c r="G2506" s="24" t="str">
        <f>IFERROR(__xludf.DUMMYFUNCTION("""COMPUTED_VALUE"""),"Sunita pathik")</f>
        <v>Sunita pathik</v>
      </c>
      <c r="H2506" s="24">
        <f>IFERROR(__xludf.DUMMYFUNCTION("""COMPUTED_VALUE"""),5.0)</f>
        <v>5</v>
      </c>
      <c r="I2506" s="24"/>
    </row>
    <row r="2507">
      <c r="A2507" s="23">
        <f>IFERROR(__xludf.DUMMYFUNCTION("""COMPUTED_VALUE"""),44749.0)</f>
        <v>44749</v>
      </c>
      <c r="B2507" s="24" t="str">
        <f>IFERROR(__xludf.DUMMYFUNCTION("""COMPUTED_VALUE"""),"Hong Xue")</f>
        <v>Hong Xue</v>
      </c>
      <c r="C2507" s="24">
        <f>IFERROR(__xludf.DUMMYFUNCTION("""COMPUTED_VALUE"""),21.0)</f>
        <v>21</v>
      </c>
      <c r="D2507" s="24"/>
      <c r="F2507" s="23">
        <f>IFERROR(__xludf.DUMMYFUNCTION("""COMPUTED_VALUE"""),44834.64769706019)</f>
        <v>44834.6477</v>
      </c>
      <c r="G2507" s="24" t="str">
        <f>IFERROR(__xludf.DUMMYFUNCTION("""COMPUTED_VALUE"""),"Sunita pathik")</f>
        <v>Sunita pathik</v>
      </c>
      <c r="H2507" s="24">
        <f>IFERROR(__xludf.DUMMYFUNCTION("""COMPUTED_VALUE"""),100.0)</f>
        <v>100</v>
      </c>
      <c r="I2507" s="24" t="str">
        <f>IFERROR(__xludf.DUMMYFUNCTION("""COMPUTED_VALUE"""),"Assorted Fridge")</f>
        <v>Assorted Fridge</v>
      </c>
    </row>
    <row r="2508">
      <c r="A2508" s="23">
        <f>IFERROR(__xludf.DUMMYFUNCTION("""COMPUTED_VALUE"""),44749.0)</f>
        <v>44749</v>
      </c>
      <c r="B2508" s="24" t="str">
        <f>IFERROR(__xludf.DUMMYFUNCTION("""COMPUTED_VALUE"""),"Hong Xue")</f>
        <v>Hong Xue</v>
      </c>
      <c r="C2508" s="24">
        <f>IFERROR(__xludf.DUMMYFUNCTION("""COMPUTED_VALUE"""),51.0)</f>
        <v>51</v>
      </c>
      <c r="D2508" s="24"/>
      <c r="F2508" s="23">
        <f>IFERROR(__xludf.DUMMYFUNCTION("""COMPUTED_VALUE"""),44834.70629458334)</f>
        <v>44834.70629</v>
      </c>
      <c r="G2508" s="24" t="str">
        <f>IFERROR(__xludf.DUMMYFUNCTION("""COMPUTED_VALUE"""),"Beth Torres")</f>
        <v>Beth Torres</v>
      </c>
      <c r="H2508" s="24">
        <f>IFERROR(__xludf.DUMMYFUNCTION("""COMPUTED_VALUE"""),12.0)</f>
        <v>12</v>
      </c>
      <c r="I2508" s="24"/>
    </row>
    <row r="2509">
      <c r="A2509" s="23">
        <f>IFERROR(__xludf.DUMMYFUNCTION("""COMPUTED_VALUE"""),44749.0)</f>
        <v>44749</v>
      </c>
      <c r="B2509" s="24" t="str">
        <f>IFERROR(__xludf.DUMMYFUNCTION("""COMPUTED_VALUE"""),"Marci")</f>
        <v>Marci</v>
      </c>
      <c r="C2509" s="24">
        <f>IFERROR(__xludf.DUMMYFUNCTION("""COMPUTED_VALUE"""),20.0)</f>
        <v>20</v>
      </c>
      <c r="D2509" s="24"/>
      <c r="F2509" s="23">
        <f>IFERROR(__xludf.DUMMYFUNCTION("""COMPUTED_VALUE"""),44834.70647484954)</f>
        <v>44834.70647</v>
      </c>
      <c r="G2509" s="24" t="str">
        <f>IFERROR(__xludf.DUMMYFUNCTION("""COMPUTED_VALUE"""),"Beth Torres")</f>
        <v>Beth Torres</v>
      </c>
      <c r="H2509" s="24">
        <f>IFERROR(__xludf.DUMMYFUNCTION("""COMPUTED_VALUE"""),11.0)</f>
        <v>11</v>
      </c>
      <c r="I2509" s="24" t="str">
        <f>IFERROR(__xludf.DUMMYFUNCTION("""COMPUTED_VALUE"""),"Damage/expired/extra")</f>
        <v>Damage/expired/extra</v>
      </c>
    </row>
    <row r="2510">
      <c r="A2510" s="23">
        <f>IFERROR(__xludf.DUMMYFUNCTION("""COMPUTED_VALUE"""),44749.0)</f>
        <v>44749</v>
      </c>
      <c r="B2510" s="24" t="str">
        <f>IFERROR(__xludf.DUMMYFUNCTION("""COMPUTED_VALUE"""),"Marci")</f>
        <v>Marci</v>
      </c>
      <c r="C2510" s="24">
        <f>IFERROR(__xludf.DUMMYFUNCTION("""COMPUTED_VALUE"""),24.0)</f>
        <v>24</v>
      </c>
      <c r="D2510" s="24"/>
      <c r="F2510" s="23">
        <f>IFERROR(__xludf.DUMMYFUNCTION("""COMPUTED_VALUE"""),44835.0)</f>
        <v>44835</v>
      </c>
      <c r="G2510" s="24" t="str">
        <f>IFERROR(__xludf.DUMMYFUNCTION("""COMPUTED_VALUE"""),"Juanita Chandler")</f>
        <v>Juanita Chandler</v>
      </c>
      <c r="H2510" s="24">
        <f>IFERROR(__xludf.DUMMYFUNCTION("""COMPUTED_VALUE"""),8.0)</f>
        <v>8</v>
      </c>
      <c r="I2510" s="24"/>
    </row>
    <row r="2511">
      <c r="A2511" s="23">
        <f>IFERROR(__xludf.DUMMYFUNCTION("""COMPUTED_VALUE"""),44749.0)</f>
        <v>44749</v>
      </c>
      <c r="B2511" s="24" t="str">
        <f>IFERROR(__xludf.DUMMYFUNCTION("""COMPUTED_VALUE"""),"Nathaniel Mcclean")</f>
        <v>Nathaniel Mcclean</v>
      </c>
      <c r="C2511" s="24">
        <f>IFERROR(__xludf.DUMMYFUNCTION("""COMPUTED_VALUE"""),17.0)</f>
        <v>17</v>
      </c>
      <c r="D2511" s="24"/>
      <c r="F2511" s="23">
        <f>IFERROR(__xludf.DUMMYFUNCTION("""COMPUTED_VALUE"""),44835.0)</f>
        <v>44835</v>
      </c>
      <c r="G2511" s="24" t="str">
        <f>IFERROR(__xludf.DUMMYFUNCTION("""COMPUTED_VALUE"""),"Juanita Chandler")</f>
        <v>Juanita Chandler</v>
      </c>
      <c r="H2511" s="24">
        <f>IFERROR(__xludf.DUMMYFUNCTION("""COMPUTED_VALUE"""),4.0)</f>
        <v>4</v>
      </c>
      <c r="I2511" s="24" t="str">
        <f>IFERROR(__xludf.DUMMYFUNCTION("""COMPUTED_VALUE"""),"Damage/expired/extra")</f>
        <v>Damage/expired/extra</v>
      </c>
    </row>
    <row r="2512">
      <c r="A2512" s="23">
        <f>IFERROR(__xludf.DUMMYFUNCTION("""COMPUTED_VALUE"""),44749.0)</f>
        <v>44749</v>
      </c>
      <c r="B2512" s="24" t="str">
        <f>IFERROR(__xludf.DUMMYFUNCTION("""COMPUTED_VALUE"""),"Nathaniel Mcclean")</f>
        <v>Nathaniel Mcclean</v>
      </c>
      <c r="C2512" s="24">
        <f>IFERROR(__xludf.DUMMYFUNCTION("""COMPUTED_VALUE"""),12.0)</f>
        <v>12</v>
      </c>
      <c r="D2512" s="24"/>
      <c r="F2512" s="23">
        <f>IFERROR(__xludf.DUMMYFUNCTION("""COMPUTED_VALUE"""),44835.0)</f>
        <v>44835</v>
      </c>
      <c r="G2512" s="24" t="str">
        <f>IFERROR(__xludf.DUMMYFUNCTION("""COMPUTED_VALUE"""),"Denise Wilkins")</f>
        <v>Denise Wilkins</v>
      </c>
      <c r="H2512" s="24">
        <f>IFERROR(__xludf.DUMMYFUNCTION("""COMPUTED_VALUE"""),20.0)</f>
        <v>20</v>
      </c>
      <c r="I2512" s="24"/>
    </row>
    <row r="2513">
      <c r="A2513" s="23">
        <f>IFERROR(__xludf.DUMMYFUNCTION("""COMPUTED_VALUE"""),44749.7026040625)</f>
        <v>44749.7026</v>
      </c>
      <c r="B2513" s="24" t="str">
        <f>IFERROR(__xludf.DUMMYFUNCTION("""COMPUTED_VALUE"""),"Norma Kriger")</f>
        <v>Norma Kriger</v>
      </c>
      <c r="C2513" s="24">
        <f>IFERROR(__xludf.DUMMYFUNCTION("""COMPUTED_VALUE"""),16.0)</f>
        <v>16</v>
      </c>
      <c r="D2513" s="24"/>
      <c r="F2513" s="23">
        <f>IFERROR(__xludf.DUMMYFUNCTION("""COMPUTED_VALUE"""),44835.0)</f>
        <v>44835</v>
      </c>
      <c r="G2513" s="24" t="str">
        <f>IFERROR(__xludf.DUMMYFUNCTION("""COMPUTED_VALUE"""),"Denise Wilkins")</f>
        <v>Denise Wilkins</v>
      </c>
      <c r="H2513" s="24">
        <f>IFERROR(__xludf.DUMMYFUNCTION("""COMPUTED_VALUE"""),16.0)</f>
        <v>16</v>
      </c>
      <c r="I2513" s="24" t="str">
        <f>IFERROR(__xludf.DUMMYFUNCTION("""COMPUTED_VALUE"""),"Damage/expired/extra")</f>
        <v>Damage/expired/extra</v>
      </c>
    </row>
    <row r="2514">
      <c r="A2514" s="23">
        <f>IFERROR(__xludf.DUMMYFUNCTION("""COMPUTED_VALUE"""),44749.703682719904)</f>
        <v>44749.70368</v>
      </c>
      <c r="B2514" s="24" t="str">
        <f>IFERROR(__xludf.DUMMYFUNCTION("""COMPUTED_VALUE"""),"Jean")</f>
        <v>Jean</v>
      </c>
      <c r="C2514" s="24">
        <f>IFERROR(__xludf.DUMMYFUNCTION("""COMPUTED_VALUE"""),33.0)</f>
        <v>33</v>
      </c>
      <c r="D2514" s="24"/>
      <c r="F2514" s="23">
        <f>IFERROR(__xludf.DUMMYFUNCTION("""COMPUTED_VALUE"""),44835.0)</f>
        <v>44835</v>
      </c>
      <c r="G2514" s="24" t="str">
        <f>IFERROR(__xludf.DUMMYFUNCTION("""COMPUTED_VALUE"""),"Kye Toussaint ")</f>
        <v>Kye Toussaint </v>
      </c>
      <c r="H2514" s="24">
        <f>IFERROR(__xludf.DUMMYFUNCTION("""COMPUTED_VALUE"""),2.0)</f>
        <v>2</v>
      </c>
      <c r="I2514" s="24" t="str">
        <f>IFERROR(__xludf.DUMMYFUNCTION("""COMPUTED_VALUE"""),"Damage/expired/extra")</f>
        <v>Damage/expired/extra</v>
      </c>
    </row>
    <row r="2515">
      <c r="A2515" s="23">
        <f>IFERROR(__xludf.DUMMYFUNCTION("""COMPUTED_VALUE"""),44749.703923865745)</f>
        <v>44749.70392</v>
      </c>
      <c r="B2515" s="24" t="str">
        <f>IFERROR(__xludf.DUMMYFUNCTION("""COMPUTED_VALUE"""),"Jean    xtra")</f>
        <v>Jean    xtra</v>
      </c>
      <c r="C2515" s="24">
        <f>IFERROR(__xludf.DUMMYFUNCTION("""COMPUTED_VALUE"""),4.0)</f>
        <v>4</v>
      </c>
      <c r="D2515" s="24"/>
      <c r="F2515" s="23">
        <f>IFERROR(__xludf.DUMMYFUNCTION("""COMPUTED_VALUE"""),44835.0)</f>
        <v>44835</v>
      </c>
      <c r="G2515" s="24" t="str">
        <f>IFERROR(__xludf.DUMMYFUNCTION("""COMPUTED_VALUE"""),"Adriana")</f>
        <v>Adriana</v>
      </c>
      <c r="H2515" s="24">
        <f>IFERROR(__xludf.DUMMYFUNCTION("""COMPUTED_VALUE"""),5.0)</f>
        <v>5</v>
      </c>
      <c r="I2515" s="24" t="str">
        <f>IFERROR(__xludf.DUMMYFUNCTION("""COMPUTED_VALUE"""),"Damage/expired/extra")</f>
        <v>Damage/expired/extra</v>
      </c>
    </row>
    <row r="2516">
      <c r="A2516" s="23">
        <f>IFERROR(__xludf.DUMMYFUNCTION("""COMPUTED_VALUE"""),44749.709955590275)</f>
        <v>44749.70996</v>
      </c>
      <c r="B2516" s="24" t="str">
        <f>IFERROR(__xludf.DUMMYFUNCTION("""COMPUTED_VALUE"""),"Monah expired")</f>
        <v>Monah expired</v>
      </c>
      <c r="C2516" s="24">
        <f>IFERROR(__xludf.DUMMYFUNCTION("""COMPUTED_VALUE"""),47.0)</f>
        <v>47</v>
      </c>
      <c r="D2516" s="24"/>
      <c r="F2516" s="23">
        <f>IFERROR(__xludf.DUMMYFUNCTION("""COMPUTED_VALUE"""),44835.0)</f>
        <v>44835</v>
      </c>
      <c r="G2516" s="24" t="str">
        <f>IFERROR(__xludf.DUMMYFUNCTION("""COMPUTED_VALUE"""),"Dean Chien")</f>
        <v>Dean Chien</v>
      </c>
      <c r="H2516" s="24">
        <f>IFERROR(__xludf.DUMMYFUNCTION("""COMPUTED_VALUE"""),4.0)</f>
        <v>4</v>
      </c>
      <c r="I2516" s="24" t="str">
        <f>IFERROR(__xludf.DUMMYFUNCTION("""COMPUTED_VALUE"""),"Damage/expired/extra")</f>
        <v>Damage/expired/extra</v>
      </c>
    </row>
    <row r="2517">
      <c r="A2517" s="23">
        <f>IFERROR(__xludf.DUMMYFUNCTION("""COMPUTED_VALUE"""),44749.71012339121)</f>
        <v>44749.71012</v>
      </c>
      <c r="B2517" s="24" t="str">
        <f>IFERROR(__xludf.DUMMYFUNCTION("""COMPUTED_VALUE"""),"Monah ")</f>
        <v>Monah </v>
      </c>
      <c r="C2517" s="24">
        <f>IFERROR(__xludf.DUMMYFUNCTION("""COMPUTED_VALUE"""),20.0)</f>
        <v>20</v>
      </c>
      <c r="D2517" s="24"/>
      <c r="F2517" s="23">
        <f>IFERROR(__xludf.DUMMYFUNCTION("""COMPUTED_VALUE"""),44835.0)</f>
        <v>44835</v>
      </c>
      <c r="G2517" s="24" t="str">
        <f>IFERROR(__xludf.DUMMYFUNCTION("""COMPUTED_VALUE"""),"Lynette Cromer")</f>
        <v>Lynette Cromer</v>
      </c>
      <c r="H2517" s="24">
        <f>IFERROR(__xludf.DUMMYFUNCTION("""COMPUTED_VALUE"""),7.0)</f>
        <v>7</v>
      </c>
      <c r="I2517" s="24" t="str">
        <f>IFERROR(__xludf.DUMMYFUNCTION("""COMPUTED_VALUE"""),"Damage/expired/extra")</f>
        <v>Damage/expired/extra</v>
      </c>
    </row>
    <row r="2518">
      <c r="A2518" s="23">
        <f>IFERROR(__xludf.DUMMYFUNCTION("""COMPUTED_VALUE"""),44749.71201864583)</f>
        <v>44749.71202</v>
      </c>
      <c r="B2518" s="24" t="str">
        <f>IFERROR(__xludf.DUMMYFUNCTION("""COMPUTED_VALUE"""),"Monah expired")</f>
        <v>Monah expired</v>
      </c>
      <c r="C2518" s="24">
        <f>IFERROR(__xludf.DUMMYFUNCTION("""COMPUTED_VALUE"""),26.0)</f>
        <v>26</v>
      </c>
      <c r="D2518" s="24"/>
      <c r="F2518" s="23">
        <f>IFERROR(__xludf.DUMMYFUNCTION("""COMPUTED_VALUE"""),44835.69011732639)</f>
        <v>44835.69012</v>
      </c>
      <c r="G2518" s="24" t="str">
        <f>IFERROR(__xludf.DUMMYFUNCTION("""COMPUTED_VALUE"""),"Claire")</f>
        <v>Claire</v>
      </c>
      <c r="H2518" s="24">
        <f>IFERROR(__xludf.DUMMYFUNCTION("""COMPUTED_VALUE"""),48.0)</f>
        <v>48</v>
      </c>
      <c r="I2518" s="24" t="str">
        <f>IFERROR(__xludf.DUMMYFUNCTION("""COMPUTED_VALUE"""),"Cleaning Supplies")</f>
        <v>Cleaning Supplies</v>
      </c>
    </row>
    <row r="2519">
      <c r="A2519" s="23">
        <f>IFERROR(__xludf.DUMMYFUNCTION("""COMPUTED_VALUE"""),44749.714853171296)</f>
        <v>44749.71485</v>
      </c>
      <c r="B2519" s="24" t="str">
        <f>IFERROR(__xludf.DUMMYFUNCTION("""COMPUTED_VALUE"""),"Jean.  Xtra")</f>
        <v>Jean.  Xtra</v>
      </c>
      <c r="C2519" s="24">
        <f>IFERROR(__xludf.DUMMYFUNCTION("""COMPUTED_VALUE"""),7.0)</f>
        <v>7</v>
      </c>
      <c r="D2519" s="24"/>
      <c r="F2519" s="23">
        <f>IFERROR(__xludf.DUMMYFUNCTION("""COMPUTED_VALUE"""),44835.690400706015)</f>
        <v>44835.6904</v>
      </c>
      <c r="G2519" s="24" t="str">
        <f>IFERROR(__xludf.DUMMYFUNCTION("""COMPUTED_VALUE"""),"Claire")</f>
        <v>Claire</v>
      </c>
      <c r="H2519" s="24">
        <f>IFERROR(__xludf.DUMMYFUNCTION("""COMPUTED_VALUE"""),71.0)</f>
        <v>71</v>
      </c>
      <c r="I2519" s="24" t="str">
        <f>IFERROR(__xludf.DUMMYFUNCTION("""COMPUTED_VALUE"""),"Hum Toothbrush")</f>
        <v>Hum Toothbrush</v>
      </c>
    </row>
    <row r="2520">
      <c r="A2520" s="23">
        <f>IFERROR(__xludf.DUMMYFUNCTION("""COMPUTED_VALUE"""),44749.86108275463)</f>
        <v>44749.86108</v>
      </c>
      <c r="B2520" s="24" t="str">
        <f>IFERROR(__xludf.DUMMYFUNCTION("""COMPUTED_VALUE"""),"Kay Fenton")</f>
        <v>Kay Fenton</v>
      </c>
      <c r="C2520" s="24">
        <f>IFERROR(__xludf.DUMMYFUNCTION("""COMPUTED_VALUE"""),9.0)</f>
        <v>9</v>
      </c>
      <c r="D2520" s="24"/>
      <c r="F2520" s="23">
        <f>IFERROR(__xludf.DUMMYFUNCTION("""COMPUTED_VALUE"""),44835.69120850694)</f>
        <v>44835.69121</v>
      </c>
      <c r="G2520" s="24" t="str">
        <f>IFERROR(__xludf.DUMMYFUNCTION("""COMPUTED_VALUE"""),"Claire")</f>
        <v>Claire</v>
      </c>
      <c r="H2520" s="24">
        <f>IFERROR(__xludf.DUMMYFUNCTION("""COMPUTED_VALUE"""),187.0)</f>
        <v>187</v>
      </c>
      <c r="I2520" s="24" t="str">
        <f>IFERROR(__xludf.DUMMYFUNCTION("""COMPUTED_VALUE"""),"Produce")</f>
        <v>Produce</v>
      </c>
    </row>
    <row r="2521">
      <c r="A2521" s="23">
        <f>IFERROR(__xludf.DUMMYFUNCTION("""COMPUTED_VALUE"""),44750.0)</f>
        <v>44750</v>
      </c>
      <c r="B2521" s="24" t="str">
        <f>IFERROR(__xludf.DUMMYFUNCTION("""COMPUTED_VALUE"""),"Juanita C")</f>
        <v>Juanita C</v>
      </c>
      <c r="C2521" s="24">
        <f>IFERROR(__xludf.DUMMYFUNCTION("""COMPUTED_VALUE"""),18.0)</f>
        <v>18</v>
      </c>
      <c r="D2521" s="24"/>
      <c r="F2521" s="23">
        <f>IFERROR(__xludf.DUMMYFUNCTION("""COMPUTED_VALUE"""),44835.69151412037)</f>
        <v>44835.69151</v>
      </c>
      <c r="G2521" s="24" t="str">
        <f>IFERROR(__xludf.DUMMYFUNCTION("""COMPUTED_VALUE"""),"Claire")</f>
        <v>Claire</v>
      </c>
      <c r="H2521" s="24">
        <f>IFERROR(__xludf.DUMMYFUNCTION("""COMPUTED_VALUE"""),358.0)</f>
        <v>358</v>
      </c>
      <c r="I2521" s="24" t="str">
        <f>IFERROR(__xludf.DUMMYFUNCTION("""COMPUTED_VALUE"""),"Produce")</f>
        <v>Produce</v>
      </c>
    </row>
    <row r="2522">
      <c r="A2522" s="23">
        <f>IFERROR(__xludf.DUMMYFUNCTION("""COMPUTED_VALUE"""),44750.0)</f>
        <v>44750</v>
      </c>
      <c r="B2522" s="24" t="str">
        <f>IFERROR(__xludf.DUMMYFUNCTION("""COMPUTED_VALUE"""),"Juanita C")</f>
        <v>Juanita C</v>
      </c>
      <c r="C2522" s="24">
        <f>IFERROR(__xludf.DUMMYFUNCTION("""COMPUTED_VALUE"""),8.0)</f>
        <v>8</v>
      </c>
      <c r="D2522" s="24"/>
      <c r="F2522" s="23">
        <f>IFERROR(__xludf.DUMMYFUNCTION("""COMPUTED_VALUE"""),44835.69178728009)</f>
        <v>44835.69179</v>
      </c>
      <c r="G2522" s="24" t="str">
        <f>IFERROR(__xludf.DUMMYFUNCTION("""COMPUTED_VALUE"""),"Claire")</f>
        <v>Claire</v>
      </c>
      <c r="H2522" s="24">
        <f>IFERROR(__xludf.DUMMYFUNCTION("""COMPUTED_VALUE"""),785.0)</f>
        <v>785</v>
      </c>
      <c r="I2522" s="24" t="str">
        <f>IFERROR(__xludf.DUMMYFUNCTION("""COMPUTED_VALUE"""),"Produce")</f>
        <v>Produce</v>
      </c>
    </row>
    <row r="2523">
      <c r="A2523" s="23">
        <f>IFERROR(__xludf.DUMMYFUNCTION("""COMPUTED_VALUE"""),44750.70194881944)</f>
        <v>44750.70195</v>
      </c>
      <c r="B2523" s="24" t="str">
        <f>IFERROR(__xludf.DUMMYFUNCTION("""COMPUTED_VALUE"""),"Dorja ")</f>
        <v>Dorja </v>
      </c>
      <c r="C2523" s="24">
        <f>IFERROR(__xludf.DUMMYFUNCTION("""COMPUTED_VALUE"""),22.0)</f>
        <v>22</v>
      </c>
      <c r="D2523" s="24"/>
      <c r="F2523" s="23">
        <f>IFERROR(__xludf.DUMMYFUNCTION("""COMPUTED_VALUE"""),44835.69204512731)</f>
        <v>44835.69205</v>
      </c>
      <c r="G2523" s="24" t="str">
        <f>IFERROR(__xludf.DUMMYFUNCTION("""COMPUTED_VALUE"""),"Claire")</f>
        <v>Claire</v>
      </c>
      <c r="H2523" s="24">
        <f>IFERROR(__xludf.DUMMYFUNCTION("""COMPUTED_VALUE"""),536.0)</f>
        <v>536</v>
      </c>
      <c r="I2523" s="24" t="str">
        <f>IFERROR(__xludf.DUMMYFUNCTION("""COMPUTED_VALUE"""),"Cleaning Supplies")</f>
        <v>Cleaning Supplies</v>
      </c>
    </row>
    <row r="2524">
      <c r="A2524" s="23">
        <f>IFERROR(__xludf.DUMMYFUNCTION("""COMPUTED_VALUE"""),44750.0)</f>
        <v>44750</v>
      </c>
      <c r="B2524" s="24" t="str">
        <f>IFERROR(__xludf.DUMMYFUNCTION("""COMPUTED_VALUE"""),"Dorja ")</f>
        <v>Dorja </v>
      </c>
      <c r="C2524" s="24">
        <f>IFERROR(__xludf.DUMMYFUNCTION("""COMPUTED_VALUE"""),17.0)</f>
        <v>17</v>
      </c>
      <c r="D2524" s="24"/>
      <c r="F2524" s="23">
        <f>IFERROR(__xludf.DUMMYFUNCTION("""COMPUTED_VALUE"""),44835.69230718749)</f>
        <v>44835.69231</v>
      </c>
      <c r="G2524" s="24" t="str">
        <f>IFERROR(__xludf.DUMMYFUNCTION("""COMPUTED_VALUE"""),"Claire")</f>
        <v>Claire</v>
      </c>
      <c r="H2524" s="24">
        <f>IFERROR(__xludf.DUMMYFUNCTION("""COMPUTED_VALUE"""),80.0)</f>
        <v>80</v>
      </c>
      <c r="I2524" s="24" t="str">
        <f>IFERROR(__xludf.DUMMYFUNCTION("""COMPUTED_VALUE"""),"Snacks")</f>
        <v>Snacks</v>
      </c>
    </row>
    <row r="2525">
      <c r="A2525" s="23">
        <f>IFERROR(__xludf.DUMMYFUNCTION("""COMPUTED_VALUE"""),44750.70755829861)</f>
        <v>44750.70756</v>
      </c>
      <c r="B2525" s="24" t="str">
        <f>IFERROR(__xludf.DUMMYFUNCTION("""COMPUTED_VALUE"""),"Sunita Pathik")</f>
        <v>Sunita Pathik</v>
      </c>
      <c r="C2525" s="24">
        <f>IFERROR(__xludf.DUMMYFUNCTION("""COMPUTED_VALUE"""),6.0)</f>
        <v>6</v>
      </c>
      <c r="D2525" s="24"/>
      <c r="F2525" s="23">
        <f>IFERROR(__xludf.DUMMYFUNCTION("""COMPUTED_VALUE"""),44835.69251217593)</f>
        <v>44835.69251</v>
      </c>
      <c r="G2525" s="24" t="str">
        <f>IFERROR(__xludf.DUMMYFUNCTION("""COMPUTED_VALUE"""),"Claire")</f>
        <v>Claire</v>
      </c>
      <c r="H2525" s="24">
        <f>IFERROR(__xludf.DUMMYFUNCTION("""COMPUTED_VALUE"""),115.0)</f>
        <v>115</v>
      </c>
      <c r="I2525" s="24" t="str">
        <f>IFERROR(__xludf.DUMMYFUNCTION("""COMPUTED_VALUE"""),"Snacks")</f>
        <v>Snacks</v>
      </c>
    </row>
    <row r="2526">
      <c r="A2526" s="23">
        <f>IFERROR(__xludf.DUMMYFUNCTION("""COMPUTED_VALUE"""),44750.70858116898)</f>
        <v>44750.70858</v>
      </c>
      <c r="B2526" s="24" t="str">
        <f>IFERROR(__xludf.DUMMYFUNCTION("""COMPUTED_VALUE"""),"Beth Torres")</f>
        <v>Beth Torres</v>
      </c>
      <c r="C2526" s="24">
        <f>IFERROR(__xludf.DUMMYFUNCTION("""COMPUTED_VALUE"""),19.0)</f>
        <v>19</v>
      </c>
      <c r="D2526" s="24"/>
      <c r="F2526" s="23">
        <f>IFERROR(__xludf.DUMMYFUNCTION("""COMPUTED_VALUE"""),44835.69274086806)</f>
        <v>44835.69274</v>
      </c>
      <c r="G2526" s="24" t="str">
        <f>IFERROR(__xludf.DUMMYFUNCTION("""COMPUTED_VALUE"""),"Claire")</f>
        <v>Claire</v>
      </c>
      <c r="H2526" s="24">
        <f>IFERROR(__xludf.DUMMYFUNCTION("""COMPUTED_VALUE"""),856.0)</f>
        <v>856</v>
      </c>
      <c r="I2526" s="24" t="str">
        <f>IFERROR(__xludf.DUMMYFUNCTION("""COMPUTED_VALUE"""),"Personal Care")</f>
        <v>Personal Care</v>
      </c>
    </row>
    <row r="2527">
      <c r="A2527" s="23">
        <f>IFERROR(__xludf.DUMMYFUNCTION("""COMPUTED_VALUE"""),44750.70876295139)</f>
        <v>44750.70876</v>
      </c>
      <c r="B2527" s="24" t="str">
        <f>IFERROR(__xludf.DUMMYFUNCTION("""COMPUTED_VALUE"""),"Beth Torres")</f>
        <v>Beth Torres</v>
      </c>
      <c r="C2527" s="24">
        <f>IFERROR(__xludf.DUMMYFUNCTION("""COMPUTED_VALUE"""),20.0)</f>
        <v>20</v>
      </c>
      <c r="D2527" s="24"/>
      <c r="F2527" s="23">
        <f>IFERROR(__xludf.DUMMYFUNCTION("""COMPUTED_VALUE"""),44835.69293405092)</f>
        <v>44835.69293</v>
      </c>
      <c r="G2527" s="24" t="str">
        <f>IFERROR(__xludf.DUMMYFUNCTION("""COMPUTED_VALUE"""),"Claire")</f>
        <v>Claire</v>
      </c>
      <c r="H2527" s="24">
        <f>IFERROR(__xludf.DUMMYFUNCTION("""COMPUTED_VALUE"""),115.0)</f>
        <v>115</v>
      </c>
      <c r="I2527" s="24" t="str">
        <f>IFERROR(__xludf.DUMMYFUNCTION("""COMPUTED_VALUE"""),"Snacks")</f>
        <v>Snacks</v>
      </c>
    </row>
    <row r="2528">
      <c r="A2528" s="23">
        <f>IFERROR(__xludf.DUMMYFUNCTION("""COMPUTED_VALUE"""),44751.0)</f>
        <v>44751</v>
      </c>
      <c r="B2528" s="24" t="str">
        <f>IFERROR(__xludf.DUMMYFUNCTION("""COMPUTED_VALUE"""),"Kimone ")</f>
        <v>Kimone </v>
      </c>
      <c r="C2528" s="24">
        <f>IFERROR(__xludf.DUMMYFUNCTION("""COMPUTED_VALUE"""),8.0)</f>
        <v>8</v>
      </c>
      <c r="D2528" s="24"/>
      <c r="F2528" s="23">
        <f>IFERROR(__xludf.DUMMYFUNCTION("""COMPUTED_VALUE"""),44835.693334467585)</f>
        <v>44835.69333</v>
      </c>
      <c r="G2528" s="24" t="str">
        <f>IFERROR(__xludf.DUMMYFUNCTION("""COMPUTED_VALUE"""),"Claire")</f>
        <v>Claire</v>
      </c>
      <c r="H2528" s="24">
        <f>IFERROR(__xludf.DUMMYFUNCTION("""COMPUTED_VALUE"""),264.0)</f>
        <v>264</v>
      </c>
      <c r="I2528" s="24" t="str">
        <f>IFERROR(__xludf.DUMMYFUNCTION("""COMPUTED_VALUE"""),"Household")</f>
        <v>Household</v>
      </c>
    </row>
    <row r="2529">
      <c r="A2529" s="23">
        <f>IFERROR(__xludf.DUMMYFUNCTION("""COMPUTED_VALUE"""),44751.0)</f>
        <v>44751</v>
      </c>
      <c r="B2529" s="24" t="str">
        <f>IFERROR(__xludf.DUMMYFUNCTION("""COMPUTED_VALUE"""),"Thomas aloisi")</f>
        <v>Thomas aloisi</v>
      </c>
      <c r="C2529" s="24">
        <f>IFERROR(__xludf.DUMMYFUNCTION("""COMPUTED_VALUE"""),18.0)</f>
        <v>18</v>
      </c>
      <c r="D2529" s="24"/>
      <c r="F2529" s="23">
        <f>IFERROR(__xludf.DUMMYFUNCTION("""COMPUTED_VALUE"""),44835.69397125)</f>
        <v>44835.69397</v>
      </c>
      <c r="G2529" s="24" t="str">
        <f>IFERROR(__xludf.DUMMYFUNCTION("""COMPUTED_VALUE"""),"Claire")</f>
        <v>Claire</v>
      </c>
      <c r="H2529" s="24">
        <f>IFERROR(__xludf.DUMMYFUNCTION("""COMPUTED_VALUE"""),73.0)</f>
        <v>73</v>
      </c>
      <c r="I2529" s="24" t="str">
        <f>IFERROR(__xludf.DUMMYFUNCTION("""COMPUTED_VALUE"""),"Oxo")</f>
        <v>Oxo</v>
      </c>
    </row>
    <row r="2530">
      <c r="A2530" s="23">
        <f>IFERROR(__xludf.DUMMYFUNCTION("""COMPUTED_VALUE"""),44751.0)</f>
        <v>44751</v>
      </c>
      <c r="B2530" s="24" t="str">
        <f>IFERROR(__xludf.DUMMYFUNCTION("""COMPUTED_VALUE"""),"Janet Lomax")</f>
        <v>Janet Lomax</v>
      </c>
      <c r="C2530" s="24">
        <f>IFERROR(__xludf.DUMMYFUNCTION("""COMPUTED_VALUE"""),20.0)</f>
        <v>20</v>
      </c>
      <c r="D2530" s="24"/>
      <c r="F2530" s="23">
        <f>IFERROR(__xludf.DUMMYFUNCTION("""COMPUTED_VALUE"""),44835.69465469907)</f>
        <v>44835.69465</v>
      </c>
      <c r="G2530" s="24" t="str">
        <f>IFERROR(__xludf.DUMMYFUNCTION("""COMPUTED_VALUE"""),"Claire")</f>
        <v>Claire</v>
      </c>
      <c r="H2530" s="24">
        <f>IFERROR(__xludf.DUMMYFUNCTION("""COMPUTED_VALUE"""),836.0)</f>
        <v>836</v>
      </c>
      <c r="I2530" s="24" t="str">
        <f>IFERROR(__xludf.DUMMYFUNCTION("""COMPUTED_VALUE"""),"Canned Goods")</f>
        <v>Canned Goods</v>
      </c>
    </row>
    <row r="2531">
      <c r="A2531" s="23">
        <f>IFERROR(__xludf.DUMMYFUNCTION("""COMPUTED_VALUE"""),44751.0)</f>
        <v>44751</v>
      </c>
      <c r="B2531" s="24" t="str">
        <f>IFERROR(__xludf.DUMMYFUNCTION("""COMPUTED_VALUE"""),"Janet Lomax")</f>
        <v>Janet Lomax</v>
      </c>
      <c r="C2531" s="24">
        <f>IFERROR(__xludf.DUMMYFUNCTION("""COMPUTED_VALUE"""),11.0)</f>
        <v>11</v>
      </c>
      <c r="D2531" s="24"/>
      <c r="F2531" s="23">
        <f>IFERROR(__xludf.DUMMYFUNCTION("""COMPUTED_VALUE"""),44835.6950769676)</f>
        <v>44835.69508</v>
      </c>
      <c r="G2531" s="24" t="str">
        <f>IFERROR(__xludf.DUMMYFUNCTION("""COMPUTED_VALUE"""),"Kye Toussaint ")</f>
        <v>Kye Toussaint </v>
      </c>
      <c r="H2531" s="24">
        <f>IFERROR(__xludf.DUMMYFUNCTION("""COMPUTED_VALUE"""),19.0)</f>
        <v>19</v>
      </c>
      <c r="I2531" s="24"/>
    </row>
    <row r="2532">
      <c r="A2532" s="23">
        <f>IFERROR(__xludf.DUMMYFUNCTION("""COMPUTED_VALUE"""),44751.0)</f>
        <v>44751</v>
      </c>
      <c r="B2532" s="24" t="str">
        <f>IFERROR(__xludf.DUMMYFUNCTION("""COMPUTED_VALUE"""),"Cheryl Utsey")</f>
        <v>Cheryl Utsey</v>
      </c>
      <c r="C2532" s="24">
        <f>IFERROR(__xludf.DUMMYFUNCTION("""COMPUTED_VALUE"""),20.0)</f>
        <v>20</v>
      </c>
      <c r="D2532" s="24"/>
      <c r="F2532" s="23">
        <f>IFERROR(__xludf.DUMMYFUNCTION("""COMPUTED_VALUE"""),44835.69510077546)</f>
        <v>44835.6951</v>
      </c>
      <c r="G2532" s="24" t="str">
        <f>IFERROR(__xludf.DUMMYFUNCTION("""COMPUTED_VALUE"""),"Claire")</f>
        <v>Claire</v>
      </c>
      <c r="H2532" s="24">
        <f>IFERROR(__xludf.DUMMYFUNCTION("""COMPUTED_VALUE"""),392.0)</f>
        <v>392</v>
      </c>
      <c r="I2532" s="24" t="str">
        <f>IFERROR(__xludf.DUMMYFUNCTION("""COMPUTED_VALUE"""),"Meat [Raw]")</f>
        <v>Meat [Raw]</v>
      </c>
    </row>
    <row r="2533">
      <c r="A2533" s="23">
        <f>IFERROR(__xludf.DUMMYFUNCTION("""COMPUTED_VALUE"""),44751.0)</f>
        <v>44751</v>
      </c>
      <c r="B2533" s="24" t="str">
        <f>IFERROR(__xludf.DUMMYFUNCTION("""COMPUTED_VALUE"""),"Brandon Clark")</f>
        <v>Brandon Clark</v>
      </c>
      <c r="C2533" s="24">
        <f>IFERROR(__xludf.DUMMYFUNCTION("""COMPUTED_VALUE"""),18.0)</f>
        <v>18</v>
      </c>
      <c r="D2533" s="24"/>
      <c r="F2533" s="23">
        <f>IFERROR(__xludf.DUMMYFUNCTION("""COMPUTED_VALUE"""),44835.69543159722)</f>
        <v>44835.69543</v>
      </c>
      <c r="G2533" s="24" t="str">
        <f>IFERROR(__xludf.DUMMYFUNCTION("""COMPUTED_VALUE"""),"Claire")</f>
        <v>Claire</v>
      </c>
      <c r="H2533" s="24">
        <f>IFERROR(__xludf.DUMMYFUNCTION("""COMPUTED_VALUE"""),239.0)</f>
        <v>239</v>
      </c>
      <c r="I2533" s="24" t="str">
        <f>IFERROR(__xludf.DUMMYFUNCTION("""COMPUTED_VALUE"""),"Canned Goods")</f>
        <v>Canned Goods</v>
      </c>
    </row>
    <row r="2534">
      <c r="A2534" s="23">
        <f>IFERROR(__xludf.DUMMYFUNCTION("""COMPUTED_VALUE"""),44751.76217099537)</f>
        <v>44751.76217</v>
      </c>
      <c r="B2534" s="24" t="str">
        <f>IFERROR(__xludf.DUMMYFUNCTION("""COMPUTED_VALUE"""),"Beverly Pinn")</f>
        <v>Beverly Pinn</v>
      </c>
      <c r="C2534" s="24">
        <f>IFERROR(__xludf.DUMMYFUNCTION("""COMPUTED_VALUE"""),17.0)</f>
        <v>17</v>
      </c>
      <c r="D2534" s="24"/>
      <c r="F2534" s="23">
        <f>IFERROR(__xludf.DUMMYFUNCTION("""COMPUTED_VALUE"""),44835.69571903935)</f>
        <v>44835.69572</v>
      </c>
      <c r="G2534" s="24" t="str">
        <f>IFERROR(__xludf.DUMMYFUNCTION("""COMPUTED_VALUE"""),"Claire")</f>
        <v>Claire</v>
      </c>
      <c r="H2534" s="24">
        <f>IFERROR(__xludf.DUMMYFUNCTION("""COMPUTED_VALUE"""),505.0)</f>
        <v>505</v>
      </c>
      <c r="I2534" s="24" t="str">
        <f>IFERROR(__xludf.DUMMYFUNCTION("""COMPUTED_VALUE"""),"Pet Supplies")</f>
        <v>Pet Supplies</v>
      </c>
    </row>
    <row r="2535">
      <c r="A2535" s="23">
        <f>IFERROR(__xludf.DUMMYFUNCTION("""COMPUTED_VALUE"""),44751.76246200231)</f>
        <v>44751.76246</v>
      </c>
      <c r="B2535" s="24" t="str">
        <f>IFERROR(__xludf.DUMMYFUNCTION("""COMPUTED_VALUE"""),"Emily stucke")</f>
        <v>Emily stucke</v>
      </c>
      <c r="C2535" s="24">
        <f>IFERROR(__xludf.DUMMYFUNCTION("""COMPUTED_VALUE"""),11.0)</f>
        <v>11</v>
      </c>
      <c r="D2535" s="24"/>
      <c r="F2535" s="23">
        <f>IFERROR(__xludf.DUMMYFUNCTION("""COMPUTED_VALUE"""),44835.6959883449)</f>
        <v>44835.69599</v>
      </c>
      <c r="G2535" s="24" t="str">
        <f>IFERROR(__xludf.DUMMYFUNCTION("""COMPUTED_VALUE"""),"Claire")</f>
        <v>Claire</v>
      </c>
      <c r="H2535" s="24">
        <f>IFERROR(__xludf.DUMMYFUNCTION("""COMPUTED_VALUE"""),95.0)</f>
        <v>95</v>
      </c>
      <c r="I2535" s="24" t="str">
        <f>IFERROR(__xludf.DUMMYFUNCTION("""COMPUTED_VALUE"""),"Produce")</f>
        <v>Produce</v>
      </c>
    </row>
    <row r="2536">
      <c r="A2536" s="23">
        <f>IFERROR(__xludf.DUMMYFUNCTION("""COMPUTED_VALUE"""),44751.765072256945)</f>
        <v>44751.76507</v>
      </c>
      <c r="B2536" s="24" t="str">
        <f>IFERROR(__xludf.DUMMYFUNCTION("""COMPUTED_VALUE"""),"Emily Engelbrecht-Wiggans")</f>
        <v>Emily Engelbrecht-Wiggans</v>
      </c>
      <c r="C2536" s="24">
        <f>IFERROR(__xludf.DUMMYFUNCTION("""COMPUTED_VALUE"""),23.0)</f>
        <v>23</v>
      </c>
      <c r="D2536" s="24"/>
      <c r="F2536" s="23">
        <f>IFERROR(__xludf.DUMMYFUNCTION("""COMPUTED_VALUE"""),44835.69639358796)</f>
        <v>44835.69639</v>
      </c>
      <c r="G2536" s="24" t="str">
        <f>IFERROR(__xludf.DUMMYFUNCTION("""COMPUTED_VALUE"""),"Claire")</f>
        <v>Claire</v>
      </c>
      <c r="H2536" s="24">
        <f>IFERROR(__xludf.DUMMYFUNCTION("""COMPUTED_VALUE"""),-158.0)</f>
        <v>-158</v>
      </c>
      <c r="I2536" s="24" t="str">
        <f>IFERROR(__xludf.DUMMYFUNCTION("""COMPUTED_VALUE"""),"Household")</f>
        <v>Household</v>
      </c>
    </row>
    <row r="2537">
      <c r="A2537" s="23">
        <f>IFERROR(__xludf.DUMMYFUNCTION("""COMPUTED_VALUE"""),44751.76789831019)</f>
        <v>44751.7679</v>
      </c>
      <c r="B2537" s="24" t="str">
        <f>IFERROR(__xludf.DUMMYFUNCTION("""COMPUTED_VALUE"""),"Deborah claridy ")</f>
        <v>Deborah claridy </v>
      </c>
      <c r="C2537" s="24">
        <f>IFERROR(__xludf.DUMMYFUNCTION("""COMPUTED_VALUE"""),19.0)</f>
        <v>19</v>
      </c>
      <c r="D2537" s="24"/>
      <c r="F2537" s="23">
        <f>IFERROR(__xludf.DUMMYFUNCTION("""COMPUTED_VALUE"""),44835.69662616898)</f>
        <v>44835.69663</v>
      </c>
      <c r="G2537" s="24" t="str">
        <f>IFERROR(__xludf.DUMMYFUNCTION("""COMPUTED_VALUE"""),"Claire")</f>
        <v>Claire</v>
      </c>
      <c r="H2537" s="24">
        <f>IFERROR(__xludf.DUMMYFUNCTION("""COMPUTED_VALUE"""),-415.0)</f>
        <v>-415</v>
      </c>
      <c r="I2537" s="24" t="str">
        <f>IFERROR(__xludf.DUMMYFUNCTION("""COMPUTED_VALUE"""),"Canned Goods")</f>
        <v>Canned Goods</v>
      </c>
    </row>
    <row r="2538">
      <c r="A2538" s="23">
        <f>IFERROR(__xludf.DUMMYFUNCTION("""COMPUTED_VALUE"""),44751.7749488426)</f>
        <v>44751.77495</v>
      </c>
      <c r="B2538" s="24" t="str">
        <f>IFERROR(__xludf.DUMMYFUNCTION("""COMPUTED_VALUE"""),"Deborah claridy")</f>
        <v>Deborah claridy</v>
      </c>
      <c r="C2538" s="24">
        <f>IFERROR(__xludf.DUMMYFUNCTION("""COMPUTED_VALUE"""),2.0)</f>
        <v>2</v>
      </c>
      <c r="D2538" s="24"/>
      <c r="F2538" s="23">
        <f>IFERROR(__xludf.DUMMYFUNCTION("""COMPUTED_VALUE"""),44835.69692652778)</f>
        <v>44835.69693</v>
      </c>
      <c r="G2538" s="24" t="str">
        <f>IFERROR(__xludf.DUMMYFUNCTION("""COMPUTED_VALUE"""),"Claire")</f>
        <v>Claire</v>
      </c>
      <c r="H2538" s="24">
        <f>IFERROR(__xludf.DUMMYFUNCTION("""COMPUTED_VALUE"""),-484.0)</f>
        <v>-484</v>
      </c>
      <c r="I2538" s="24" t="str">
        <f>IFERROR(__xludf.DUMMYFUNCTION("""COMPUTED_VALUE"""),"Cleaning Supplies")</f>
        <v>Cleaning Supplies</v>
      </c>
    </row>
    <row r="2539">
      <c r="A2539" s="23">
        <f>IFERROR(__xludf.DUMMYFUNCTION("""COMPUTED_VALUE"""),44751.790207013895)</f>
        <v>44751.79021</v>
      </c>
      <c r="B2539" s="24" t="str">
        <f>IFERROR(__xludf.DUMMYFUNCTION("""COMPUTED_VALUE"""),"Vincent Faulk")</f>
        <v>Vincent Faulk</v>
      </c>
      <c r="C2539" s="24">
        <f>IFERROR(__xludf.DUMMYFUNCTION("""COMPUTED_VALUE"""),31.0)</f>
        <v>31</v>
      </c>
      <c r="D2539" s="24"/>
      <c r="F2539" s="23">
        <f>IFERROR(__xludf.DUMMYFUNCTION("""COMPUTED_VALUE"""),44835.69717126157)</f>
        <v>44835.69717</v>
      </c>
      <c r="G2539" s="24" t="str">
        <f>IFERROR(__xludf.DUMMYFUNCTION("""COMPUTED_VALUE"""),"Claire")</f>
        <v>Claire</v>
      </c>
      <c r="H2539" s="24">
        <f>IFERROR(__xludf.DUMMYFUNCTION("""COMPUTED_VALUE"""),-300.0)</f>
        <v>-300</v>
      </c>
      <c r="I2539" s="24" t="str">
        <f>IFERROR(__xludf.DUMMYFUNCTION("""COMPUTED_VALUE"""),"Produce")</f>
        <v>Produce</v>
      </c>
    </row>
    <row r="2540">
      <c r="A2540" s="23">
        <f>IFERROR(__xludf.DUMMYFUNCTION("""COMPUTED_VALUE"""),44751.79050256944)</f>
        <v>44751.7905</v>
      </c>
      <c r="B2540" s="24" t="str">
        <f>IFERROR(__xludf.DUMMYFUNCTION("""COMPUTED_VALUE"""),"Lynnette c")</f>
        <v>Lynnette c</v>
      </c>
      <c r="C2540" s="24">
        <f>IFERROR(__xludf.DUMMYFUNCTION("""COMPUTED_VALUE"""),20.0)</f>
        <v>20</v>
      </c>
      <c r="D2540" s="24"/>
      <c r="F2540" s="23">
        <f>IFERROR(__xludf.DUMMYFUNCTION("""COMPUTED_VALUE"""),44835.6973750926)</f>
        <v>44835.69738</v>
      </c>
      <c r="G2540" s="24" t="str">
        <f>IFERROR(__xludf.DUMMYFUNCTION("""COMPUTED_VALUE"""),"Claire")</f>
        <v>Claire</v>
      </c>
      <c r="H2540" s="24">
        <f>IFERROR(__xludf.DUMMYFUNCTION("""COMPUTED_VALUE"""),-16.0)</f>
        <v>-16</v>
      </c>
      <c r="I2540" s="24" t="str">
        <f>IFERROR(__xludf.DUMMYFUNCTION("""COMPUTED_VALUE"""),"Snacks")</f>
        <v>Snacks</v>
      </c>
    </row>
    <row r="2541">
      <c r="A2541" s="23">
        <f>IFERROR(__xludf.DUMMYFUNCTION("""COMPUTED_VALUE"""),44751.7908237963)</f>
        <v>44751.79082</v>
      </c>
      <c r="B2541" s="24" t="str">
        <f>IFERROR(__xludf.DUMMYFUNCTION("""COMPUTED_VALUE"""),"Lynnette c expire (damage)")</f>
        <v>Lynnette c expire (damage)</v>
      </c>
      <c r="C2541" s="24">
        <f>IFERROR(__xludf.DUMMYFUNCTION("""COMPUTED_VALUE"""),5.0)</f>
        <v>5</v>
      </c>
      <c r="D2541" s="24"/>
      <c r="F2541" s="23">
        <f>IFERROR(__xludf.DUMMYFUNCTION("""COMPUTED_VALUE"""),44835.6976108912)</f>
        <v>44835.69761</v>
      </c>
      <c r="G2541" s="24" t="str">
        <f>IFERROR(__xludf.DUMMYFUNCTION("""COMPUTED_VALUE"""),"Claire")</f>
        <v>Claire</v>
      </c>
      <c r="H2541" s="24">
        <f>IFERROR(__xludf.DUMMYFUNCTION("""COMPUTED_VALUE"""),-30.0)</f>
        <v>-30</v>
      </c>
      <c r="I2541" s="24" t="str">
        <f>IFERROR(__xludf.DUMMYFUNCTION("""COMPUTED_VALUE"""),"Cleaning Supplies")</f>
        <v>Cleaning Supplies</v>
      </c>
    </row>
    <row r="2542">
      <c r="A2542" s="23">
        <f>IFERROR(__xludf.DUMMYFUNCTION("""COMPUTED_VALUE"""),44751.793265092594)</f>
        <v>44751.79327</v>
      </c>
      <c r="B2542" s="24" t="str">
        <f>IFERROR(__xludf.DUMMYFUNCTION("""COMPUTED_VALUE"""),"Juanita coleman (damage")</f>
        <v>Juanita coleman (damage</v>
      </c>
      <c r="C2542" s="24">
        <f>IFERROR(__xludf.DUMMYFUNCTION("""COMPUTED_VALUE"""),6.0)</f>
        <v>6</v>
      </c>
      <c r="D2542" s="24"/>
      <c r="F2542" s="23">
        <f>IFERROR(__xludf.DUMMYFUNCTION("""COMPUTED_VALUE"""),44835.69837298611)</f>
        <v>44835.69837</v>
      </c>
      <c r="G2542" s="24" t="str">
        <f>IFERROR(__xludf.DUMMYFUNCTION("""COMPUTED_VALUE"""),"Claire")</f>
        <v>Claire</v>
      </c>
      <c r="H2542" s="24">
        <f>IFERROR(__xludf.DUMMYFUNCTION("""COMPUTED_VALUE"""),-17.0)</f>
        <v>-17</v>
      </c>
      <c r="I2542" s="24" t="str">
        <f>IFERROR(__xludf.DUMMYFUNCTION("""COMPUTED_VALUE"""),"Oxo")</f>
        <v>Oxo</v>
      </c>
    </row>
    <row r="2543">
      <c r="A2543" s="23">
        <f>IFERROR(__xludf.DUMMYFUNCTION("""COMPUTED_VALUE"""),44752.0)</f>
        <v>44752</v>
      </c>
      <c r="B2543" s="24" t="str">
        <f>IFERROR(__xludf.DUMMYFUNCTION("""COMPUTED_VALUE"""),"Marci")</f>
        <v>Marci</v>
      </c>
      <c r="C2543" s="24">
        <f>IFERROR(__xludf.DUMMYFUNCTION("""COMPUTED_VALUE"""),20.0)</f>
        <v>20</v>
      </c>
      <c r="D2543" s="24"/>
      <c r="F2543" s="23">
        <f>IFERROR(__xludf.DUMMYFUNCTION("""COMPUTED_VALUE"""),44835.69909420139)</f>
        <v>44835.69909</v>
      </c>
      <c r="G2543" s="24" t="str">
        <f>IFERROR(__xludf.DUMMYFUNCTION("""COMPUTED_VALUE"""),"Claire")</f>
        <v>Claire</v>
      </c>
      <c r="H2543" s="24">
        <f>IFERROR(__xludf.DUMMYFUNCTION("""COMPUTED_VALUE"""),-28.0)</f>
        <v>-28</v>
      </c>
      <c r="I2543" s="24" t="str">
        <f>IFERROR(__xludf.DUMMYFUNCTION("""COMPUTED_VALUE"""),"Hum Toothbrush")</f>
        <v>Hum Toothbrush</v>
      </c>
    </row>
    <row r="2544">
      <c r="A2544" s="23">
        <f>IFERROR(__xludf.DUMMYFUNCTION("""COMPUTED_VALUE"""),44752.0)</f>
        <v>44752</v>
      </c>
      <c r="B2544" s="24" t="str">
        <f>IFERROR(__xludf.DUMMYFUNCTION("""COMPUTED_VALUE"""),"Marci")</f>
        <v>Marci</v>
      </c>
      <c r="C2544" s="24">
        <f>IFERROR(__xludf.DUMMYFUNCTION("""COMPUTED_VALUE"""),46.0)</f>
        <v>46</v>
      </c>
      <c r="D2544" s="24"/>
      <c r="F2544" s="23">
        <f>IFERROR(__xludf.DUMMYFUNCTION("""COMPUTED_VALUE"""),44835.69941827546)</f>
        <v>44835.69942</v>
      </c>
      <c r="G2544" s="24" t="str">
        <f>IFERROR(__xludf.DUMMYFUNCTION("""COMPUTED_VALUE"""),"Adriana")</f>
        <v>Adriana</v>
      </c>
      <c r="H2544" s="24">
        <f>IFERROR(__xludf.DUMMYFUNCTION("""COMPUTED_VALUE"""),16.0)</f>
        <v>16</v>
      </c>
      <c r="I2544" s="24"/>
    </row>
    <row r="2545">
      <c r="A2545" s="23">
        <f>IFERROR(__xludf.DUMMYFUNCTION("""COMPUTED_VALUE"""),44752.0)</f>
        <v>44752</v>
      </c>
      <c r="B2545" s="24" t="str">
        <f>IFERROR(__xludf.DUMMYFUNCTION("""COMPUTED_VALUE"""),"Clarie")</f>
        <v>Clarie</v>
      </c>
      <c r="C2545" s="24">
        <f>IFERROR(__xludf.DUMMYFUNCTION("""COMPUTED_VALUE"""),30.0)</f>
        <v>30</v>
      </c>
      <c r="D2545" s="24"/>
      <c r="F2545" s="23">
        <f>IFERROR(__xludf.DUMMYFUNCTION("""COMPUTED_VALUE"""),44835.70063175926)</f>
        <v>44835.70063</v>
      </c>
      <c r="G2545" s="24" t="str">
        <f>IFERROR(__xludf.DUMMYFUNCTION("""COMPUTED_VALUE"""),"Claire")</f>
        <v>Claire</v>
      </c>
      <c r="H2545" s="24">
        <f>IFERROR(__xludf.DUMMYFUNCTION("""COMPUTED_VALUE"""),-97.0)</f>
        <v>-97</v>
      </c>
      <c r="I2545" s="24" t="str">
        <f>IFERROR(__xludf.DUMMYFUNCTION("""COMPUTED_VALUE"""),"Sauces")</f>
        <v>Sauces</v>
      </c>
    </row>
    <row r="2546">
      <c r="A2546" s="23">
        <f>IFERROR(__xludf.DUMMYFUNCTION("""COMPUTED_VALUE"""),44752.0)</f>
        <v>44752</v>
      </c>
      <c r="B2546" s="24" t="str">
        <f>IFERROR(__xludf.DUMMYFUNCTION("""COMPUTED_VALUE"""),"Kaneesha")</f>
        <v>Kaneesha</v>
      </c>
      <c r="C2546" s="24">
        <f>IFERROR(__xludf.DUMMYFUNCTION("""COMPUTED_VALUE"""),20.0)</f>
        <v>20</v>
      </c>
      <c r="D2546" s="24"/>
      <c r="F2546" s="23">
        <f>IFERROR(__xludf.DUMMYFUNCTION("""COMPUTED_VALUE"""),44835.70247091435)</f>
        <v>44835.70247</v>
      </c>
      <c r="G2546" s="24" t="str">
        <f>IFERROR(__xludf.DUMMYFUNCTION("""COMPUTED_VALUE"""),"Emily Stucke")</f>
        <v>Emily Stucke</v>
      </c>
      <c r="H2546" s="24">
        <f>IFERROR(__xludf.DUMMYFUNCTION("""COMPUTED_VALUE"""),19.0)</f>
        <v>19</v>
      </c>
      <c r="I2546" s="24"/>
    </row>
    <row r="2547">
      <c r="A2547" s="23">
        <f>IFERROR(__xludf.DUMMYFUNCTION("""COMPUTED_VALUE"""),44752.0)</f>
        <v>44752</v>
      </c>
      <c r="B2547" s="24" t="str">
        <f>IFERROR(__xludf.DUMMYFUNCTION("""COMPUTED_VALUE"""),"Kaneesha")</f>
        <v>Kaneesha</v>
      </c>
      <c r="C2547" s="24">
        <f>IFERROR(__xludf.DUMMYFUNCTION("""COMPUTED_VALUE"""),12.0)</f>
        <v>12</v>
      </c>
      <c r="D2547" s="24"/>
      <c r="F2547" s="23">
        <f>IFERROR(__xludf.DUMMYFUNCTION("""COMPUTED_VALUE"""),44835.706811979166)</f>
        <v>44835.70681</v>
      </c>
      <c r="G2547" s="24" t="str">
        <f>IFERROR(__xludf.DUMMYFUNCTION("""COMPUTED_VALUE"""),"nathan")</f>
        <v>nathan</v>
      </c>
      <c r="H2547" s="24">
        <f>IFERROR(__xludf.DUMMYFUNCTION("""COMPUTED_VALUE"""),19.0)</f>
        <v>19</v>
      </c>
      <c r="I2547" s="24"/>
    </row>
    <row r="2548">
      <c r="A2548" s="23">
        <f>IFERROR(__xludf.DUMMYFUNCTION("""COMPUTED_VALUE"""),44752.66715778935)</f>
        <v>44752.66716</v>
      </c>
      <c r="B2548" s="24" t="str">
        <f>IFERROR(__xludf.DUMMYFUNCTION("""COMPUTED_VALUE"""),"Carla")</f>
        <v>Carla</v>
      </c>
      <c r="C2548" s="24">
        <f>IFERROR(__xludf.DUMMYFUNCTION("""COMPUTED_VALUE"""),20.0)</f>
        <v>20</v>
      </c>
      <c r="D2548" s="24"/>
      <c r="F2548" s="23">
        <f>IFERROR(__xludf.DUMMYFUNCTION("""COMPUTED_VALUE"""),44835.70742759259)</f>
        <v>44835.70743</v>
      </c>
      <c r="G2548" s="24" t="str">
        <f>IFERROR(__xludf.DUMMYFUNCTION("""COMPUTED_VALUE"""),"Tiffany Jiang")</f>
        <v>Tiffany Jiang</v>
      </c>
      <c r="H2548" s="24">
        <f>IFERROR(__xludf.DUMMYFUNCTION("""COMPUTED_VALUE"""),18.0)</f>
        <v>18</v>
      </c>
      <c r="I2548" s="24"/>
    </row>
    <row r="2549">
      <c r="A2549" s="23">
        <f>IFERROR(__xludf.DUMMYFUNCTION("""COMPUTED_VALUE"""),44752.67934792824)</f>
        <v>44752.67935</v>
      </c>
      <c r="B2549" s="24" t="str">
        <f>IFERROR(__xludf.DUMMYFUNCTION("""COMPUTED_VALUE"""),"Anna Nicosia")</f>
        <v>Anna Nicosia</v>
      </c>
      <c r="C2549" s="24">
        <f>IFERROR(__xludf.DUMMYFUNCTION("""COMPUTED_VALUE"""),20.0)</f>
        <v>20</v>
      </c>
      <c r="D2549" s="24"/>
      <c r="F2549" s="23">
        <f>IFERROR(__xludf.DUMMYFUNCTION("""COMPUTED_VALUE"""),44835.70788271991)</f>
        <v>44835.70788</v>
      </c>
      <c r="G2549" s="24" t="str">
        <f>IFERROR(__xludf.DUMMYFUNCTION("""COMPUTED_VALUE"""),"Dean Chien")</f>
        <v>Dean Chien</v>
      </c>
      <c r="H2549" s="24">
        <f>IFERROR(__xludf.DUMMYFUNCTION("""COMPUTED_VALUE"""),19.0)</f>
        <v>19</v>
      </c>
      <c r="I2549" s="24"/>
    </row>
    <row r="2550">
      <c r="A2550" s="23">
        <f>IFERROR(__xludf.DUMMYFUNCTION("""COMPUTED_VALUE"""),44752.679447222225)</f>
        <v>44752.67945</v>
      </c>
      <c r="B2550" s="24" t="str">
        <f>IFERROR(__xludf.DUMMYFUNCTION("""COMPUTED_VALUE"""),"Evan El-Halawani")</f>
        <v>Evan El-Halawani</v>
      </c>
      <c r="C2550" s="24">
        <f>IFERROR(__xludf.DUMMYFUNCTION("""COMPUTED_VALUE"""),20.0)</f>
        <v>20</v>
      </c>
      <c r="D2550" s="24"/>
      <c r="F2550" s="23">
        <f>IFERROR(__xludf.DUMMYFUNCTION("""COMPUTED_VALUE"""),44835.70902559028)</f>
        <v>44835.70903</v>
      </c>
      <c r="G2550" s="24" t="str">
        <f>IFERROR(__xludf.DUMMYFUNCTION("""COMPUTED_VALUE"""),"Evelyn jiang")</f>
        <v>Evelyn jiang</v>
      </c>
      <c r="H2550" s="24">
        <f>IFERROR(__xludf.DUMMYFUNCTION("""COMPUTED_VALUE"""),20.0)</f>
        <v>20</v>
      </c>
      <c r="I2550" s="24"/>
    </row>
    <row r="2551">
      <c r="A2551" s="23">
        <f>IFERROR(__xludf.DUMMYFUNCTION("""COMPUTED_VALUE"""),44752.71164513889)</f>
        <v>44752.71165</v>
      </c>
      <c r="B2551" s="24" t="str">
        <f>IFERROR(__xludf.DUMMYFUNCTION("""COMPUTED_VALUE"""),"Zoe")</f>
        <v>Zoe</v>
      </c>
      <c r="C2551" s="24">
        <f>IFERROR(__xludf.DUMMYFUNCTION("""COMPUTED_VALUE"""),11.0)</f>
        <v>11</v>
      </c>
      <c r="D2551" s="24"/>
      <c r="F2551" s="23">
        <f>IFERROR(__xludf.DUMMYFUNCTION("""COMPUTED_VALUE"""),44835.71590081019)</f>
        <v>44835.7159</v>
      </c>
      <c r="G2551" s="24" t="str">
        <f>IFERROR(__xludf.DUMMYFUNCTION("""COMPUTED_VALUE"""),"Lynnette c")</f>
        <v>Lynnette c</v>
      </c>
      <c r="H2551" s="24">
        <f>IFERROR(__xludf.DUMMYFUNCTION("""COMPUTED_VALUE"""),35.0)</f>
        <v>35</v>
      </c>
      <c r="I2551" s="24" t="str">
        <f>IFERROR(__xludf.DUMMYFUNCTION("""COMPUTED_VALUE"""),"Potatoes ")</f>
        <v>Potatoes </v>
      </c>
    </row>
    <row r="2552">
      <c r="A2552" s="23">
        <f>IFERROR(__xludf.DUMMYFUNCTION("""COMPUTED_VALUE"""),44752.714363101855)</f>
        <v>44752.71436</v>
      </c>
      <c r="B2552" s="24" t="str">
        <f>IFERROR(__xludf.DUMMYFUNCTION("""COMPUTED_VALUE"""),"Dorja ")</f>
        <v>Dorja </v>
      </c>
      <c r="C2552" s="24">
        <f>IFERROR(__xludf.DUMMYFUNCTION("""COMPUTED_VALUE"""),32.0)</f>
        <v>32</v>
      </c>
      <c r="D2552" s="24"/>
      <c r="F2552" s="23">
        <f>IFERROR(__xludf.DUMMYFUNCTION("""COMPUTED_VALUE"""),44835.71761628472)</f>
        <v>44835.71762</v>
      </c>
      <c r="G2552" s="24" t="str">
        <f>IFERROR(__xludf.DUMMYFUNCTION("""COMPUTED_VALUE"""),"Lynnette")</f>
        <v>Lynnette</v>
      </c>
      <c r="H2552" s="24">
        <f>IFERROR(__xludf.DUMMYFUNCTION("""COMPUTED_VALUE"""),35.0)</f>
        <v>35</v>
      </c>
      <c r="I2552" s="24"/>
    </row>
    <row r="2553">
      <c r="A2553" s="23">
        <f>IFERROR(__xludf.DUMMYFUNCTION("""COMPUTED_VALUE"""),44752.71662616898)</f>
        <v>44752.71663</v>
      </c>
      <c r="B2553" s="24" t="str">
        <f>IFERROR(__xludf.DUMMYFUNCTION("""COMPUTED_VALUE"""),"Dorja ")</f>
        <v>Dorja </v>
      </c>
      <c r="C2553" s="24">
        <f>IFERROR(__xludf.DUMMYFUNCTION("""COMPUTED_VALUE"""),26.0)</f>
        <v>26</v>
      </c>
      <c r="D2553" s="24"/>
      <c r="F2553" s="23">
        <f>IFERROR(__xludf.DUMMYFUNCTION("""COMPUTED_VALUE"""),44835.72000739584)</f>
        <v>44835.72001</v>
      </c>
      <c r="G2553" s="24" t="str">
        <f>IFERROR(__xludf.DUMMYFUNCTION("""COMPUTED_VALUE"""),"Beverly Pinn")</f>
        <v>Beverly Pinn</v>
      </c>
      <c r="H2553" s="24">
        <f>IFERROR(__xludf.DUMMYFUNCTION("""COMPUTED_VALUE"""),20.0)</f>
        <v>20</v>
      </c>
      <c r="I2553" s="24"/>
    </row>
    <row r="2554">
      <c r="A2554" s="23">
        <f>IFERROR(__xludf.DUMMYFUNCTION("""COMPUTED_VALUE"""),44754.0)</f>
        <v>44754</v>
      </c>
      <c r="B2554" s="24" t="str">
        <f>IFERROR(__xludf.DUMMYFUNCTION("""COMPUTED_VALUE"""),"Alexia ")</f>
        <v>Alexia </v>
      </c>
      <c r="C2554" s="24">
        <f>IFERROR(__xludf.DUMMYFUNCTION("""COMPUTED_VALUE"""),17.0)</f>
        <v>17</v>
      </c>
      <c r="D2554" s="24"/>
      <c r="F2554" s="23">
        <f>IFERROR(__xludf.DUMMYFUNCTION("""COMPUTED_VALUE"""),44835.72012539352)</f>
        <v>44835.72013</v>
      </c>
      <c r="G2554" s="24" t="str">
        <f>IFERROR(__xludf.DUMMYFUNCTION("""COMPUTED_VALUE"""),"Beverly Pinn")</f>
        <v>Beverly Pinn</v>
      </c>
      <c r="H2554" s="24">
        <f>IFERROR(__xludf.DUMMYFUNCTION("""COMPUTED_VALUE"""),2.0)</f>
        <v>2</v>
      </c>
      <c r="I2554" s="24"/>
    </row>
    <row r="2555">
      <c r="A2555" s="23">
        <f>IFERROR(__xludf.DUMMYFUNCTION("""COMPUTED_VALUE"""),44754.0)</f>
        <v>44754</v>
      </c>
      <c r="B2555" s="24" t="str">
        <f>IFERROR(__xludf.DUMMYFUNCTION("""COMPUTED_VALUE"""),"Alexia ")</f>
        <v>Alexia </v>
      </c>
      <c r="C2555" s="24">
        <f>IFERROR(__xludf.DUMMYFUNCTION("""COMPUTED_VALUE"""),3.0)</f>
        <v>3</v>
      </c>
      <c r="D2555" s="24"/>
      <c r="F2555" s="23">
        <f>IFERROR(__xludf.DUMMYFUNCTION("""COMPUTED_VALUE"""),44836.0)</f>
        <v>44836</v>
      </c>
      <c r="G2555" s="24" t="str">
        <f>IFERROR(__xludf.DUMMYFUNCTION("""COMPUTED_VALUE"""),"Claire")</f>
        <v>Claire</v>
      </c>
      <c r="H2555" s="24">
        <f>IFERROR(__xludf.DUMMYFUNCTION("""COMPUTED_VALUE"""),90.0)</f>
        <v>90</v>
      </c>
      <c r="I2555" s="24" t="str">
        <f>IFERROR(__xludf.DUMMYFUNCTION("""COMPUTED_VALUE"""),"Assorted Dry")</f>
        <v>Assorted Dry</v>
      </c>
    </row>
    <row r="2556">
      <c r="A2556" s="23">
        <f>IFERROR(__xludf.DUMMYFUNCTION("""COMPUTED_VALUE"""),44754.0)</f>
        <v>44754</v>
      </c>
      <c r="B2556" s="24" t="str">
        <f>IFERROR(__xludf.DUMMYFUNCTION("""COMPUTED_VALUE"""),"Doris Parker Tuggle")</f>
        <v>Doris Parker Tuggle</v>
      </c>
      <c r="C2556" s="24">
        <f>IFERROR(__xludf.DUMMYFUNCTION("""COMPUTED_VALUE"""),20.0)</f>
        <v>20</v>
      </c>
      <c r="D2556" s="24"/>
      <c r="F2556" s="23">
        <f>IFERROR(__xludf.DUMMYFUNCTION("""COMPUTED_VALUE"""),44836.0)</f>
        <v>44836</v>
      </c>
      <c r="G2556" s="24" t="str">
        <f>IFERROR(__xludf.DUMMYFUNCTION("""COMPUTED_VALUE"""),"Claire")</f>
        <v>Claire</v>
      </c>
      <c r="H2556" s="24">
        <f>IFERROR(__xludf.DUMMYFUNCTION("""COMPUTED_VALUE"""),330.0)</f>
        <v>330</v>
      </c>
      <c r="I2556" s="24" t="str">
        <f>IFERROR(__xludf.DUMMYFUNCTION("""COMPUTED_VALUE"""),"Assorted Dry")</f>
        <v>Assorted Dry</v>
      </c>
    </row>
    <row r="2557">
      <c r="A2557" s="23">
        <f>IFERROR(__xludf.DUMMYFUNCTION("""COMPUTED_VALUE"""),44754.0)</f>
        <v>44754</v>
      </c>
      <c r="B2557" s="24" t="str">
        <f>IFERROR(__xludf.DUMMYFUNCTION("""COMPUTED_VALUE"""),"Doris Parker Tuggle")</f>
        <v>Doris Parker Tuggle</v>
      </c>
      <c r="C2557" s="24">
        <f>IFERROR(__xludf.DUMMYFUNCTION("""COMPUTED_VALUE"""),15.0)</f>
        <v>15</v>
      </c>
      <c r="D2557" s="24"/>
      <c r="F2557" s="23">
        <f>IFERROR(__xludf.DUMMYFUNCTION("""COMPUTED_VALUE"""),44836.0)</f>
        <v>44836</v>
      </c>
      <c r="G2557" s="24" t="str">
        <f>IFERROR(__xludf.DUMMYFUNCTION("""COMPUTED_VALUE"""),"Claire")</f>
        <v>Claire</v>
      </c>
      <c r="H2557" s="24">
        <f>IFERROR(__xludf.DUMMYFUNCTION("""COMPUTED_VALUE"""),47.0)</f>
        <v>47</v>
      </c>
      <c r="I2557" s="24" t="str">
        <f>IFERROR(__xludf.DUMMYFUNCTION("""COMPUTED_VALUE"""),"Produce")</f>
        <v>Produce</v>
      </c>
    </row>
    <row r="2558">
      <c r="A2558" s="23">
        <f>IFERROR(__xludf.DUMMYFUNCTION("""COMPUTED_VALUE"""),44754.0)</f>
        <v>44754</v>
      </c>
      <c r="B2558" s="24" t="str">
        <f>IFERROR(__xludf.DUMMYFUNCTION("""COMPUTED_VALUE"""),"Marci")</f>
        <v>Marci</v>
      </c>
      <c r="C2558" s="24">
        <f>IFERROR(__xludf.DUMMYFUNCTION("""COMPUTED_VALUE"""),13.0)</f>
        <v>13</v>
      </c>
      <c r="D2558" s="24"/>
      <c r="F2558" s="23">
        <f>IFERROR(__xludf.DUMMYFUNCTION("""COMPUTED_VALUE"""),44836.0)</f>
        <v>44836</v>
      </c>
      <c r="G2558" s="24" t="str">
        <f>IFERROR(__xludf.DUMMYFUNCTION("""COMPUTED_VALUE"""),"Claire")</f>
        <v>Claire</v>
      </c>
      <c r="H2558" s="24">
        <f>IFERROR(__xludf.DUMMYFUNCTION("""COMPUTED_VALUE"""),14.0)</f>
        <v>14</v>
      </c>
      <c r="I2558" s="24" t="str">
        <f>IFERROR(__xludf.DUMMYFUNCTION("""COMPUTED_VALUE"""),"Produce")</f>
        <v>Produce</v>
      </c>
    </row>
    <row r="2559">
      <c r="A2559" s="23">
        <f>IFERROR(__xludf.DUMMYFUNCTION("""COMPUTED_VALUE"""),44754.0)</f>
        <v>44754</v>
      </c>
      <c r="B2559" s="24" t="str">
        <f>IFERROR(__xludf.DUMMYFUNCTION("""COMPUTED_VALUE"""),"Marci")</f>
        <v>Marci</v>
      </c>
      <c r="C2559" s="24">
        <f>IFERROR(__xludf.DUMMYFUNCTION("""COMPUTED_VALUE"""),32.0)</f>
        <v>32</v>
      </c>
      <c r="D2559" s="24"/>
      <c r="F2559" s="23">
        <f>IFERROR(__xludf.DUMMYFUNCTION("""COMPUTED_VALUE"""),44836.0)</f>
        <v>44836</v>
      </c>
      <c r="G2559" s="24" t="str">
        <f>IFERROR(__xludf.DUMMYFUNCTION("""COMPUTED_VALUE"""),"Claire")</f>
        <v>Claire</v>
      </c>
      <c r="H2559" s="24">
        <f>IFERROR(__xludf.DUMMYFUNCTION("""COMPUTED_VALUE"""),150.0)</f>
        <v>150</v>
      </c>
      <c r="I2559" s="24" t="str">
        <f>IFERROR(__xludf.DUMMYFUNCTION("""COMPUTED_VALUE"""),"Produce")</f>
        <v>Produce</v>
      </c>
    </row>
    <row r="2560">
      <c r="A2560" s="23">
        <f>IFERROR(__xludf.DUMMYFUNCTION("""COMPUTED_VALUE"""),44754.7169868287)</f>
        <v>44754.71699</v>
      </c>
      <c r="B2560" s="24" t="str">
        <f>IFERROR(__xludf.DUMMYFUNCTION("""COMPUTED_VALUE"""),"Beverly Pinn")</f>
        <v>Beverly Pinn</v>
      </c>
      <c r="C2560" s="24">
        <f>IFERROR(__xludf.DUMMYFUNCTION("""COMPUTED_VALUE"""),20.0)</f>
        <v>20</v>
      </c>
      <c r="D2560" s="24"/>
      <c r="F2560" s="23">
        <f>IFERROR(__xludf.DUMMYFUNCTION("""COMPUTED_VALUE"""),44836.0)</f>
        <v>44836</v>
      </c>
      <c r="G2560" s="24" t="str">
        <f>IFERROR(__xludf.DUMMYFUNCTION("""COMPUTED_VALUE"""),"Claire")</f>
        <v>Claire</v>
      </c>
      <c r="H2560" s="24">
        <f>IFERROR(__xludf.DUMMYFUNCTION("""COMPUTED_VALUE"""),139.0)</f>
        <v>139</v>
      </c>
      <c r="I2560" s="24" t="str">
        <f>IFERROR(__xludf.DUMMYFUNCTION("""COMPUTED_VALUE"""),"Snacks")</f>
        <v>Snacks</v>
      </c>
    </row>
    <row r="2561">
      <c r="A2561" s="23">
        <f>IFERROR(__xludf.DUMMYFUNCTION("""COMPUTED_VALUE"""),44754.71729807871)</f>
        <v>44754.7173</v>
      </c>
      <c r="B2561" s="24" t="str">
        <f>IFERROR(__xludf.DUMMYFUNCTION("""COMPUTED_VALUE"""),"Beverly Pinn")</f>
        <v>Beverly Pinn</v>
      </c>
      <c r="C2561" s="24">
        <f>IFERROR(__xludf.DUMMYFUNCTION("""COMPUTED_VALUE"""),8.0)</f>
        <v>8</v>
      </c>
      <c r="D2561" s="24"/>
      <c r="F2561" s="23">
        <f>IFERROR(__xludf.DUMMYFUNCTION("""COMPUTED_VALUE"""),44836.0)</f>
        <v>44836</v>
      </c>
      <c r="G2561" s="24" t="str">
        <f>IFERROR(__xludf.DUMMYFUNCTION("""COMPUTED_VALUE"""),"Claire")</f>
        <v>Claire</v>
      </c>
      <c r="H2561" s="24">
        <f>IFERROR(__xludf.DUMMYFUNCTION("""COMPUTED_VALUE"""),474.0)</f>
        <v>474</v>
      </c>
      <c r="I2561" s="24" t="str">
        <f>IFERROR(__xludf.DUMMYFUNCTION("""COMPUTED_VALUE"""),"Produce")</f>
        <v>Produce</v>
      </c>
    </row>
    <row r="2562">
      <c r="A2562" s="23">
        <f>IFERROR(__xludf.DUMMYFUNCTION("""COMPUTED_VALUE"""),44754.71844693287)</f>
        <v>44754.71845</v>
      </c>
      <c r="B2562" s="24" t="str">
        <f>IFERROR(__xludf.DUMMYFUNCTION("""COMPUTED_VALUE"""),"Jean. Extra")</f>
        <v>Jean. Extra</v>
      </c>
      <c r="C2562" s="24">
        <f>IFERROR(__xludf.DUMMYFUNCTION("""COMPUTED_VALUE"""),26.0)</f>
        <v>26</v>
      </c>
      <c r="D2562" s="24"/>
      <c r="F2562" s="23">
        <f>IFERROR(__xludf.DUMMYFUNCTION("""COMPUTED_VALUE"""),44836.0)</f>
        <v>44836</v>
      </c>
      <c r="G2562" s="24" t="str">
        <f>IFERROR(__xludf.DUMMYFUNCTION("""COMPUTED_VALUE"""),"Claire")</f>
        <v>Claire</v>
      </c>
      <c r="H2562" s="24">
        <f>IFERROR(__xludf.DUMMYFUNCTION("""COMPUTED_VALUE"""),135.0)</f>
        <v>135</v>
      </c>
      <c r="I2562" s="24" t="str">
        <f>IFERROR(__xludf.DUMMYFUNCTION("""COMPUTED_VALUE"""),"Hand sanitizer")</f>
        <v>Hand sanitizer</v>
      </c>
    </row>
    <row r="2563">
      <c r="A2563" s="23">
        <f>IFERROR(__xludf.DUMMYFUNCTION("""COMPUTED_VALUE"""),44754.71867700232)</f>
        <v>44754.71868</v>
      </c>
      <c r="B2563" s="24" t="str">
        <f>IFERROR(__xludf.DUMMYFUNCTION("""COMPUTED_VALUE"""),"Jean")</f>
        <v>Jean</v>
      </c>
      <c r="C2563" s="24">
        <f>IFERROR(__xludf.DUMMYFUNCTION("""COMPUTED_VALUE"""),34.0)</f>
        <v>34</v>
      </c>
      <c r="D2563" s="24"/>
      <c r="F2563" s="23">
        <f>IFERROR(__xludf.DUMMYFUNCTION("""COMPUTED_VALUE"""),44836.0)</f>
        <v>44836</v>
      </c>
      <c r="G2563" s="24" t="str">
        <f>IFERROR(__xludf.DUMMYFUNCTION("""COMPUTED_VALUE"""),"Claire")</f>
        <v>Claire</v>
      </c>
      <c r="H2563" s="24">
        <f>IFERROR(__xludf.DUMMYFUNCTION("""COMPUTED_VALUE"""),135.0)</f>
        <v>135</v>
      </c>
      <c r="I2563" s="24" t="str">
        <f>IFERROR(__xludf.DUMMYFUNCTION("""COMPUTED_VALUE"""),"Hand sanitizer")</f>
        <v>Hand sanitizer</v>
      </c>
    </row>
    <row r="2564">
      <c r="A2564" s="23">
        <f>IFERROR(__xludf.DUMMYFUNCTION("""COMPUTED_VALUE"""),44754.71914376158)</f>
        <v>44754.71914</v>
      </c>
      <c r="B2564" s="24" t="str">
        <f>IFERROR(__xludf.DUMMYFUNCTION("""COMPUTED_VALUE"""),"Kaneesha ")</f>
        <v>Kaneesha </v>
      </c>
      <c r="C2564" s="24">
        <f>IFERROR(__xludf.DUMMYFUNCTION("""COMPUTED_VALUE"""),20.0)</f>
        <v>20</v>
      </c>
      <c r="D2564" s="24"/>
      <c r="F2564" s="23">
        <f>IFERROR(__xludf.DUMMYFUNCTION("""COMPUTED_VALUE"""),44836.0)</f>
        <v>44836</v>
      </c>
      <c r="G2564" s="24" t="str">
        <f>IFERROR(__xludf.DUMMYFUNCTION("""COMPUTED_VALUE"""),"Claire")</f>
        <v>Claire</v>
      </c>
      <c r="H2564" s="24">
        <f>IFERROR(__xludf.DUMMYFUNCTION("""COMPUTED_VALUE"""),73.0)</f>
        <v>73</v>
      </c>
      <c r="I2564" s="24" t="str">
        <f>IFERROR(__xludf.DUMMYFUNCTION("""COMPUTED_VALUE"""),"Assorted Dry")</f>
        <v>Assorted Dry</v>
      </c>
    </row>
    <row r="2565">
      <c r="A2565" s="23">
        <f>IFERROR(__xludf.DUMMYFUNCTION("""COMPUTED_VALUE"""),44754.719341909724)</f>
        <v>44754.71934</v>
      </c>
      <c r="B2565" s="24" t="str">
        <f>IFERROR(__xludf.DUMMYFUNCTION("""COMPUTED_VALUE"""),"Kaneesha(expired)")</f>
        <v>Kaneesha(expired)</v>
      </c>
      <c r="C2565" s="24">
        <f>IFERROR(__xludf.DUMMYFUNCTION("""COMPUTED_VALUE"""),17.0)</f>
        <v>17</v>
      </c>
      <c r="D2565" s="24"/>
      <c r="F2565" s="23">
        <f>IFERROR(__xludf.DUMMYFUNCTION("""COMPUTED_VALUE"""),44836.0)</f>
        <v>44836</v>
      </c>
      <c r="G2565" s="24" t="str">
        <f>IFERROR(__xludf.DUMMYFUNCTION("""COMPUTED_VALUE"""),"Claire")</f>
        <v>Claire</v>
      </c>
      <c r="H2565" s="24">
        <f>IFERROR(__xludf.DUMMYFUNCTION("""COMPUTED_VALUE"""),88.0)</f>
        <v>88</v>
      </c>
      <c r="I2565" s="24" t="str">
        <f>IFERROR(__xludf.DUMMYFUNCTION("""COMPUTED_VALUE"""),"Produce")</f>
        <v>Produce</v>
      </c>
    </row>
    <row r="2566">
      <c r="A2566" s="23">
        <f>IFERROR(__xludf.DUMMYFUNCTION("""COMPUTED_VALUE"""),44755.0)</f>
        <v>44755</v>
      </c>
      <c r="B2566" s="24" t="str">
        <f>IFERROR(__xludf.DUMMYFUNCTION("""COMPUTED_VALUE"""),"Lynette c")</f>
        <v>Lynette c</v>
      </c>
      <c r="C2566" s="24">
        <f>IFERROR(__xludf.DUMMYFUNCTION("""COMPUTED_VALUE"""),18.0)</f>
        <v>18</v>
      </c>
      <c r="D2566" s="24"/>
      <c r="F2566" s="23">
        <f>IFERROR(__xludf.DUMMYFUNCTION("""COMPUTED_VALUE"""),44836.0)</f>
        <v>44836</v>
      </c>
      <c r="G2566" s="24" t="str">
        <f>IFERROR(__xludf.DUMMYFUNCTION("""COMPUTED_VALUE"""),"Claire")</f>
        <v>Claire</v>
      </c>
      <c r="H2566" s="24">
        <f>IFERROR(__xludf.DUMMYFUNCTION("""COMPUTED_VALUE"""),93.0)</f>
        <v>93</v>
      </c>
      <c r="I2566" s="24" t="str">
        <f>IFERROR(__xludf.DUMMYFUNCTION("""COMPUTED_VALUE"""),"Produce")</f>
        <v>Produce</v>
      </c>
    </row>
    <row r="2567">
      <c r="A2567" s="23">
        <f>IFERROR(__xludf.DUMMYFUNCTION("""COMPUTED_VALUE"""),44755.0)</f>
        <v>44755</v>
      </c>
      <c r="B2567" s="24" t="str">
        <f>IFERROR(__xludf.DUMMYFUNCTION("""COMPUTED_VALUE"""),"Lynette c")</f>
        <v>Lynette c</v>
      </c>
      <c r="C2567" s="24">
        <f>IFERROR(__xludf.DUMMYFUNCTION("""COMPUTED_VALUE"""),43.0)</f>
        <v>43</v>
      </c>
      <c r="D2567" s="24"/>
      <c r="F2567" s="23">
        <f>IFERROR(__xludf.DUMMYFUNCTION("""COMPUTED_VALUE"""),44836.0)</f>
        <v>44836</v>
      </c>
      <c r="G2567" s="24" t="str">
        <f>IFERROR(__xludf.DUMMYFUNCTION("""COMPUTED_VALUE"""),"Claire")</f>
        <v>Claire</v>
      </c>
      <c r="H2567" s="24">
        <f>IFERROR(__xludf.DUMMYFUNCTION("""COMPUTED_VALUE"""),20.0)</f>
        <v>20</v>
      </c>
      <c r="I2567" s="24" t="str">
        <f>IFERROR(__xludf.DUMMYFUNCTION("""COMPUTED_VALUE"""),"Produce")</f>
        <v>Produce</v>
      </c>
    </row>
    <row r="2568">
      <c r="A2568" s="23">
        <f>IFERROR(__xludf.DUMMYFUNCTION("""COMPUTED_VALUE"""),44755.0)</f>
        <v>44755</v>
      </c>
      <c r="B2568" s="24" t="str">
        <f>IFERROR(__xludf.DUMMYFUNCTION("""COMPUTED_VALUE"""),"Marci")</f>
        <v>Marci</v>
      </c>
      <c r="C2568" s="24">
        <f>IFERROR(__xludf.DUMMYFUNCTION("""COMPUTED_VALUE"""),21.0)</f>
        <v>21</v>
      </c>
      <c r="D2568" s="24"/>
      <c r="F2568" s="23">
        <f>IFERROR(__xludf.DUMMYFUNCTION("""COMPUTED_VALUE"""),44836.0)</f>
        <v>44836</v>
      </c>
      <c r="G2568" s="24" t="str">
        <f>IFERROR(__xludf.DUMMYFUNCTION("""COMPUTED_VALUE"""),"Kate Weeks")</f>
        <v>Kate Weeks</v>
      </c>
      <c r="H2568" s="24">
        <f>IFERROR(__xludf.DUMMYFUNCTION("""COMPUTED_VALUE"""),27.0)</f>
        <v>27</v>
      </c>
      <c r="I2568" s="24" t="str">
        <f>IFERROR(__xludf.DUMMYFUNCTION("""COMPUTED_VALUE"""),"Damage/expired/extra")</f>
        <v>Damage/expired/extra</v>
      </c>
    </row>
    <row r="2569">
      <c r="A2569" s="23">
        <f>IFERROR(__xludf.DUMMYFUNCTION("""COMPUTED_VALUE"""),44755.0)</f>
        <v>44755</v>
      </c>
      <c r="B2569" s="24" t="str">
        <f>IFERROR(__xludf.DUMMYFUNCTION("""COMPUTED_VALUE"""),"Marci")</f>
        <v>Marci</v>
      </c>
      <c r="C2569" s="24">
        <f>IFERROR(__xludf.DUMMYFUNCTION("""COMPUTED_VALUE"""),44.0)</f>
        <v>44</v>
      </c>
      <c r="D2569" s="24"/>
      <c r="F2569" s="23">
        <f>IFERROR(__xludf.DUMMYFUNCTION("""COMPUTED_VALUE"""),44836.0)</f>
        <v>44836</v>
      </c>
      <c r="G2569" s="24" t="str">
        <f>IFERROR(__xludf.DUMMYFUNCTION("""COMPUTED_VALUE"""),"Alex Wang")</f>
        <v>Alex Wang</v>
      </c>
      <c r="H2569" s="24">
        <f>IFERROR(__xludf.DUMMYFUNCTION("""COMPUTED_VALUE"""),20.0)</f>
        <v>20</v>
      </c>
      <c r="I2569" s="24"/>
    </row>
    <row r="2570">
      <c r="A2570" s="23">
        <f>IFERROR(__xludf.DUMMYFUNCTION("""COMPUTED_VALUE"""),44755.0)</f>
        <v>44755</v>
      </c>
      <c r="B2570" s="24" t="str">
        <f>IFERROR(__xludf.DUMMYFUNCTION("""COMPUTED_VALUE"""),"Juanita c")</f>
        <v>Juanita c</v>
      </c>
      <c r="C2570" s="24">
        <f>IFERROR(__xludf.DUMMYFUNCTION("""COMPUTED_VALUE"""),9.0)</f>
        <v>9</v>
      </c>
      <c r="D2570" s="24"/>
      <c r="F2570" s="23">
        <f>IFERROR(__xludf.DUMMYFUNCTION("""COMPUTED_VALUE"""),44836.0)</f>
        <v>44836</v>
      </c>
      <c r="G2570" s="24" t="str">
        <f>IFERROR(__xludf.DUMMYFUNCTION("""COMPUTED_VALUE"""),"Alex Wang")</f>
        <v>Alex Wang</v>
      </c>
      <c r="H2570" s="24">
        <f>IFERROR(__xludf.DUMMYFUNCTION("""COMPUTED_VALUE"""),3.0)</f>
        <v>3</v>
      </c>
      <c r="I2570" s="24" t="str">
        <f>IFERROR(__xludf.DUMMYFUNCTION("""COMPUTED_VALUE"""),"Damage/expired/extra")</f>
        <v>Damage/expired/extra</v>
      </c>
    </row>
    <row r="2571">
      <c r="A2571" s="23">
        <f>IFERROR(__xludf.DUMMYFUNCTION("""COMPUTED_VALUE"""),44755.0)</f>
        <v>44755</v>
      </c>
      <c r="B2571" s="24" t="str">
        <f>IFERROR(__xludf.DUMMYFUNCTION("""COMPUTED_VALUE"""),"Juanita c")</f>
        <v>Juanita c</v>
      </c>
      <c r="C2571" s="24">
        <f>IFERROR(__xludf.DUMMYFUNCTION("""COMPUTED_VALUE"""),30.0)</f>
        <v>30</v>
      </c>
      <c r="D2571" s="24"/>
      <c r="F2571" s="23">
        <f>IFERROR(__xludf.DUMMYFUNCTION("""COMPUTED_VALUE"""),44836.659014780096)</f>
        <v>44836.65901</v>
      </c>
      <c r="G2571" s="24" t="str">
        <f>IFERROR(__xludf.DUMMYFUNCTION("""COMPUTED_VALUE"""),"Opey")</f>
        <v>Opey</v>
      </c>
      <c r="H2571" s="24">
        <f>IFERROR(__xludf.DUMMYFUNCTION("""COMPUTED_VALUE"""),324.0)</f>
        <v>324</v>
      </c>
      <c r="I2571" s="24" t="str">
        <f>IFERROR(__xludf.DUMMYFUNCTION("""COMPUTED_VALUE"""),"Assorted Fridge")</f>
        <v>Assorted Fridge</v>
      </c>
    </row>
    <row r="2572">
      <c r="A2572" s="23">
        <f>IFERROR(__xludf.DUMMYFUNCTION("""COMPUTED_VALUE"""),44755.72124368056)</f>
        <v>44755.72124</v>
      </c>
      <c r="B2572" s="24" t="str">
        <f>IFERROR(__xludf.DUMMYFUNCTION("""COMPUTED_VALUE"""),"Deborah Claridy ")</f>
        <v>Deborah Claridy </v>
      </c>
      <c r="C2572" s="24">
        <f>IFERROR(__xludf.DUMMYFUNCTION("""COMPUTED_VALUE"""),14.0)</f>
        <v>14</v>
      </c>
      <c r="D2572" s="24"/>
      <c r="F2572" s="23">
        <f>IFERROR(__xludf.DUMMYFUNCTION("""COMPUTED_VALUE"""),44836.65989525463)</f>
        <v>44836.6599</v>
      </c>
      <c r="G2572" s="24" t="str">
        <f>IFERROR(__xludf.DUMMYFUNCTION("""COMPUTED_VALUE"""),"Opey")</f>
        <v>Opey</v>
      </c>
      <c r="H2572" s="24">
        <f>IFERROR(__xludf.DUMMYFUNCTION("""COMPUTED_VALUE"""),183.0)</f>
        <v>183</v>
      </c>
      <c r="I2572" s="24" t="str">
        <f>IFERROR(__xludf.DUMMYFUNCTION("""COMPUTED_VALUE"""),"Assorted Fridge")</f>
        <v>Assorted Fridge</v>
      </c>
    </row>
    <row r="2573">
      <c r="A2573" s="23">
        <f>IFERROR(__xludf.DUMMYFUNCTION("""COMPUTED_VALUE"""),44755.72157072916)</f>
        <v>44755.72157</v>
      </c>
      <c r="B2573" s="24" t="str">
        <f>IFERROR(__xludf.DUMMYFUNCTION("""COMPUTED_VALUE"""),"Deborah Claridy ")</f>
        <v>Deborah Claridy </v>
      </c>
      <c r="C2573" s="24">
        <f>IFERROR(__xludf.DUMMYFUNCTION("""COMPUTED_VALUE"""),13.0)</f>
        <v>13</v>
      </c>
      <c r="D2573" s="24"/>
      <c r="F2573" s="23">
        <f>IFERROR(__xludf.DUMMYFUNCTION("""COMPUTED_VALUE"""),44836.67036538195)</f>
        <v>44836.67037</v>
      </c>
      <c r="G2573" s="24" t="str">
        <f>IFERROR(__xludf.DUMMYFUNCTION("""COMPUTED_VALUE"""),"Kaneesha ")</f>
        <v>Kaneesha </v>
      </c>
      <c r="H2573" s="24">
        <f>IFERROR(__xludf.DUMMYFUNCTION("""COMPUTED_VALUE"""),20.0)</f>
        <v>20</v>
      </c>
      <c r="I2573" s="24"/>
    </row>
    <row r="2574">
      <c r="A2574" s="23">
        <f>IFERROR(__xludf.DUMMYFUNCTION("""COMPUTED_VALUE"""),44755.7930166088)</f>
        <v>44755.79302</v>
      </c>
      <c r="B2574" s="24" t="str">
        <f>IFERROR(__xludf.DUMMYFUNCTION("""COMPUTED_VALUE"""),"Theresa Keil")</f>
        <v>Theresa Keil</v>
      </c>
      <c r="C2574" s="24">
        <f>IFERROR(__xludf.DUMMYFUNCTION("""COMPUTED_VALUE"""),141.0)</f>
        <v>141</v>
      </c>
      <c r="D2574" s="24"/>
      <c r="F2574" s="23">
        <f>IFERROR(__xludf.DUMMYFUNCTION("""COMPUTED_VALUE"""),44836.670524062494)</f>
        <v>44836.67052</v>
      </c>
      <c r="G2574" s="24" t="str">
        <f>IFERROR(__xludf.DUMMYFUNCTION("""COMPUTED_VALUE"""),"Kate Weeks")</f>
        <v>Kate Weeks</v>
      </c>
      <c r="H2574" s="24">
        <f>IFERROR(__xludf.DUMMYFUNCTION("""COMPUTED_VALUE"""),20.0)</f>
        <v>20</v>
      </c>
      <c r="I2574" s="24"/>
    </row>
    <row r="2575">
      <c r="A2575" s="23">
        <f>IFERROR(__xludf.DUMMYFUNCTION("""COMPUTED_VALUE"""),44755.86731408565)</f>
        <v>44755.86731</v>
      </c>
      <c r="B2575" s="24" t="str">
        <f>IFERROR(__xludf.DUMMYFUNCTION("""COMPUTED_VALUE"""),"Connor Gephart")</f>
        <v>Connor Gephart</v>
      </c>
      <c r="C2575" s="24">
        <f>IFERROR(__xludf.DUMMYFUNCTION("""COMPUTED_VALUE"""),15.0)</f>
        <v>15</v>
      </c>
      <c r="D2575" s="24"/>
      <c r="F2575" s="23">
        <f>IFERROR(__xludf.DUMMYFUNCTION("""COMPUTED_VALUE"""),44836.670649328706)</f>
        <v>44836.67065</v>
      </c>
      <c r="G2575" s="24" t="str">
        <f>IFERROR(__xludf.DUMMYFUNCTION("""COMPUTED_VALUE"""),"Kaneesha ")</f>
        <v>Kaneesha </v>
      </c>
      <c r="H2575" s="24">
        <f>IFERROR(__xludf.DUMMYFUNCTION("""COMPUTED_VALUE"""),33.0)</f>
        <v>33</v>
      </c>
      <c r="I2575" s="24" t="str">
        <f>IFERROR(__xludf.DUMMYFUNCTION("""COMPUTED_VALUE"""),"Damage/expired/extra")</f>
        <v>Damage/expired/extra</v>
      </c>
    </row>
    <row r="2576">
      <c r="A2576" s="23">
        <f>IFERROR(__xludf.DUMMYFUNCTION("""COMPUTED_VALUE"""),44755.87010193287)</f>
        <v>44755.8701</v>
      </c>
      <c r="B2576" s="24" t="str">
        <f>IFERROR(__xludf.DUMMYFUNCTION("""COMPUTED_VALUE"""),"Deborah Davis")</f>
        <v>Deborah Davis</v>
      </c>
      <c r="C2576" s="24">
        <f>IFERROR(__xludf.DUMMYFUNCTION("""COMPUTED_VALUE"""),16.0)</f>
        <v>16</v>
      </c>
      <c r="D2576" s="24"/>
      <c r="F2576" s="23">
        <f>IFERROR(__xludf.DUMMYFUNCTION("""COMPUTED_VALUE"""),44836.674072696755)</f>
        <v>44836.67407</v>
      </c>
      <c r="G2576" s="24" t="str">
        <f>IFERROR(__xludf.DUMMYFUNCTION("""COMPUTED_VALUE"""),"Opey")</f>
        <v>Opey</v>
      </c>
      <c r="H2576" s="24">
        <f>IFERROR(__xludf.DUMMYFUNCTION("""COMPUTED_VALUE"""),15.0)</f>
        <v>15</v>
      </c>
      <c r="I2576" s="24"/>
    </row>
    <row r="2577">
      <c r="A2577" s="23">
        <f>IFERROR(__xludf.DUMMYFUNCTION("""COMPUTED_VALUE"""),44755.871195949076)</f>
        <v>44755.8712</v>
      </c>
      <c r="B2577" s="24" t="str">
        <f>IFERROR(__xludf.DUMMYFUNCTION("""COMPUTED_VALUE"""),"Maddie ")</f>
        <v>Maddie </v>
      </c>
      <c r="C2577" s="24">
        <f>IFERROR(__xludf.DUMMYFUNCTION("""COMPUTED_VALUE"""),20.0)</f>
        <v>20</v>
      </c>
      <c r="D2577" s="24"/>
      <c r="F2577" s="23">
        <f>IFERROR(__xludf.DUMMYFUNCTION("""COMPUTED_VALUE"""),44836.679248657405)</f>
        <v>44836.67925</v>
      </c>
      <c r="G2577" s="24" t="str">
        <f>IFERROR(__xludf.DUMMYFUNCTION("""COMPUTED_VALUE"""),"Opey")</f>
        <v>Opey</v>
      </c>
      <c r="H2577" s="24">
        <f>IFERROR(__xludf.DUMMYFUNCTION("""COMPUTED_VALUE"""),101.0)</f>
        <v>101</v>
      </c>
      <c r="I2577" s="24" t="str">
        <f>IFERROR(__xludf.DUMMYFUNCTION("""COMPUTED_VALUE"""),"Assorted Dry")</f>
        <v>Assorted Dry</v>
      </c>
    </row>
    <row r="2578">
      <c r="A2578" s="23">
        <f>IFERROR(__xludf.DUMMYFUNCTION("""COMPUTED_VALUE"""),44755.87599325232)</f>
        <v>44755.87599</v>
      </c>
      <c r="B2578" s="24" t="str">
        <f>IFERROR(__xludf.DUMMYFUNCTION("""COMPUTED_VALUE"""),"Lynwood ")</f>
        <v>Lynwood </v>
      </c>
      <c r="C2578" s="24">
        <f>IFERROR(__xludf.DUMMYFUNCTION("""COMPUTED_VALUE"""),22.0)</f>
        <v>22</v>
      </c>
      <c r="D2578" s="24"/>
      <c r="F2578" s="23">
        <f>IFERROR(__xludf.DUMMYFUNCTION("""COMPUTED_VALUE"""),44836.680184756944)</f>
        <v>44836.68018</v>
      </c>
      <c r="G2578" s="24" t="str">
        <f>IFERROR(__xludf.DUMMYFUNCTION("""COMPUTED_VALUE"""),"Opey")</f>
        <v>Opey</v>
      </c>
      <c r="H2578" s="24">
        <f>IFERROR(__xludf.DUMMYFUNCTION("""COMPUTED_VALUE"""),176.0)</f>
        <v>176</v>
      </c>
      <c r="I2578" s="24" t="str">
        <f>IFERROR(__xludf.DUMMYFUNCTION("""COMPUTED_VALUE"""),"Mixed")</f>
        <v>Mixed</v>
      </c>
    </row>
    <row r="2579">
      <c r="A2579" s="23">
        <f>IFERROR(__xludf.DUMMYFUNCTION("""COMPUTED_VALUE"""),44755.877936550925)</f>
        <v>44755.87794</v>
      </c>
      <c r="B2579" s="24" t="str">
        <f>IFERROR(__xludf.DUMMYFUNCTION("""COMPUTED_VALUE"""),"Dee Satterfield")</f>
        <v>Dee Satterfield</v>
      </c>
      <c r="C2579" s="24">
        <f>IFERROR(__xludf.DUMMYFUNCTION("""COMPUTED_VALUE"""),20.0)</f>
        <v>20</v>
      </c>
      <c r="D2579" s="24"/>
      <c r="F2579" s="23">
        <f>IFERROR(__xludf.DUMMYFUNCTION("""COMPUTED_VALUE"""),44836.68028458333)</f>
        <v>44836.68028</v>
      </c>
      <c r="G2579" s="24" t="str">
        <f>IFERROR(__xludf.DUMMYFUNCTION("""COMPUTED_VALUE"""),"Zoe")</f>
        <v>Zoe</v>
      </c>
      <c r="H2579" s="24">
        <f>IFERROR(__xludf.DUMMYFUNCTION("""COMPUTED_VALUE"""),17.0)</f>
        <v>17</v>
      </c>
      <c r="I2579" s="24"/>
    </row>
    <row r="2580">
      <c r="A2580" s="23">
        <f>IFERROR(__xludf.DUMMYFUNCTION("""COMPUTED_VALUE"""),44755.87813556713)</f>
        <v>44755.87814</v>
      </c>
      <c r="B2580" s="24" t="str">
        <f>IFERROR(__xludf.DUMMYFUNCTION("""COMPUTED_VALUE"""),"Dee Satterfield")</f>
        <v>Dee Satterfield</v>
      </c>
      <c r="C2580" s="24">
        <f>IFERROR(__xludf.DUMMYFUNCTION("""COMPUTED_VALUE"""),6.0)</f>
        <v>6</v>
      </c>
      <c r="D2580" s="24"/>
      <c r="F2580" s="23">
        <f>IFERROR(__xludf.DUMMYFUNCTION("""COMPUTED_VALUE"""),44838.0)</f>
        <v>44838</v>
      </c>
      <c r="G2580" s="24" t="str">
        <f>IFERROR(__xludf.DUMMYFUNCTION("""COMPUTED_VALUE"""),"Marci")</f>
        <v>Marci</v>
      </c>
      <c r="H2580" s="24">
        <f>IFERROR(__xludf.DUMMYFUNCTION("""COMPUTED_VALUE"""),20.0)</f>
        <v>20</v>
      </c>
      <c r="I2580" s="24" t="str">
        <f>IFERROR(__xludf.DUMMYFUNCTION("""COMPUTED_VALUE"""),"Regular (up to 20lbs)")</f>
        <v>Regular (up to 20lbs)</v>
      </c>
    </row>
    <row r="2581">
      <c r="A2581" s="23">
        <f>IFERROR(__xludf.DUMMYFUNCTION("""COMPUTED_VALUE"""),44755.87925626157)</f>
        <v>44755.87926</v>
      </c>
      <c r="B2581" s="24" t="str">
        <f>IFERROR(__xludf.DUMMYFUNCTION("""COMPUTED_VALUE"""),"Luke mayhew")</f>
        <v>Luke mayhew</v>
      </c>
      <c r="C2581" s="24">
        <f>IFERROR(__xludf.DUMMYFUNCTION("""COMPUTED_VALUE"""),20.0)</f>
        <v>20</v>
      </c>
      <c r="D2581" s="24"/>
      <c r="F2581" s="23">
        <f>IFERROR(__xludf.DUMMYFUNCTION("""COMPUTED_VALUE"""),44838.0)</f>
        <v>44838</v>
      </c>
      <c r="G2581" s="24" t="str">
        <f>IFERROR(__xludf.DUMMYFUNCTION("""COMPUTED_VALUE"""),"Marci")</f>
        <v>Marci</v>
      </c>
      <c r="H2581" s="24">
        <f>IFERROR(__xludf.DUMMYFUNCTION("""COMPUTED_VALUE"""),36.0)</f>
        <v>36</v>
      </c>
      <c r="I2581" s="24" t="str">
        <f>IFERROR(__xludf.DUMMYFUNCTION("""COMPUTED_VALUE"""),"Damage/expired/extra")</f>
        <v>Damage/expired/extra</v>
      </c>
    </row>
    <row r="2582">
      <c r="A2582" s="23">
        <f>IFERROR(__xludf.DUMMYFUNCTION("""COMPUTED_VALUE"""),44755.87938854167)</f>
        <v>44755.87939</v>
      </c>
      <c r="B2582" s="24" t="str">
        <f>IFERROR(__xludf.DUMMYFUNCTION("""COMPUTED_VALUE"""),"Luke Mayhew Expired")</f>
        <v>Luke Mayhew Expired</v>
      </c>
      <c r="C2582" s="24">
        <f>IFERROR(__xludf.DUMMYFUNCTION("""COMPUTED_VALUE"""),20.0)</f>
        <v>20</v>
      </c>
      <c r="D2582" s="24"/>
      <c r="F2582" s="23">
        <f>IFERROR(__xludf.DUMMYFUNCTION("""COMPUTED_VALUE"""),44838.0)</f>
        <v>44838</v>
      </c>
      <c r="G2582" s="24" t="str">
        <f>IFERROR(__xludf.DUMMYFUNCTION("""COMPUTED_VALUE"""),"Beverly Graham")</f>
        <v>Beverly Graham</v>
      </c>
      <c r="H2582" s="24">
        <f>IFERROR(__xludf.DUMMYFUNCTION("""COMPUTED_VALUE"""),19.0)</f>
        <v>19</v>
      </c>
      <c r="I2582" s="24" t="str">
        <f>IFERROR(__xludf.DUMMYFUNCTION("""COMPUTED_VALUE"""),"Regular (up to 20lbs)")</f>
        <v>Regular (up to 20lbs)</v>
      </c>
    </row>
    <row r="2583">
      <c r="A2583" s="23">
        <f>IFERROR(__xludf.DUMMYFUNCTION("""COMPUTED_VALUE"""),44756.0)</f>
        <v>44756</v>
      </c>
      <c r="B2583" s="24" t="str">
        <f>IFERROR(__xludf.DUMMYFUNCTION("""COMPUTED_VALUE"""),"Denise Brown")</f>
        <v>Denise Brown</v>
      </c>
      <c r="C2583" s="24">
        <f>IFERROR(__xludf.DUMMYFUNCTION("""COMPUTED_VALUE"""),13.0)</f>
        <v>13</v>
      </c>
      <c r="D2583" s="24"/>
      <c r="F2583" s="23">
        <f>IFERROR(__xludf.DUMMYFUNCTION("""COMPUTED_VALUE"""),44838.58578152778)</f>
        <v>44838.58578</v>
      </c>
      <c r="G2583" s="24" t="str">
        <f>IFERROR(__xludf.DUMMYFUNCTION("""COMPUTED_VALUE"""),"Claire")</f>
        <v>Claire</v>
      </c>
      <c r="H2583" s="24">
        <f>IFERROR(__xludf.DUMMYFUNCTION("""COMPUTED_VALUE"""),799.0)</f>
        <v>799</v>
      </c>
      <c r="I2583" s="24" t="str">
        <f>IFERROR(__xludf.DUMMYFUNCTION("""COMPUTED_VALUE"""),"Amazon")</f>
        <v>Amazon</v>
      </c>
    </row>
    <row r="2584">
      <c r="A2584" s="23">
        <f>IFERROR(__xludf.DUMMYFUNCTION("""COMPUTED_VALUE"""),44756.0)</f>
        <v>44756</v>
      </c>
      <c r="B2584" s="24" t="str">
        <f>IFERROR(__xludf.DUMMYFUNCTION("""COMPUTED_VALUE"""),"Kimone Kocica")</f>
        <v>Kimone Kocica</v>
      </c>
      <c r="C2584" s="24">
        <f>IFERROR(__xludf.DUMMYFUNCTION("""COMPUTED_VALUE"""),12.0)</f>
        <v>12</v>
      </c>
      <c r="D2584" s="24"/>
      <c r="F2584" s="23">
        <f>IFERROR(__xludf.DUMMYFUNCTION("""COMPUTED_VALUE"""),44838.58599321759)</f>
        <v>44838.58599</v>
      </c>
      <c r="G2584" s="24" t="str">
        <f>IFERROR(__xludf.DUMMYFUNCTION("""COMPUTED_VALUE"""),"Claire")</f>
        <v>Claire</v>
      </c>
      <c r="H2584" s="24">
        <f>IFERROR(__xludf.DUMMYFUNCTION("""COMPUTED_VALUE"""),410.0)</f>
        <v>410</v>
      </c>
      <c r="I2584" s="24" t="str">
        <f>IFERROR(__xludf.DUMMYFUNCTION("""COMPUTED_VALUE"""),"Amazon")</f>
        <v>Amazon</v>
      </c>
    </row>
    <row r="2585">
      <c r="A2585" s="23">
        <f>IFERROR(__xludf.DUMMYFUNCTION("""COMPUTED_VALUE"""),44756.0)</f>
        <v>44756</v>
      </c>
      <c r="B2585" s="24" t="str">
        <f>IFERROR(__xludf.DUMMYFUNCTION("""COMPUTED_VALUE"""),"Hong Xue")</f>
        <v>Hong Xue</v>
      </c>
      <c r="C2585" s="24">
        <f>IFERROR(__xludf.DUMMYFUNCTION("""COMPUTED_VALUE"""),22.0)</f>
        <v>22</v>
      </c>
      <c r="D2585" s="24"/>
      <c r="F2585" s="23">
        <f>IFERROR(__xludf.DUMMYFUNCTION("""COMPUTED_VALUE"""),44838.58623474537)</f>
        <v>44838.58623</v>
      </c>
      <c r="G2585" s="24" t="str">
        <f>IFERROR(__xludf.DUMMYFUNCTION("""COMPUTED_VALUE"""),"Claire")</f>
        <v>Claire</v>
      </c>
      <c r="H2585" s="24">
        <f>IFERROR(__xludf.DUMMYFUNCTION("""COMPUTED_VALUE"""),991.0)</f>
        <v>991</v>
      </c>
      <c r="I2585" s="24" t="str">
        <f>IFERROR(__xludf.DUMMYFUNCTION("""COMPUTED_VALUE"""),"Amazon")</f>
        <v>Amazon</v>
      </c>
    </row>
    <row r="2586">
      <c r="A2586" s="23">
        <f>IFERROR(__xludf.DUMMYFUNCTION("""COMPUTED_VALUE"""),44756.0)</f>
        <v>44756</v>
      </c>
      <c r="B2586" s="24" t="str">
        <f>IFERROR(__xludf.DUMMYFUNCTION("""COMPUTED_VALUE"""),"Hong Xue")</f>
        <v>Hong Xue</v>
      </c>
      <c r="C2586" s="24">
        <f>IFERROR(__xludf.DUMMYFUNCTION("""COMPUTED_VALUE"""),16.0)</f>
        <v>16</v>
      </c>
      <c r="D2586" s="24"/>
      <c r="F2586" s="23">
        <f>IFERROR(__xludf.DUMMYFUNCTION("""COMPUTED_VALUE"""),44838.58647296296)</f>
        <v>44838.58647</v>
      </c>
      <c r="G2586" s="24" t="str">
        <f>IFERROR(__xludf.DUMMYFUNCTION("""COMPUTED_VALUE"""),"Claire")</f>
        <v>Claire</v>
      </c>
      <c r="H2586" s="24">
        <f>IFERROR(__xludf.DUMMYFUNCTION("""COMPUTED_VALUE"""),687.0)</f>
        <v>687</v>
      </c>
      <c r="I2586" s="24" t="str">
        <f>IFERROR(__xludf.DUMMYFUNCTION("""COMPUTED_VALUE"""),"Amazon")</f>
        <v>Amazon</v>
      </c>
    </row>
    <row r="2587">
      <c r="A2587" s="23">
        <f>IFERROR(__xludf.DUMMYFUNCTION("""COMPUTED_VALUE"""),44756.0)</f>
        <v>44756</v>
      </c>
      <c r="B2587" s="24" t="str">
        <f>IFERROR(__xludf.DUMMYFUNCTION("""COMPUTED_VALUE"""),"Monah Perry")</f>
        <v>Monah Perry</v>
      </c>
      <c r="C2587" s="24">
        <f>IFERROR(__xludf.DUMMYFUNCTION("""COMPUTED_VALUE"""),20.0)</f>
        <v>20</v>
      </c>
      <c r="D2587" s="24"/>
      <c r="F2587" s="23">
        <f>IFERROR(__xludf.DUMMYFUNCTION("""COMPUTED_VALUE"""),44838.681978726854)</f>
        <v>44838.68198</v>
      </c>
      <c r="G2587" s="24" t="str">
        <f>IFERROR(__xludf.DUMMYFUNCTION("""COMPUTED_VALUE"""),"Jean")</f>
        <v>Jean</v>
      </c>
      <c r="H2587" s="24">
        <f>IFERROR(__xludf.DUMMYFUNCTION("""COMPUTED_VALUE"""),13.0)</f>
        <v>13</v>
      </c>
      <c r="I2587" s="24" t="str">
        <f>IFERROR(__xludf.DUMMYFUNCTION("""COMPUTED_VALUE"""),"Regular (up to 20lbs)")</f>
        <v>Regular (up to 20lbs)</v>
      </c>
    </row>
    <row r="2588">
      <c r="A2588" s="23">
        <f>IFERROR(__xludf.DUMMYFUNCTION("""COMPUTED_VALUE"""),44756.0)</f>
        <v>44756</v>
      </c>
      <c r="B2588" s="24" t="str">
        <f>IFERROR(__xludf.DUMMYFUNCTION("""COMPUTED_VALUE"""),"Monah Perry")</f>
        <v>Monah Perry</v>
      </c>
      <c r="C2588" s="24">
        <f>IFERROR(__xludf.DUMMYFUNCTION("""COMPUTED_VALUE"""),19.0)</f>
        <v>19</v>
      </c>
      <c r="D2588" s="24"/>
      <c r="F2588" s="23">
        <f>IFERROR(__xludf.DUMMYFUNCTION("""COMPUTED_VALUE"""),44838.682190949075)</f>
        <v>44838.68219</v>
      </c>
      <c r="G2588" s="24" t="str">
        <f>IFERROR(__xludf.DUMMYFUNCTION("""COMPUTED_VALUE"""),"Jean")</f>
        <v>Jean</v>
      </c>
      <c r="H2588" s="24">
        <f>IFERROR(__xludf.DUMMYFUNCTION("""COMPUTED_VALUE"""),35.0)</f>
        <v>35</v>
      </c>
      <c r="I2588" s="24" t="str">
        <f>IFERROR(__xludf.DUMMYFUNCTION("""COMPUTED_VALUE"""),"Damage/expired/extra")</f>
        <v>Damage/expired/extra</v>
      </c>
    </row>
    <row r="2589">
      <c r="A2589" s="23">
        <f>IFERROR(__xludf.DUMMYFUNCTION("""COMPUTED_VALUE"""),44756.0)</f>
        <v>44756</v>
      </c>
      <c r="B2589" s="24" t="str">
        <f>IFERROR(__xludf.DUMMYFUNCTION("""COMPUTED_VALUE"""),"Ladaisha Thompson")</f>
        <v>Ladaisha Thompson</v>
      </c>
      <c r="C2589" s="24">
        <f>IFERROR(__xludf.DUMMYFUNCTION("""COMPUTED_VALUE"""),19.0)</f>
        <v>19</v>
      </c>
      <c r="D2589" s="24"/>
      <c r="F2589" s="23">
        <f>IFERROR(__xludf.DUMMYFUNCTION("""COMPUTED_VALUE"""),44838.686615115745)</f>
        <v>44838.68662</v>
      </c>
      <c r="G2589" s="24" t="str">
        <f>IFERROR(__xludf.DUMMYFUNCTION("""COMPUTED_VALUE"""),"Romaine Bouldin ")</f>
        <v>Romaine Bouldin </v>
      </c>
      <c r="H2589" s="24">
        <f>IFERROR(__xludf.DUMMYFUNCTION("""COMPUTED_VALUE"""),18.0)</f>
        <v>18</v>
      </c>
      <c r="I2589" s="24"/>
    </row>
    <row r="2590">
      <c r="A2590" s="23">
        <f>IFERROR(__xludf.DUMMYFUNCTION("""COMPUTED_VALUE"""),44756.0)</f>
        <v>44756</v>
      </c>
      <c r="B2590" s="24" t="str">
        <f>IFERROR(__xludf.DUMMYFUNCTION("""COMPUTED_VALUE"""),"Aziza Frank")</f>
        <v>Aziza Frank</v>
      </c>
      <c r="C2590" s="24">
        <f>IFERROR(__xludf.DUMMYFUNCTION("""COMPUTED_VALUE"""),20.0)</f>
        <v>20</v>
      </c>
      <c r="D2590" s="24"/>
      <c r="F2590" s="23">
        <f>IFERROR(__xludf.DUMMYFUNCTION("""COMPUTED_VALUE"""),44838.687220821754)</f>
        <v>44838.68722</v>
      </c>
      <c r="G2590" s="24" t="str">
        <f>IFERROR(__xludf.DUMMYFUNCTION("""COMPUTED_VALUE"""),"Beverly Graham")</f>
        <v>Beverly Graham</v>
      </c>
      <c r="H2590" s="24">
        <f>IFERROR(__xludf.DUMMYFUNCTION("""COMPUTED_VALUE"""),11.0)</f>
        <v>11</v>
      </c>
      <c r="I2590" s="24" t="str">
        <f>IFERROR(__xludf.DUMMYFUNCTION("""COMPUTED_VALUE"""),"Damage/expired/extra")</f>
        <v>Damage/expired/extra</v>
      </c>
    </row>
    <row r="2591">
      <c r="A2591" s="23">
        <f>IFERROR(__xludf.DUMMYFUNCTION("""COMPUTED_VALUE"""),44756.0)</f>
        <v>44756</v>
      </c>
      <c r="B2591" s="24" t="str">
        <f>IFERROR(__xludf.DUMMYFUNCTION("""COMPUTED_VALUE"""),"Aziza Frank")</f>
        <v>Aziza Frank</v>
      </c>
      <c r="C2591" s="24">
        <f>IFERROR(__xludf.DUMMYFUNCTION("""COMPUTED_VALUE"""),2.0)</f>
        <v>2</v>
      </c>
      <c r="D2591" s="24"/>
      <c r="F2591" s="23">
        <f>IFERROR(__xludf.DUMMYFUNCTION("""COMPUTED_VALUE"""),44838.689873298616)</f>
        <v>44838.68987</v>
      </c>
      <c r="G2591" s="24" t="str">
        <f>IFERROR(__xludf.DUMMYFUNCTION("""COMPUTED_VALUE"""),"Beverly Pinn")</f>
        <v>Beverly Pinn</v>
      </c>
      <c r="H2591" s="24">
        <f>IFERROR(__xludf.DUMMYFUNCTION("""COMPUTED_VALUE"""),20.0)</f>
        <v>20</v>
      </c>
      <c r="I2591" s="24" t="str">
        <f>IFERROR(__xludf.DUMMYFUNCTION("""COMPUTED_VALUE"""),"Regular (up to 20lbs)")</f>
        <v>Regular (up to 20lbs)</v>
      </c>
    </row>
    <row r="2592">
      <c r="A2592" s="23">
        <f>IFERROR(__xludf.DUMMYFUNCTION("""COMPUTED_VALUE"""),44756.0)</f>
        <v>44756</v>
      </c>
      <c r="B2592" s="24" t="str">
        <f>IFERROR(__xludf.DUMMYFUNCTION("""COMPUTED_VALUE"""),"Aziza Frank (cat food)")</f>
        <v>Aziza Frank (cat food)</v>
      </c>
      <c r="C2592" s="24">
        <f>IFERROR(__xludf.DUMMYFUNCTION("""COMPUTED_VALUE"""),16.0)</f>
        <v>16</v>
      </c>
      <c r="D2592" s="24"/>
      <c r="F2592" s="23">
        <f>IFERROR(__xludf.DUMMYFUNCTION("""COMPUTED_VALUE"""),44838.69010015046)</f>
        <v>44838.6901</v>
      </c>
      <c r="G2592" s="24" t="str">
        <f>IFERROR(__xludf.DUMMYFUNCTION("""COMPUTED_VALUE"""),"Beverly Pinn")</f>
        <v>Beverly Pinn</v>
      </c>
      <c r="H2592" s="24">
        <f>IFERROR(__xludf.DUMMYFUNCTION("""COMPUTED_VALUE"""),42.0)</f>
        <v>42</v>
      </c>
      <c r="I2592" s="24" t="str">
        <f>IFERROR(__xludf.DUMMYFUNCTION("""COMPUTED_VALUE"""),"Damage/expired/extra")</f>
        <v>Damage/expired/extra</v>
      </c>
    </row>
    <row r="2593">
      <c r="A2593" s="23">
        <f>IFERROR(__xludf.DUMMYFUNCTION("""COMPUTED_VALUE"""),44756.0)</f>
        <v>44756</v>
      </c>
      <c r="B2593" s="24" t="str">
        <f>IFERROR(__xludf.DUMMYFUNCTION("""COMPUTED_VALUE"""),"Seth Crawford")</f>
        <v>Seth Crawford</v>
      </c>
      <c r="C2593" s="24">
        <f>IFERROR(__xludf.DUMMYFUNCTION("""COMPUTED_VALUE"""),20.0)</f>
        <v>20</v>
      </c>
      <c r="D2593" s="24"/>
      <c r="F2593" s="23">
        <f>IFERROR(__xludf.DUMMYFUNCTION("""COMPUTED_VALUE"""),44839.0)</f>
        <v>44839</v>
      </c>
      <c r="G2593" s="24" t="str">
        <f>IFERROR(__xludf.DUMMYFUNCTION("""COMPUTED_VALUE"""),"Dee Satterfield")</f>
        <v>Dee Satterfield</v>
      </c>
      <c r="H2593" s="24">
        <f>IFERROR(__xludf.DUMMYFUNCTION("""COMPUTED_VALUE"""),20.0)</f>
        <v>20</v>
      </c>
      <c r="I2593" s="24" t="str">
        <f>IFERROR(__xludf.DUMMYFUNCTION("""COMPUTED_VALUE"""),"Regular (up to 20lbs)")</f>
        <v>Regular (up to 20lbs)</v>
      </c>
    </row>
    <row r="2594">
      <c r="A2594" s="23">
        <f>IFERROR(__xludf.DUMMYFUNCTION("""COMPUTED_VALUE"""),44756.0)</f>
        <v>44756</v>
      </c>
      <c r="B2594" s="24" t="str">
        <f>IFERROR(__xludf.DUMMYFUNCTION("""COMPUTED_VALUE"""),"Seth Crawford")</f>
        <v>Seth Crawford</v>
      </c>
      <c r="C2594" s="24">
        <f>IFERROR(__xludf.DUMMYFUNCTION("""COMPUTED_VALUE"""),2.0)</f>
        <v>2</v>
      </c>
      <c r="D2594" s="24"/>
      <c r="F2594" s="23">
        <f>IFERROR(__xludf.DUMMYFUNCTION("""COMPUTED_VALUE"""),44839.0)</f>
        <v>44839</v>
      </c>
      <c r="G2594" s="24" t="str">
        <f>IFERROR(__xludf.DUMMYFUNCTION("""COMPUTED_VALUE"""),"Lynwood McDaniel")</f>
        <v>Lynwood McDaniel</v>
      </c>
      <c r="H2594" s="24">
        <f>IFERROR(__xludf.DUMMYFUNCTION("""COMPUTED_VALUE"""),20.0)</f>
        <v>20</v>
      </c>
      <c r="I2594" s="24" t="str">
        <f>IFERROR(__xludf.DUMMYFUNCTION("""COMPUTED_VALUE"""),"Regular (up to 20lbs)")</f>
        <v>Regular (up to 20lbs)</v>
      </c>
    </row>
    <row r="2595">
      <c r="A2595" s="23">
        <f>IFERROR(__xludf.DUMMYFUNCTION("""COMPUTED_VALUE"""),44756.0)</f>
        <v>44756</v>
      </c>
      <c r="B2595" s="24" t="str">
        <f>IFERROR(__xludf.DUMMYFUNCTION("""COMPUTED_VALUE"""),"Sheneil Black")</f>
        <v>Sheneil Black</v>
      </c>
      <c r="C2595" s="24">
        <f>IFERROR(__xludf.DUMMYFUNCTION("""COMPUTED_VALUE"""),20.0)</f>
        <v>20</v>
      </c>
      <c r="D2595" s="24"/>
      <c r="F2595" s="23">
        <f>IFERROR(__xludf.DUMMYFUNCTION("""COMPUTED_VALUE"""),44839.0)</f>
        <v>44839</v>
      </c>
      <c r="G2595" s="24" t="str">
        <f>IFERROR(__xludf.DUMMYFUNCTION("""COMPUTED_VALUE"""),"Denise Rivers")</f>
        <v>Denise Rivers</v>
      </c>
      <c r="H2595" s="24">
        <f>IFERROR(__xludf.DUMMYFUNCTION("""COMPUTED_VALUE"""),20.0)</f>
        <v>20</v>
      </c>
      <c r="I2595" s="24" t="str">
        <f>IFERROR(__xludf.DUMMYFUNCTION("""COMPUTED_VALUE"""),"Regular (up to 20lbs)")</f>
        <v>Regular (up to 20lbs)</v>
      </c>
    </row>
    <row r="2596">
      <c r="A2596" s="23">
        <f>IFERROR(__xludf.DUMMYFUNCTION("""COMPUTED_VALUE"""),44756.0)</f>
        <v>44756</v>
      </c>
      <c r="B2596" s="24" t="str">
        <f>IFERROR(__xludf.DUMMYFUNCTION("""COMPUTED_VALUE"""),"Nathaniel Mcclean")</f>
        <v>Nathaniel Mcclean</v>
      </c>
      <c r="C2596" s="24">
        <f>IFERROR(__xludf.DUMMYFUNCTION("""COMPUTED_VALUE"""),18.0)</f>
        <v>18</v>
      </c>
      <c r="D2596" s="24"/>
      <c r="F2596" s="23">
        <f>IFERROR(__xludf.DUMMYFUNCTION("""COMPUTED_VALUE"""),44839.0)</f>
        <v>44839</v>
      </c>
      <c r="G2596" s="24" t="str">
        <f>IFERROR(__xludf.DUMMYFUNCTION("""COMPUTED_VALUE"""),"Denise Rivers")</f>
        <v>Denise Rivers</v>
      </c>
      <c r="H2596" s="24">
        <f>IFERROR(__xludf.DUMMYFUNCTION("""COMPUTED_VALUE"""),12.0)</f>
        <v>12</v>
      </c>
      <c r="I2596" s="24" t="str">
        <f>IFERROR(__xludf.DUMMYFUNCTION("""COMPUTED_VALUE"""),"Damage/expired/extra")</f>
        <v>Damage/expired/extra</v>
      </c>
    </row>
    <row r="2597">
      <c r="A2597" s="23">
        <f>IFERROR(__xludf.DUMMYFUNCTION("""COMPUTED_VALUE"""),44756.0)</f>
        <v>44756</v>
      </c>
      <c r="B2597" s="24" t="str">
        <f>IFERROR(__xludf.DUMMYFUNCTION("""COMPUTED_VALUE"""),"Nathaniel Mcclean")</f>
        <v>Nathaniel Mcclean</v>
      </c>
      <c r="C2597" s="24">
        <f>IFERROR(__xludf.DUMMYFUNCTION("""COMPUTED_VALUE"""),11.0)</f>
        <v>11</v>
      </c>
      <c r="D2597" s="24"/>
      <c r="F2597" s="23">
        <f>IFERROR(__xludf.DUMMYFUNCTION("""COMPUTED_VALUE"""),44839.56568274306)</f>
        <v>44839.56568</v>
      </c>
      <c r="G2597" s="24" t="str">
        <f>IFERROR(__xludf.DUMMYFUNCTION("""COMPUTED_VALUE"""),"Bud - sisson st drinks ")</f>
        <v>Bud - sisson st drinks </v>
      </c>
      <c r="H2597" s="24">
        <f>IFERROR(__xludf.DUMMYFUNCTION("""COMPUTED_VALUE"""),13.0)</f>
        <v>13</v>
      </c>
      <c r="I2597" s="24" t="str">
        <f>IFERROR(__xludf.DUMMYFUNCTION("""COMPUTED_VALUE"""),"Regular (up to 20lbs)")</f>
        <v>Regular (up to 20lbs)</v>
      </c>
    </row>
    <row r="2598">
      <c r="A2598" s="23">
        <f>IFERROR(__xludf.DUMMYFUNCTION("""COMPUTED_VALUE"""),44756.71221392361)</f>
        <v>44756.71221</v>
      </c>
      <c r="B2598" s="24" t="str">
        <f>IFERROR(__xludf.DUMMYFUNCTION("""COMPUTED_VALUE"""),"Deborah Davis")</f>
        <v>Deborah Davis</v>
      </c>
      <c r="C2598" s="24">
        <f>IFERROR(__xludf.DUMMYFUNCTION("""COMPUTED_VALUE"""),16.0)</f>
        <v>16</v>
      </c>
      <c r="D2598" s="24"/>
      <c r="F2598" s="23">
        <f>IFERROR(__xludf.DUMMYFUNCTION("""COMPUTED_VALUE"""),44839.566316990735)</f>
        <v>44839.56632</v>
      </c>
      <c r="G2598" s="24" t="str">
        <f>IFERROR(__xludf.DUMMYFUNCTION("""COMPUTED_VALUE"""),"Bud Stracker - personal ")</f>
        <v>Bud Stracker - personal </v>
      </c>
      <c r="H2598" s="24">
        <f>IFERROR(__xludf.DUMMYFUNCTION("""COMPUTED_VALUE"""),5.0)</f>
        <v>5</v>
      </c>
      <c r="I2598" s="24" t="str">
        <f>IFERROR(__xludf.DUMMYFUNCTION("""COMPUTED_VALUE"""),"Regular (up to 20lbs)")</f>
        <v>Regular (up to 20lbs)</v>
      </c>
    </row>
    <row r="2599">
      <c r="A2599" s="23">
        <f>IFERROR(__xludf.DUMMYFUNCTION("""COMPUTED_VALUE"""),44756.714086817134)</f>
        <v>44756.71409</v>
      </c>
      <c r="B2599" s="24" t="str">
        <f>IFERROR(__xludf.DUMMYFUNCTION("""COMPUTED_VALUE"""),"Norma Kriger")</f>
        <v>Norma Kriger</v>
      </c>
      <c r="C2599" s="24">
        <f>IFERROR(__xludf.DUMMYFUNCTION("""COMPUTED_VALUE"""),9.0)</f>
        <v>9</v>
      </c>
      <c r="D2599" s="24"/>
      <c r="F2599" s="23">
        <f>IFERROR(__xludf.DUMMYFUNCTION("""COMPUTED_VALUE"""),44839.67130474537)</f>
        <v>44839.6713</v>
      </c>
      <c r="G2599" s="24" t="str">
        <f>IFERROR(__xludf.DUMMYFUNCTION("""COMPUTED_VALUE"""),"Claire")</f>
        <v>Claire</v>
      </c>
      <c r="H2599" s="24">
        <f>IFERROR(__xludf.DUMMYFUNCTION("""COMPUTED_VALUE"""),1472.0)</f>
        <v>1472</v>
      </c>
      <c r="I2599" s="24" t="str">
        <f>IFERROR(__xludf.DUMMYFUNCTION("""COMPUTED_VALUE"""),"First Fruits Farm")</f>
        <v>First Fruits Farm</v>
      </c>
    </row>
    <row r="2600">
      <c r="A2600" s="23">
        <f>IFERROR(__xludf.DUMMYFUNCTION("""COMPUTED_VALUE"""),44756.72106111111)</f>
        <v>44756.72106</v>
      </c>
      <c r="B2600" s="24" t="str">
        <f>IFERROR(__xludf.DUMMYFUNCTION("""COMPUTED_VALUE"""),"Jean")</f>
        <v>Jean</v>
      </c>
      <c r="C2600" s="24">
        <f>IFERROR(__xludf.DUMMYFUNCTION("""COMPUTED_VALUE"""),20.0)</f>
        <v>20</v>
      </c>
      <c r="D2600" s="24"/>
      <c r="F2600" s="23">
        <f>IFERROR(__xludf.DUMMYFUNCTION("""COMPUTED_VALUE"""),44839.67152758101)</f>
        <v>44839.67153</v>
      </c>
      <c r="G2600" s="24" t="str">
        <f>IFERROR(__xludf.DUMMYFUNCTION("""COMPUTED_VALUE"""),"Claire")</f>
        <v>Claire</v>
      </c>
      <c r="H2600" s="24">
        <f>IFERROR(__xludf.DUMMYFUNCTION("""COMPUTED_VALUE"""),1391.0)</f>
        <v>1391</v>
      </c>
      <c r="I2600" s="24" t="str">
        <f>IFERROR(__xludf.DUMMYFUNCTION("""COMPUTED_VALUE"""),"First Fruits Farm")</f>
        <v>First Fruits Farm</v>
      </c>
    </row>
    <row r="2601">
      <c r="A2601" s="23">
        <f>IFERROR(__xludf.DUMMYFUNCTION("""COMPUTED_VALUE"""),44756.721214467594)</f>
        <v>44756.72121</v>
      </c>
      <c r="B2601" s="24" t="str">
        <f>IFERROR(__xludf.DUMMYFUNCTION("""COMPUTED_VALUE"""),"Jean")</f>
        <v>Jean</v>
      </c>
      <c r="C2601" s="24">
        <f>IFERROR(__xludf.DUMMYFUNCTION("""COMPUTED_VALUE"""),5.0)</f>
        <v>5</v>
      </c>
      <c r="D2601" s="24"/>
      <c r="F2601" s="23">
        <f>IFERROR(__xludf.DUMMYFUNCTION("""COMPUTED_VALUE"""),44839.671739074074)</f>
        <v>44839.67174</v>
      </c>
      <c r="G2601" s="24" t="str">
        <f>IFERROR(__xludf.DUMMYFUNCTION("""COMPUTED_VALUE"""),"Claire")</f>
        <v>Claire</v>
      </c>
      <c r="H2601" s="24">
        <f>IFERROR(__xludf.DUMMYFUNCTION("""COMPUTED_VALUE"""),401.0)</f>
        <v>401</v>
      </c>
      <c r="I2601" s="24" t="str">
        <f>IFERROR(__xludf.DUMMYFUNCTION("""COMPUTED_VALUE"""),"First Fruits Farm")</f>
        <v>First Fruits Farm</v>
      </c>
    </row>
    <row r="2602">
      <c r="A2602" s="23">
        <f>IFERROR(__xludf.DUMMYFUNCTION("""COMPUTED_VALUE"""),44756.86743548611)</f>
        <v>44756.86744</v>
      </c>
      <c r="B2602" s="24" t="str">
        <f>IFERROR(__xludf.DUMMYFUNCTION("""COMPUTED_VALUE"""),"Sheneil")</f>
        <v>Sheneil</v>
      </c>
      <c r="C2602" s="24">
        <f>IFERROR(__xludf.DUMMYFUNCTION("""COMPUTED_VALUE"""),20.0)</f>
        <v>20</v>
      </c>
      <c r="D2602" s="24"/>
      <c r="F2602" s="23">
        <f>IFERROR(__xludf.DUMMYFUNCTION("""COMPUTED_VALUE"""),44839.709587280086)</f>
        <v>44839.70959</v>
      </c>
      <c r="G2602" s="24" t="str">
        <f>IFERROR(__xludf.DUMMYFUNCTION("""COMPUTED_VALUE"""),"Juanita Chandler")</f>
        <v>Juanita Chandler</v>
      </c>
      <c r="H2602" s="24">
        <f>IFERROR(__xludf.DUMMYFUNCTION("""COMPUTED_VALUE"""),10.0)</f>
        <v>10</v>
      </c>
      <c r="I2602" s="24" t="str">
        <f>IFERROR(__xludf.DUMMYFUNCTION("""COMPUTED_VALUE"""),"Regular (up to 20lbs)")</f>
        <v>Regular (up to 20lbs)</v>
      </c>
    </row>
    <row r="2603">
      <c r="A2603" s="23">
        <f>IFERROR(__xludf.DUMMYFUNCTION("""COMPUTED_VALUE"""),44756.87330756945)</f>
        <v>44756.87331</v>
      </c>
      <c r="B2603" s="24" t="str">
        <f>IFERROR(__xludf.DUMMYFUNCTION("""COMPUTED_VALUE"""),"Shaneen")</f>
        <v>Shaneen</v>
      </c>
      <c r="C2603" s="24">
        <f>IFERROR(__xludf.DUMMYFUNCTION("""COMPUTED_VALUE"""),25.0)</f>
        <v>25</v>
      </c>
      <c r="D2603" s="24"/>
      <c r="F2603" s="23">
        <f>IFERROR(__xludf.DUMMYFUNCTION("""COMPUTED_VALUE"""),44839.712698298616)</f>
        <v>44839.7127</v>
      </c>
      <c r="G2603" s="24" t="str">
        <f>IFERROR(__xludf.DUMMYFUNCTION("""COMPUTED_VALUE"""),"Juanita Chandler ")</f>
        <v>Juanita Chandler </v>
      </c>
      <c r="H2603" s="24">
        <f>IFERROR(__xludf.DUMMYFUNCTION("""COMPUTED_VALUE"""),3.0)</f>
        <v>3</v>
      </c>
      <c r="I2603" s="24" t="str">
        <f>IFERROR(__xludf.DUMMYFUNCTION("""COMPUTED_VALUE"""),"Damage/expired/extra")</f>
        <v>Damage/expired/extra</v>
      </c>
    </row>
    <row r="2604">
      <c r="A2604" s="23">
        <f>IFERROR(__xludf.DUMMYFUNCTION("""COMPUTED_VALUE"""),44756.87360613426)</f>
        <v>44756.87361</v>
      </c>
      <c r="B2604" s="24" t="str">
        <f>IFERROR(__xludf.DUMMYFUNCTION("""COMPUTED_VALUE"""),"Shaneen - Expired Food")</f>
        <v>Shaneen - Expired Food</v>
      </c>
      <c r="C2604" s="24">
        <f>IFERROR(__xludf.DUMMYFUNCTION("""COMPUTED_VALUE"""),35.0)</f>
        <v>35</v>
      </c>
      <c r="D2604" s="24"/>
      <c r="F2604" s="23">
        <f>IFERROR(__xludf.DUMMYFUNCTION("""COMPUTED_VALUE"""),44839.82323513889)</f>
        <v>44839.82324</v>
      </c>
      <c r="G2604" s="24" t="str">
        <f>IFERROR(__xludf.DUMMYFUNCTION("""COMPUTED_VALUE"""),"Lynnette C")</f>
        <v>Lynnette C</v>
      </c>
      <c r="H2604" s="24">
        <f>IFERROR(__xludf.DUMMYFUNCTION("""COMPUTED_VALUE"""),37.0)</f>
        <v>37</v>
      </c>
      <c r="I2604" s="24" t="str">
        <f>IFERROR(__xludf.DUMMYFUNCTION("""COMPUTED_VALUE"""),"Water bottle")</f>
        <v>Water bottle</v>
      </c>
    </row>
    <row r="2605">
      <c r="A2605" s="23">
        <f>IFERROR(__xludf.DUMMYFUNCTION("""COMPUTED_VALUE"""),44757.70635310185)</f>
        <v>44757.70635</v>
      </c>
      <c r="B2605" s="24" t="str">
        <f>IFERROR(__xludf.DUMMYFUNCTION("""COMPUTED_VALUE"""),"Sunita Pathik")</f>
        <v>Sunita Pathik</v>
      </c>
      <c r="C2605" s="24">
        <f>IFERROR(__xludf.DUMMYFUNCTION("""COMPUTED_VALUE"""),13.0)</f>
        <v>13</v>
      </c>
      <c r="D2605" s="24"/>
      <c r="F2605" s="23">
        <f>IFERROR(__xludf.DUMMYFUNCTION("""COMPUTED_VALUE"""),44839.84382106482)</f>
        <v>44839.84382</v>
      </c>
      <c r="G2605" s="24" t="str">
        <f>IFERROR(__xludf.DUMMYFUNCTION("""COMPUTED_VALUE"""),"Connor Gephart")</f>
        <v>Connor Gephart</v>
      </c>
      <c r="H2605" s="24">
        <f>IFERROR(__xludf.DUMMYFUNCTION("""COMPUTED_VALUE"""),14.0)</f>
        <v>14</v>
      </c>
      <c r="I2605" s="24" t="str">
        <f>IFERROR(__xludf.DUMMYFUNCTION("""COMPUTED_VALUE"""),"Regular (up to 20lbs)")</f>
        <v>Regular (up to 20lbs)</v>
      </c>
    </row>
    <row r="2606">
      <c r="A2606" s="23">
        <f>IFERROR(__xludf.DUMMYFUNCTION("""COMPUTED_VALUE"""),44757.716307002316)</f>
        <v>44757.71631</v>
      </c>
      <c r="B2606" s="24" t="str">
        <f>IFERROR(__xludf.DUMMYFUNCTION("""COMPUTED_VALUE"""),"Juanita Chandler ")</f>
        <v>Juanita Chandler </v>
      </c>
      <c r="C2606" s="24">
        <f>IFERROR(__xludf.DUMMYFUNCTION("""COMPUTED_VALUE"""),7.0)</f>
        <v>7</v>
      </c>
      <c r="D2606" s="24"/>
      <c r="F2606" s="23">
        <f>IFERROR(__xludf.DUMMYFUNCTION("""COMPUTED_VALUE"""),44839.85150824074)</f>
        <v>44839.85151</v>
      </c>
      <c r="G2606" s="24" t="str">
        <f>IFERROR(__xludf.DUMMYFUNCTION("""COMPUTED_VALUE"""),"Maddie ")</f>
        <v>Maddie </v>
      </c>
      <c r="H2606" s="24">
        <f>IFERROR(__xludf.DUMMYFUNCTION("""COMPUTED_VALUE"""),16.0)</f>
        <v>16</v>
      </c>
      <c r="I2606" s="24" t="str">
        <f>IFERROR(__xludf.DUMMYFUNCTION("""COMPUTED_VALUE"""),"Regular (up to 20lbs)")</f>
        <v>Regular (up to 20lbs)</v>
      </c>
    </row>
    <row r="2607">
      <c r="A2607" s="23">
        <f>IFERROR(__xludf.DUMMYFUNCTION("""COMPUTED_VALUE"""),44757.7171743287)</f>
        <v>44757.71717</v>
      </c>
      <c r="B2607" s="24" t="str">
        <f>IFERROR(__xludf.DUMMYFUNCTION("""COMPUTED_VALUE"""),"Juanita Chandler ")</f>
        <v>Juanita Chandler </v>
      </c>
      <c r="C2607" s="24">
        <f>IFERROR(__xludf.DUMMYFUNCTION("""COMPUTED_VALUE"""),6.0)</f>
        <v>6</v>
      </c>
      <c r="D2607" s="24"/>
      <c r="F2607" s="23">
        <f>IFERROR(__xludf.DUMMYFUNCTION("""COMPUTED_VALUE"""),44839.85227783565)</f>
        <v>44839.85228</v>
      </c>
      <c r="G2607" s="24" t="str">
        <f>IFERROR(__xludf.DUMMYFUNCTION("""COMPUTED_VALUE"""),"Lynnette ")</f>
        <v>Lynnette </v>
      </c>
      <c r="H2607" s="24">
        <f>IFERROR(__xludf.DUMMYFUNCTION("""COMPUTED_VALUE"""),7.0)</f>
        <v>7</v>
      </c>
      <c r="I2607" s="24" t="str">
        <f>IFERROR(__xludf.DUMMYFUNCTION("""COMPUTED_VALUE"""),"Damage/expired/extra")</f>
        <v>Damage/expired/extra</v>
      </c>
    </row>
    <row r="2608">
      <c r="A2608" s="23">
        <f>IFERROR(__xludf.DUMMYFUNCTION("""COMPUTED_VALUE"""),44757.71916350695)</f>
        <v>44757.71916</v>
      </c>
      <c r="B2608" s="24" t="str">
        <f>IFERROR(__xludf.DUMMYFUNCTION("""COMPUTED_VALUE"""),"Beth Torres")</f>
        <v>Beth Torres</v>
      </c>
      <c r="C2608" s="24">
        <f>IFERROR(__xludf.DUMMYFUNCTION("""COMPUTED_VALUE"""),13.0)</f>
        <v>13</v>
      </c>
      <c r="D2608" s="24"/>
      <c r="F2608" s="23">
        <f>IFERROR(__xludf.DUMMYFUNCTION("""COMPUTED_VALUE"""),44839.85495796296)</f>
        <v>44839.85496</v>
      </c>
      <c r="G2608" s="24" t="str">
        <f>IFERROR(__xludf.DUMMYFUNCTION("""COMPUTED_VALUE"""),"Luke mayhew")</f>
        <v>Luke mayhew</v>
      </c>
      <c r="H2608" s="24">
        <f>IFERROR(__xludf.DUMMYFUNCTION("""COMPUTED_VALUE"""),20.0)</f>
        <v>20</v>
      </c>
      <c r="I2608" s="24" t="str">
        <f>IFERROR(__xludf.DUMMYFUNCTION("""COMPUTED_VALUE"""),"Regular (up to 20lbs)")</f>
        <v>Regular (up to 20lbs)</v>
      </c>
    </row>
    <row r="2609">
      <c r="A2609" s="23">
        <f>IFERROR(__xludf.DUMMYFUNCTION("""COMPUTED_VALUE"""),44757.719411921295)</f>
        <v>44757.71941</v>
      </c>
      <c r="B2609" s="24" t="str">
        <f>IFERROR(__xludf.DUMMYFUNCTION("""COMPUTED_VALUE"""),"Beth Torres")</f>
        <v>Beth Torres</v>
      </c>
      <c r="C2609" s="24">
        <f>IFERROR(__xludf.DUMMYFUNCTION("""COMPUTED_VALUE"""),18.0)</f>
        <v>18</v>
      </c>
      <c r="D2609" s="24"/>
      <c r="F2609" s="23">
        <f>IFERROR(__xludf.DUMMYFUNCTION("""COMPUTED_VALUE"""),44839.85531331019)</f>
        <v>44839.85531</v>
      </c>
      <c r="G2609" s="24" t="str">
        <f>IFERROR(__xludf.DUMMYFUNCTION("""COMPUTED_VALUE"""),"Luke mayhew ")</f>
        <v>Luke mayhew </v>
      </c>
      <c r="H2609" s="24">
        <f>IFERROR(__xludf.DUMMYFUNCTION("""COMPUTED_VALUE"""),28.0)</f>
        <v>28</v>
      </c>
      <c r="I2609" s="24" t="str">
        <f>IFERROR(__xludf.DUMMYFUNCTION("""COMPUTED_VALUE"""),"Damage/expired/extra")</f>
        <v>Damage/expired/extra</v>
      </c>
    </row>
    <row r="2610">
      <c r="A2610" s="23">
        <f>IFERROR(__xludf.DUMMYFUNCTION("""COMPUTED_VALUE"""),44757.0)</f>
        <v>44757</v>
      </c>
      <c r="B2610" s="24" t="str">
        <f>IFERROR(__xludf.DUMMYFUNCTION("""COMPUTED_VALUE"""),"Yulia")</f>
        <v>Yulia</v>
      </c>
      <c r="C2610" s="24">
        <f>IFERROR(__xludf.DUMMYFUNCTION("""COMPUTED_VALUE"""),13.0)</f>
        <v>13</v>
      </c>
      <c r="D2610" s="24"/>
      <c r="F2610" s="23">
        <f>IFERROR(__xludf.DUMMYFUNCTION("""COMPUTED_VALUE"""),44840.0)</f>
        <v>44840</v>
      </c>
      <c r="G2610" s="24" t="str">
        <f>IFERROR(__xludf.DUMMYFUNCTION("""COMPUTED_VALUE"""),"Barbara Jordan")</f>
        <v>Barbara Jordan</v>
      </c>
      <c r="H2610" s="24">
        <f>IFERROR(__xludf.DUMMYFUNCTION("""COMPUTED_VALUE"""),9.0)</f>
        <v>9</v>
      </c>
      <c r="I2610" s="24" t="str">
        <f>IFERROR(__xludf.DUMMYFUNCTION("""COMPUTED_VALUE"""),"Regular (up to 20lbs)")</f>
        <v>Regular (up to 20lbs)</v>
      </c>
    </row>
    <row r="2611">
      <c r="A2611" s="23">
        <f>IFERROR(__xludf.DUMMYFUNCTION("""COMPUTED_VALUE"""),44757.72251233796)</f>
        <v>44757.72251</v>
      </c>
      <c r="B2611" s="24" t="str">
        <f>IFERROR(__xludf.DUMMYFUNCTION("""COMPUTED_VALUE"""),"Yulia")</f>
        <v>Yulia</v>
      </c>
      <c r="C2611" s="24">
        <f>IFERROR(__xludf.DUMMYFUNCTION("""COMPUTED_VALUE"""),20.0)</f>
        <v>20</v>
      </c>
      <c r="D2611" s="24"/>
      <c r="F2611" s="23">
        <f>IFERROR(__xludf.DUMMYFUNCTION("""COMPUTED_VALUE"""),44840.0)</f>
        <v>44840</v>
      </c>
      <c r="G2611" s="24" t="str">
        <f>IFERROR(__xludf.DUMMYFUNCTION("""COMPUTED_VALUE"""),"Barbara Jordan")</f>
        <v>Barbara Jordan</v>
      </c>
      <c r="H2611" s="24">
        <f>IFERROR(__xludf.DUMMYFUNCTION("""COMPUTED_VALUE"""),3.0)</f>
        <v>3</v>
      </c>
      <c r="I2611" s="24" t="str">
        <f>IFERROR(__xludf.DUMMYFUNCTION("""COMPUTED_VALUE"""),"Damage/expired/extra")</f>
        <v>Damage/expired/extra</v>
      </c>
    </row>
    <row r="2612">
      <c r="A2612" s="23">
        <f>IFERROR(__xludf.DUMMYFUNCTION("""COMPUTED_VALUE"""),44758.0)</f>
        <v>44758</v>
      </c>
      <c r="B2612" s="24" t="str">
        <f>IFERROR(__xludf.DUMMYFUNCTION("""COMPUTED_VALUE"""),"Cheryl Utsey")</f>
        <v>Cheryl Utsey</v>
      </c>
      <c r="C2612" s="24">
        <f>IFERROR(__xludf.DUMMYFUNCTION("""COMPUTED_VALUE"""),20.0)</f>
        <v>20</v>
      </c>
      <c r="D2612" s="24"/>
      <c r="F2612" s="23">
        <f>IFERROR(__xludf.DUMMYFUNCTION("""COMPUTED_VALUE"""),44840.0)</f>
        <v>44840</v>
      </c>
      <c r="G2612" s="24" t="str">
        <f>IFERROR(__xludf.DUMMYFUNCTION("""COMPUTED_VALUE"""),"Bertille Monteil")</f>
        <v>Bertille Monteil</v>
      </c>
      <c r="H2612" s="24">
        <f>IFERROR(__xludf.DUMMYFUNCTION("""COMPUTED_VALUE"""),12.0)</f>
        <v>12</v>
      </c>
      <c r="I2612" s="24" t="str">
        <f>IFERROR(__xludf.DUMMYFUNCTION("""COMPUTED_VALUE"""),"Regular (up to 20lbs)")</f>
        <v>Regular (up to 20lbs)</v>
      </c>
    </row>
    <row r="2613">
      <c r="A2613" s="23">
        <f>IFERROR(__xludf.DUMMYFUNCTION("""COMPUTED_VALUE"""),44758.0)</f>
        <v>44758</v>
      </c>
      <c r="B2613" s="24" t="str">
        <f>IFERROR(__xludf.DUMMYFUNCTION("""COMPUTED_VALUE"""),"Denise Brown")</f>
        <v>Denise Brown</v>
      </c>
      <c r="C2613" s="24">
        <f>IFERROR(__xludf.DUMMYFUNCTION("""COMPUTED_VALUE"""),9.0)</f>
        <v>9</v>
      </c>
      <c r="D2613" s="24"/>
      <c r="F2613" s="23">
        <f>IFERROR(__xludf.DUMMYFUNCTION("""COMPUTED_VALUE"""),44840.0)</f>
        <v>44840</v>
      </c>
      <c r="G2613" s="24" t="str">
        <f>IFERROR(__xludf.DUMMYFUNCTION("""COMPUTED_VALUE"""),"Bertille Monteil")</f>
        <v>Bertille Monteil</v>
      </c>
      <c r="H2613" s="24">
        <f>IFERROR(__xludf.DUMMYFUNCTION("""COMPUTED_VALUE"""),6.0)</f>
        <v>6</v>
      </c>
      <c r="I2613" s="24" t="str">
        <f>IFERROR(__xludf.DUMMYFUNCTION("""COMPUTED_VALUE"""),"Damage/expired/extra")</f>
        <v>Damage/expired/extra</v>
      </c>
    </row>
    <row r="2614">
      <c r="A2614" s="23">
        <f>IFERROR(__xludf.DUMMYFUNCTION("""COMPUTED_VALUE"""),44758.766377500004)</f>
        <v>44758.76638</v>
      </c>
      <c r="B2614" s="24" t="str">
        <f>IFERROR(__xludf.DUMMYFUNCTION("""COMPUTED_VALUE"""),"Emily Stucke")</f>
        <v>Emily Stucke</v>
      </c>
      <c r="C2614" s="24">
        <f>IFERROR(__xludf.DUMMYFUNCTION("""COMPUTED_VALUE"""),12.0)</f>
        <v>12</v>
      </c>
      <c r="D2614" s="24"/>
      <c r="F2614" s="23">
        <f>IFERROR(__xludf.DUMMYFUNCTION("""COMPUTED_VALUE"""),44840.0)</f>
        <v>44840</v>
      </c>
      <c r="G2614" s="24" t="str">
        <f>IFERROR(__xludf.DUMMYFUNCTION("""COMPUTED_VALUE"""),"Hong Xue")</f>
        <v>Hong Xue</v>
      </c>
      <c r="H2614" s="24">
        <f>IFERROR(__xludf.DUMMYFUNCTION("""COMPUTED_VALUE"""),20.0)</f>
        <v>20</v>
      </c>
      <c r="I2614" s="24" t="str">
        <f>IFERROR(__xludf.DUMMYFUNCTION("""COMPUTED_VALUE"""),"Regular (up to 20lbs)")</f>
        <v>Regular (up to 20lbs)</v>
      </c>
    </row>
    <row r="2615">
      <c r="A2615" s="23">
        <f>IFERROR(__xludf.DUMMYFUNCTION("""COMPUTED_VALUE"""),44758.76650849537)</f>
        <v>44758.76651</v>
      </c>
      <c r="B2615" s="24" t="str">
        <f>IFERROR(__xludf.DUMMYFUNCTION("""COMPUTED_VALUE"""),"nathan ")</f>
        <v>nathan </v>
      </c>
      <c r="C2615" s="24">
        <f>IFERROR(__xludf.DUMMYFUNCTION("""COMPUTED_VALUE"""),20.0)</f>
        <v>20</v>
      </c>
      <c r="D2615" s="24"/>
      <c r="F2615" s="23">
        <f>IFERROR(__xludf.DUMMYFUNCTION("""COMPUTED_VALUE"""),44840.0)</f>
        <v>44840</v>
      </c>
      <c r="G2615" s="24" t="str">
        <f>IFERROR(__xludf.DUMMYFUNCTION("""COMPUTED_VALUE"""),"Hong Xue")</f>
        <v>Hong Xue</v>
      </c>
      <c r="H2615" s="24">
        <f>IFERROR(__xludf.DUMMYFUNCTION("""COMPUTED_VALUE"""),18.0)</f>
        <v>18</v>
      </c>
      <c r="I2615" s="24" t="str">
        <f>IFERROR(__xludf.DUMMYFUNCTION("""COMPUTED_VALUE"""),"Damage/expired/extra")</f>
        <v>Damage/expired/extra</v>
      </c>
    </row>
    <row r="2616">
      <c r="A2616" s="23">
        <f>IFERROR(__xludf.DUMMYFUNCTION("""COMPUTED_VALUE"""),44758.76718703703)</f>
        <v>44758.76719</v>
      </c>
      <c r="B2616" s="24" t="str">
        <f>IFERROR(__xludf.DUMMYFUNCTION("""COMPUTED_VALUE"""),"Beverly Pinn")</f>
        <v>Beverly Pinn</v>
      </c>
      <c r="C2616" s="24">
        <f>IFERROR(__xludf.DUMMYFUNCTION("""COMPUTED_VALUE"""),5.0)</f>
        <v>5</v>
      </c>
      <c r="D2616" s="24"/>
      <c r="F2616" s="23">
        <f>IFERROR(__xludf.DUMMYFUNCTION("""COMPUTED_VALUE"""),44840.0)</f>
        <v>44840</v>
      </c>
      <c r="G2616" s="24" t="str">
        <f>IFERROR(__xludf.DUMMYFUNCTION("""COMPUTED_VALUE"""),"Raquel Bailey")</f>
        <v>Raquel Bailey</v>
      </c>
      <c r="H2616" s="24">
        <f>IFERROR(__xludf.DUMMYFUNCTION("""COMPUTED_VALUE"""),20.0)</f>
        <v>20</v>
      </c>
      <c r="I2616" s="24" t="str">
        <f>IFERROR(__xludf.DUMMYFUNCTION("""COMPUTED_VALUE"""),"Regular (up to 20lbs)")</f>
        <v>Regular (up to 20lbs)</v>
      </c>
    </row>
    <row r="2617">
      <c r="A2617" s="23">
        <f>IFERROR(__xludf.DUMMYFUNCTION("""COMPUTED_VALUE"""),44758.769026064816)</f>
        <v>44758.76903</v>
      </c>
      <c r="B2617" s="24" t="str">
        <f>IFERROR(__xludf.DUMMYFUNCTION("""COMPUTED_VALUE"""),"Evelyn joang")</f>
        <v>Evelyn joang</v>
      </c>
      <c r="C2617" s="24">
        <f>IFERROR(__xludf.DUMMYFUNCTION("""COMPUTED_VALUE"""),13.0)</f>
        <v>13</v>
      </c>
      <c r="D2617" s="24"/>
      <c r="F2617" s="23">
        <f>IFERROR(__xludf.DUMMYFUNCTION("""COMPUTED_VALUE"""),44840.0)</f>
        <v>44840</v>
      </c>
      <c r="G2617" s="24" t="str">
        <f>IFERROR(__xludf.DUMMYFUNCTION("""COMPUTED_VALUE"""),"Obi Nwokoro")</f>
        <v>Obi Nwokoro</v>
      </c>
      <c r="H2617" s="24">
        <f>IFERROR(__xludf.DUMMYFUNCTION("""COMPUTED_VALUE"""),2.0)</f>
        <v>2</v>
      </c>
      <c r="I2617" s="24" t="str">
        <f>IFERROR(__xludf.DUMMYFUNCTION("""COMPUTED_VALUE"""),"Damage/expired/extra")</f>
        <v>Damage/expired/extra</v>
      </c>
    </row>
    <row r="2618">
      <c r="A2618" s="23">
        <f>IFERROR(__xludf.DUMMYFUNCTION("""COMPUTED_VALUE"""),44758.769605057874)</f>
        <v>44758.76961</v>
      </c>
      <c r="B2618" s="24" t="str">
        <f>IFERROR(__xludf.DUMMYFUNCTION("""COMPUTED_VALUE"""),"Deborah O")</f>
        <v>Deborah O</v>
      </c>
      <c r="C2618" s="24">
        <f>IFERROR(__xludf.DUMMYFUNCTION("""COMPUTED_VALUE"""),20.0)</f>
        <v>20</v>
      </c>
      <c r="D2618" s="24"/>
      <c r="F2618" s="23">
        <f>IFERROR(__xludf.DUMMYFUNCTION("""COMPUTED_VALUE"""),44840.586791932874)</f>
        <v>44840.58679</v>
      </c>
      <c r="G2618" s="24" t="str">
        <f>IFERROR(__xludf.DUMMYFUNCTION("""COMPUTED_VALUE"""),"Theresa Keil")</f>
        <v>Theresa Keil</v>
      </c>
      <c r="H2618" s="24">
        <f>IFERROR(__xludf.DUMMYFUNCTION("""COMPUTED_VALUE"""),33.0)</f>
        <v>33</v>
      </c>
      <c r="I2618" s="24" t="str">
        <f>IFERROR(__xludf.DUMMYFUNCTION("""COMPUTED_VALUE"""),"Regular (up to 20lbs)")</f>
        <v>Regular (up to 20lbs)</v>
      </c>
    </row>
    <row r="2619">
      <c r="A2619" s="23">
        <f>IFERROR(__xludf.DUMMYFUNCTION("""COMPUTED_VALUE"""),44758.769854826394)</f>
        <v>44758.76985</v>
      </c>
      <c r="B2619" s="24" t="str">
        <f>IFERROR(__xludf.DUMMYFUNCTION("""COMPUTED_VALUE"""),"Regina S.")</f>
        <v>Regina S.</v>
      </c>
      <c r="C2619" s="24">
        <f>IFERROR(__xludf.DUMMYFUNCTION("""COMPUTED_VALUE"""),20.0)</f>
        <v>20</v>
      </c>
      <c r="D2619" s="24"/>
      <c r="F2619" s="23">
        <f>IFERROR(__xludf.DUMMYFUNCTION("""COMPUTED_VALUE"""),44840.69247663195)</f>
        <v>44840.69248</v>
      </c>
      <c r="G2619" s="24" t="str">
        <f>IFERROR(__xludf.DUMMYFUNCTION("""COMPUTED_VALUE"""),"Claire")</f>
        <v>Claire</v>
      </c>
      <c r="H2619" s="24">
        <f>IFERROR(__xludf.DUMMYFUNCTION("""COMPUTED_VALUE"""),1173.0)</f>
        <v>1173</v>
      </c>
      <c r="I2619" s="24" t="str">
        <f>IFERROR(__xludf.DUMMYFUNCTION("""COMPUTED_VALUE"""),"Hand sanitizer")</f>
        <v>Hand sanitizer</v>
      </c>
    </row>
    <row r="2620">
      <c r="A2620" s="23">
        <f>IFERROR(__xludf.DUMMYFUNCTION("""COMPUTED_VALUE"""),44758.77040474537)</f>
        <v>44758.7704</v>
      </c>
      <c r="B2620" s="24" t="str">
        <f>IFERROR(__xludf.DUMMYFUNCTION("""COMPUTED_VALUE"""),"Tiffany Jiang")</f>
        <v>Tiffany Jiang</v>
      </c>
      <c r="C2620" s="24">
        <f>IFERROR(__xludf.DUMMYFUNCTION("""COMPUTED_VALUE"""),14.0)</f>
        <v>14</v>
      </c>
      <c r="D2620" s="24"/>
      <c r="F2620" s="23">
        <f>IFERROR(__xludf.DUMMYFUNCTION("""COMPUTED_VALUE"""),44840.6931512037)</f>
        <v>44840.69315</v>
      </c>
      <c r="G2620" s="24" t="str">
        <f>IFERROR(__xludf.DUMMYFUNCTION("""COMPUTED_VALUE"""),"Claire")</f>
        <v>Claire</v>
      </c>
      <c r="H2620" s="24">
        <f>IFERROR(__xludf.DUMMYFUNCTION("""COMPUTED_VALUE"""),97.0)</f>
        <v>97</v>
      </c>
      <c r="I2620" s="24" t="str">
        <f>IFERROR(__xludf.DUMMYFUNCTION("""COMPUTED_VALUE"""),"Produce")</f>
        <v>Produce</v>
      </c>
    </row>
    <row r="2621">
      <c r="A2621" s="23">
        <f>IFERROR(__xludf.DUMMYFUNCTION("""COMPUTED_VALUE"""),44758.77451934027)</f>
        <v>44758.77452</v>
      </c>
      <c r="B2621" s="24" t="str">
        <f>IFERROR(__xludf.DUMMYFUNCTION("""COMPUTED_VALUE"""),"Gabriela  cortes ")</f>
        <v>Gabriela  cortes </v>
      </c>
      <c r="C2621" s="24">
        <f>IFERROR(__xludf.DUMMYFUNCTION("""COMPUTED_VALUE"""),19.0)</f>
        <v>19</v>
      </c>
      <c r="D2621" s="24"/>
      <c r="F2621" s="23">
        <f>IFERROR(__xludf.DUMMYFUNCTION("""COMPUTED_VALUE"""),44840.693446550926)</f>
        <v>44840.69345</v>
      </c>
      <c r="G2621" s="24" t="str">
        <f>IFERROR(__xludf.DUMMYFUNCTION("""COMPUTED_VALUE"""),"Claire")</f>
        <v>Claire</v>
      </c>
      <c r="H2621" s="24">
        <f>IFERROR(__xludf.DUMMYFUNCTION("""COMPUTED_VALUE"""),290.0)</f>
        <v>290</v>
      </c>
      <c r="I2621" s="24" t="str">
        <f>IFERROR(__xludf.DUMMYFUNCTION("""COMPUTED_VALUE"""),"Assorted Dry")</f>
        <v>Assorted Dry</v>
      </c>
    </row>
    <row r="2622">
      <c r="A2622" s="23">
        <f>IFERROR(__xludf.DUMMYFUNCTION("""COMPUTED_VALUE"""),44758.77467615741)</f>
        <v>44758.77468</v>
      </c>
      <c r="B2622" s="24" t="str">
        <f>IFERROR(__xludf.DUMMYFUNCTION("""COMPUTED_VALUE"""),"Deborah claridy ")</f>
        <v>Deborah claridy </v>
      </c>
      <c r="C2622" s="24">
        <f>IFERROR(__xludf.DUMMYFUNCTION("""COMPUTED_VALUE"""),5.0)</f>
        <v>5</v>
      </c>
      <c r="D2622" s="24"/>
      <c r="F2622" s="23">
        <f>IFERROR(__xludf.DUMMYFUNCTION("""COMPUTED_VALUE"""),44840.6940471412)</f>
        <v>44840.69405</v>
      </c>
      <c r="G2622" s="24" t="str">
        <f>IFERROR(__xludf.DUMMYFUNCTION("""COMPUTED_VALUE"""),"Claire")</f>
        <v>Claire</v>
      </c>
      <c r="H2622" s="24">
        <f>IFERROR(__xludf.DUMMYFUNCTION("""COMPUTED_VALUE"""),135.0)</f>
        <v>135</v>
      </c>
      <c r="I2622" s="24" t="str">
        <f>IFERROR(__xludf.DUMMYFUNCTION("""COMPUTED_VALUE"""),"Assorted Dry")</f>
        <v>Assorted Dry</v>
      </c>
    </row>
    <row r="2623">
      <c r="A2623" s="23">
        <f>IFERROR(__xludf.DUMMYFUNCTION("""COMPUTED_VALUE"""),44758.77608844908)</f>
        <v>44758.77609</v>
      </c>
      <c r="B2623" s="24" t="str">
        <f>IFERROR(__xludf.DUMMYFUNCTION("""COMPUTED_VALUE"""),"Deborah Claridy ")</f>
        <v>Deborah Claridy </v>
      </c>
      <c r="C2623" s="24">
        <f>IFERROR(__xludf.DUMMYFUNCTION("""COMPUTED_VALUE"""),1.0)</f>
        <v>1</v>
      </c>
      <c r="D2623" s="24"/>
      <c r="F2623" s="23">
        <f>IFERROR(__xludf.DUMMYFUNCTION("""COMPUTED_VALUE"""),44840.69528827546)</f>
        <v>44840.69529</v>
      </c>
      <c r="G2623" s="24" t="str">
        <f>IFERROR(__xludf.DUMMYFUNCTION("""COMPUTED_VALUE"""),"Claire")</f>
        <v>Claire</v>
      </c>
      <c r="H2623" s="24">
        <f>IFERROR(__xludf.DUMMYFUNCTION("""COMPUTED_VALUE"""),39.0)</f>
        <v>39</v>
      </c>
      <c r="I2623" s="24" t="str">
        <f>IFERROR(__xludf.DUMMYFUNCTION("""COMPUTED_VALUE"""),"Frozen [Not Meat]")</f>
        <v>Frozen [Not Meat]</v>
      </c>
    </row>
    <row r="2624">
      <c r="A2624" s="23">
        <f>IFERROR(__xludf.DUMMYFUNCTION("""COMPUTED_VALUE"""),44758.789331967586)</f>
        <v>44758.78933</v>
      </c>
      <c r="B2624" s="24" t="str">
        <f>IFERROR(__xludf.DUMMYFUNCTION("""COMPUTED_VALUE"""),"Lynnette c")</f>
        <v>Lynnette c</v>
      </c>
      <c r="C2624" s="24">
        <f>IFERROR(__xludf.DUMMYFUNCTION("""COMPUTED_VALUE"""),14.0)</f>
        <v>14</v>
      </c>
      <c r="D2624" s="24"/>
      <c r="F2624" s="23">
        <f>IFERROR(__xludf.DUMMYFUNCTION("""COMPUTED_VALUE"""),44840.69618189815)</f>
        <v>44840.69618</v>
      </c>
      <c r="G2624" s="24" t="str">
        <f>IFERROR(__xludf.DUMMYFUNCTION("""COMPUTED_VALUE"""),"Claire")</f>
        <v>Claire</v>
      </c>
      <c r="H2624" s="24">
        <f>IFERROR(__xludf.DUMMYFUNCTION("""COMPUTED_VALUE"""),89.0)</f>
        <v>89</v>
      </c>
      <c r="I2624" s="24" t="str">
        <f>IFERROR(__xludf.DUMMYFUNCTION("""COMPUTED_VALUE"""),"Whitebox")</f>
        <v>Whitebox</v>
      </c>
    </row>
    <row r="2625">
      <c r="A2625" s="23">
        <f>IFERROR(__xludf.DUMMYFUNCTION("""COMPUTED_VALUE"""),44758.78959684028)</f>
        <v>44758.7896</v>
      </c>
      <c r="B2625" s="24" t="str">
        <f>IFERROR(__xludf.DUMMYFUNCTION("""COMPUTED_VALUE"""),"Lynnette (damage)")</f>
        <v>Lynnette (damage)</v>
      </c>
      <c r="C2625" s="24">
        <f>IFERROR(__xludf.DUMMYFUNCTION("""COMPUTED_VALUE"""),2.0)</f>
        <v>2</v>
      </c>
      <c r="D2625" s="24"/>
      <c r="F2625" s="23">
        <f>IFERROR(__xludf.DUMMYFUNCTION("""COMPUTED_VALUE"""),44840.69643399306)</f>
        <v>44840.69643</v>
      </c>
      <c r="G2625" s="24" t="str">
        <f>IFERROR(__xludf.DUMMYFUNCTION("""COMPUTED_VALUE"""),"Claire")</f>
        <v>Claire</v>
      </c>
      <c r="H2625" s="24">
        <f>IFERROR(__xludf.DUMMYFUNCTION("""COMPUTED_VALUE"""),84.0)</f>
        <v>84</v>
      </c>
      <c r="I2625" s="24" t="str">
        <f>IFERROR(__xludf.DUMMYFUNCTION("""COMPUTED_VALUE"""),"Whitebox")</f>
        <v>Whitebox</v>
      </c>
    </row>
    <row r="2626">
      <c r="A2626" s="23">
        <f>IFERROR(__xludf.DUMMYFUNCTION("""COMPUTED_VALUE"""),44759.0)</f>
        <v>44759</v>
      </c>
      <c r="B2626" s="24" t="str">
        <f>IFERROR(__xludf.DUMMYFUNCTION("""COMPUTED_VALUE"""),"Travis James")</f>
        <v>Travis James</v>
      </c>
      <c r="C2626" s="24">
        <f>IFERROR(__xludf.DUMMYFUNCTION("""COMPUTED_VALUE"""),20.0)</f>
        <v>20</v>
      </c>
      <c r="D2626" s="24"/>
      <c r="F2626" s="23">
        <f>IFERROR(__xludf.DUMMYFUNCTION("""COMPUTED_VALUE"""),44840.696721354165)</f>
        <v>44840.69672</v>
      </c>
      <c r="G2626" s="24" t="str">
        <f>IFERROR(__xludf.DUMMYFUNCTION("""COMPUTED_VALUE"""),"Claire")</f>
        <v>Claire</v>
      </c>
      <c r="H2626" s="24">
        <f>IFERROR(__xludf.DUMMYFUNCTION("""COMPUTED_VALUE"""),94.0)</f>
        <v>94</v>
      </c>
      <c r="I2626" s="24" t="str">
        <f>IFERROR(__xludf.DUMMYFUNCTION("""COMPUTED_VALUE"""),"Whitebox")</f>
        <v>Whitebox</v>
      </c>
    </row>
    <row r="2627">
      <c r="A2627" s="23">
        <f>IFERROR(__xludf.DUMMYFUNCTION("""COMPUTED_VALUE"""),44759.0)</f>
        <v>44759</v>
      </c>
      <c r="B2627" s="24" t="str">
        <f>IFERROR(__xludf.DUMMYFUNCTION("""COMPUTED_VALUE"""),"Travis James")</f>
        <v>Travis James</v>
      </c>
      <c r="C2627" s="24">
        <f>IFERROR(__xludf.DUMMYFUNCTION("""COMPUTED_VALUE"""),7.0)</f>
        <v>7</v>
      </c>
      <c r="D2627" s="24"/>
      <c r="F2627" s="23">
        <f>IFERROR(__xludf.DUMMYFUNCTION("""COMPUTED_VALUE"""),44840.69693518519)</f>
        <v>44840.69694</v>
      </c>
      <c r="G2627" s="24" t="str">
        <f>IFERROR(__xludf.DUMMYFUNCTION("""COMPUTED_VALUE"""),"Claire")</f>
        <v>Claire</v>
      </c>
      <c r="H2627" s="24">
        <f>IFERROR(__xludf.DUMMYFUNCTION("""COMPUTED_VALUE"""),98.0)</f>
        <v>98</v>
      </c>
      <c r="I2627" s="24" t="str">
        <f>IFERROR(__xludf.DUMMYFUNCTION("""COMPUTED_VALUE"""),"Whitebox")</f>
        <v>Whitebox</v>
      </c>
    </row>
    <row r="2628">
      <c r="A2628" s="23">
        <f>IFERROR(__xludf.DUMMYFUNCTION("""COMPUTED_VALUE"""),44759.0)</f>
        <v>44759</v>
      </c>
      <c r="B2628" s="24" t="str">
        <f>IFERROR(__xludf.DUMMYFUNCTION("""COMPUTED_VALUE"""),"Marci")</f>
        <v>Marci</v>
      </c>
      <c r="C2628" s="24">
        <f>IFERROR(__xludf.DUMMYFUNCTION("""COMPUTED_VALUE"""),20.0)</f>
        <v>20</v>
      </c>
      <c r="D2628" s="24"/>
      <c r="F2628" s="23">
        <f>IFERROR(__xludf.DUMMYFUNCTION("""COMPUTED_VALUE"""),44840.697129918975)</f>
        <v>44840.69713</v>
      </c>
      <c r="G2628" s="24" t="str">
        <f>IFERROR(__xludf.DUMMYFUNCTION("""COMPUTED_VALUE"""),"Claire")</f>
        <v>Claire</v>
      </c>
      <c r="H2628" s="24">
        <f>IFERROR(__xludf.DUMMYFUNCTION("""COMPUTED_VALUE"""),89.0)</f>
        <v>89</v>
      </c>
      <c r="I2628" s="24" t="str">
        <f>IFERROR(__xludf.DUMMYFUNCTION("""COMPUTED_VALUE"""),"Whitebox")</f>
        <v>Whitebox</v>
      </c>
    </row>
    <row r="2629">
      <c r="A2629" s="23">
        <f>IFERROR(__xludf.DUMMYFUNCTION("""COMPUTED_VALUE"""),44759.0)</f>
        <v>44759</v>
      </c>
      <c r="B2629" s="24" t="str">
        <f>IFERROR(__xludf.DUMMYFUNCTION("""COMPUTED_VALUE"""),"Marci")</f>
        <v>Marci</v>
      </c>
      <c r="C2629" s="24">
        <f>IFERROR(__xludf.DUMMYFUNCTION("""COMPUTED_VALUE"""),22.0)</f>
        <v>22</v>
      </c>
      <c r="D2629" s="24"/>
      <c r="F2629" s="23">
        <f>IFERROR(__xludf.DUMMYFUNCTION("""COMPUTED_VALUE"""),44840.69737241898)</f>
        <v>44840.69737</v>
      </c>
      <c r="G2629" s="24" t="str">
        <f>IFERROR(__xludf.DUMMYFUNCTION("""COMPUTED_VALUE"""),"Claire")</f>
        <v>Claire</v>
      </c>
      <c r="H2629" s="24">
        <f>IFERROR(__xludf.DUMMYFUNCTION("""COMPUTED_VALUE"""),156.0)</f>
        <v>156</v>
      </c>
      <c r="I2629" s="24" t="str">
        <f>IFERROR(__xludf.DUMMYFUNCTION("""COMPUTED_VALUE"""),"Whitebox")</f>
        <v>Whitebox</v>
      </c>
    </row>
    <row r="2630">
      <c r="A2630" s="23">
        <f>IFERROR(__xludf.DUMMYFUNCTION("""COMPUTED_VALUE"""),44759.0)</f>
        <v>44759</v>
      </c>
      <c r="B2630" s="24" t="str">
        <f>IFERROR(__xludf.DUMMYFUNCTION("""COMPUTED_VALUE"""),"Alex Wang")</f>
        <v>Alex Wang</v>
      </c>
      <c r="C2630" s="24">
        <f>IFERROR(__xludf.DUMMYFUNCTION("""COMPUTED_VALUE"""),20.0)</f>
        <v>20</v>
      </c>
      <c r="D2630" s="24"/>
      <c r="F2630" s="23">
        <f>IFERROR(__xludf.DUMMYFUNCTION("""COMPUTED_VALUE"""),44840.69756626157)</f>
        <v>44840.69757</v>
      </c>
      <c r="G2630" s="24" t="str">
        <f>IFERROR(__xludf.DUMMYFUNCTION("""COMPUTED_VALUE"""),"Claire")</f>
        <v>Claire</v>
      </c>
      <c r="H2630" s="24">
        <f>IFERROR(__xludf.DUMMYFUNCTION("""COMPUTED_VALUE"""),143.0)</f>
        <v>143</v>
      </c>
      <c r="I2630" s="24" t="str">
        <f>IFERROR(__xludf.DUMMYFUNCTION("""COMPUTED_VALUE"""),"Whitebox")</f>
        <v>Whitebox</v>
      </c>
    </row>
    <row r="2631">
      <c r="A2631" s="23">
        <f>IFERROR(__xludf.DUMMYFUNCTION("""COMPUTED_VALUE"""),44759.0)</f>
        <v>44759</v>
      </c>
      <c r="B2631" s="24" t="str">
        <f>IFERROR(__xludf.DUMMYFUNCTION("""COMPUTED_VALUE"""),"Ladaisha Thompson")</f>
        <v>Ladaisha Thompson</v>
      </c>
      <c r="C2631" s="24">
        <f>IFERROR(__xludf.DUMMYFUNCTION("""COMPUTED_VALUE"""),17.0)</f>
        <v>17</v>
      </c>
      <c r="D2631" s="24"/>
      <c r="F2631" s="23">
        <f>IFERROR(__xludf.DUMMYFUNCTION("""COMPUTED_VALUE"""),44840.70639829861)</f>
        <v>44840.7064</v>
      </c>
      <c r="G2631" s="24" t="str">
        <f>IFERROR(__xludf.DUMMYFUNCTION("""COMPUTED_VALUE"""),"Jean")</f>
        <v>Jean</v>
      </c>
      <c r="H2631" s="24">
        <f>IFERROR(__xludf.DUMMYFUNCTION("""COMPUTED_VALUE"""),23.0)</f>
        <v>23</v>
      </c>
      <c r="I2631" s="24" t="str">
        <f>IFERROR(__xludf.DUMMYFUNCTION("""COMPUTED_VALUE"""),"Regular (up to 20lbs)")</f>
        <v>Regular (up to 20lbs)</v>
      </c>
    </row>
    <row r="2632">
      <c r="A2632" s="23">
        <f>IFERROR(__xludf.DUMMYFUNCTION("""COMPUTED_VALUE"""),44759.66998607639)</f>
        <v>44759.66999</v>
      </c>
      <c r="B2632" s="24" t="str">
        <f>IFERROR(__xludf.DUMMYFUNCTION("""COMPUTED_VALUE"""),"Kaneesha ")</f>
        <v>Kaneesha </v>
      </c>
      <c r="C2632" s="24">
        <f>IFERROR(__xludf.DUMMYFUNCTION("""COMPUTED_VALUE"""),20.0)</f>
        <v>20</v>
      </c>
      <c r="D2632" s="24"/>
      <c r="F2632" s="23">
        <f>IFERROR(__xludf.DUMMYFUNCTION("""COMPUTED_VALUE"""),44840.712812986116)</f>
        <v>44840.71281</v>
      </c>
      <c r="G2632" s="24" t="str">
        <f>IFERROR(__xludf.DUMMYFUNCTION("""COMPUTED_VALUE"""),"Norma")</f>
        <v>Norma</v>
      </c>
      <c r="H2632" s="24">
        <f>IFERROR(__xludf.DUMMYFUNCTION("""COMPUTED_VALUE"""),16.0)</f>
        <v>16</v>
      </c>
      <c r="I2632" s="24" t="str">
        <f>IFERROR(__xludf.DUMMYFUNCTION("""COMPUTED_VALUE"""),"Regular (up to 20lbs)")</f>
        <v>Regular (up to 20lbs)</v>
      </c>
    </row>
    <row r="2633">
      <c r="A2633" s="23">
        <f>IFERROR(__xludf.DUMMYFUNCTION("""COMPUTED_VALUE"""),44759.67034063657)</f>
        <v>44759.67034</v>
      </c>
      <c r="B2633" s="24" t="str">
        <f>IFERROR(__xludf.DUMMYFUNCTION("""COMPUTED_VALUE"""),"Kaneesha (extra)")</f>
        <v>Kaneesha (extra)</v>
      </c>
      <c r="C2633" s="24">
        <f>IFERROR(__xludf.DUMMYFUNCTION("""COMPUTED_VALUE"""),4.0)</f>
        <v>4</v>
      </c>
      <c r="D2633" s="24"/>
      <c r="F2633" s="23">
        <f>IFERROR(__xludf.DUMMYFUNCTION("""COMPUTED_VALUE"""),44840.71319231482)</f>
        <v>44840.71319</v>
      </c>
      <c r="G2633" s="24" t="str">
        <f>IFERROR(__xludf.DUMMYFUNCTION("""COMPUTED_VALUE"""),"Norma")</f>
        <v>Norma</v>
      </c>
      <c r="H2633" s="24">
        <f>IFERROR(__xludf.DUMMYFUNCTION("""COMPUTED_VALUE"""),9.0)</f>
        <v>9</v>
      </c>
      <c r="I2633" s="24" t="str">
        <f>IFERROR(__xludf.DUMMYFUNCTION("""COMPUTED_VALUE"""),"Damage/expired/extra")</f>
        <v>Damage/expired/extra</v>
      </c>
    </row>
    <row r="2634">
      <c r="A2634" s="23">
        <f>IFERROR(__xludf.DUMMYFUNCTION("""COMPUTED_VALUE"""),44759.67503989584)</f>
        <v>44759.67504</v>
      </c>
      <c r="B2634" s="24" t="str">
        <f>IFERROR(__xludf.DUMMYFUNCTION("""COMPUTED_VALUE"""),"Anna Nicosia ")</f>
        <v>Anna Nicosia </v>
      </c>
      <c r="C2634" s="24">
        <f>IFERROR(__xludf.DUMMYFUNCTION("""COMPUTED_VALUE"""),20.0)</f>
        <v>20</v>
      </c>
      <c r="D2634" s="24"/>
      <c r="F2634" s="23">
        <f>IFERROR(__xludf.DUMMYFUNCTION("""COMPUTED_VALUE"""),44840.72128752315)</f>
        <v>44840.72129</v>
      </c>
      <c r="G2634" s="24" t="str">
        <f>IFERROR(__xludf.DUMMYFUNCTION("""COMPUTED_VALUE"""),"Norma")</f>
        <v>Norma</v>
      </c>
      <c r="H2634" s="24">
        <f>IFERROR(__xludf.DUMMYFUNCTION("""COMPUTED_VALUE"""),16.0)</f>
        <v>16</v>
      </c>
      <c r="I2634" s="24" t="str">
        <f>IFERROR(__xludf.DUMMYFUNCTION("""COMPUTED_VALUE"""),"Damage/expired/extra")</f>
        <v>Damage/expired/extra</v>
      </c>
    </row>
    <row r="2635">
      <c r="A2635" s="23">
        <f>IFERROR(__xludf.DUMMYFUNCTION("""COMPUTED_VALUE"""),44759.6810091088)</f>
        <v>44759.68101</v>
      </c>
      <c r="B2635" s="24" t="str">
        <f>IFERROR(__xludf.DUMMYFUNCTION("""COMPUTED_VALUE"""),"Shaneen")</f>
        <v>Shaneen</v>
      </c>
      <c r="C2635" s="24">
        <f>IFERROR(__xludf.DUMMYFUNCTION("""COMPUTED_VALUE"""),20.0)</f>
        <v>20</v>
      </c>
      <c r="D2635" s="24"/>
      <c r="F2635" s="23">
        <f>IFERROR(__xludf.DUMMYFUNCTION("""COMPUTED_VALUE"""),44840.87479318286)</f>
        <v>44840.87479</v>
      </c>
      <c r="G2635" s="24" t="str">
        <f>IFERROR(__xludf.DUMMYFUNCTION("""COMPUTED_VALUE"""),"adeola sulaiman")</f>
        <v>adeola sulaiman</v>
      </c>
      <c r="H2635" s="24">
        <f>IFERROR(__xludf.DUMMYFUNCTION("""COMPUTED_VALUE"""),20.0)</f>
        <v>20</v>
      </c>
      <c r="I2635" s="24" t="str">
        <f>IFERROR(__xludf.DUMMYFUNCTION("""COMPUTED_VALUE"""),"Regular (up to 20lbs)")</f>
        <v>Regular (up to 20lbs)</v>
      </c>
    </row>
    <row r="2636">
      <c r="A2636" s="23">
        <f>IFERROR(__xludf.DUMMYFUNCTION("""COMPUTED_VALUE"""),44759.68115653935)</f>
        <v>44759.68116</v>
      </c>
      <c r="B2636" s="24" t="str">
        <f>IFERROR(__xludf.DUMMYFUNCTION("""COMPUTED_VALUE"""),"Shaneen Unlimited ")</f>
        <v>Shaneen Unlimited </v>
      </c>
      <c r="C2636" s="24">
        <f>IFERROR(__xludf.DUMMYFUNCTION("""COMPUTED_VALUE"""),38.0)</f>
        <v>38</v>
      </c>
      <c r="D2636" s="24"/>
      <c r="F2636" s="23">
        <f>IFERROR(__xludf.DUMMYFUNCTION("""COMPUTED_VALUE"""),44840.87498305555)</f>
        <v>44840.87498</v>
      </c>
      <c r="G2636" s="24" t="str">
        <f>IFERROR(__xludf.DUMMYFUNCTION("""COMPUTED_VALUE"""),"Obi Nwokoro")</f>
        <v>Obi Nwokoro</v>
      </c>
      <c r="H2636" s="24">
        <f>IFERROR(__xludf.DUMMYFUNCTION("""COMPUTED_VALUE"""),19.0)</f>
        <v>19</v>
      </c>
      <c r="I2636" s="24" t="str">
        <f>IFERROR(__xludf.DUMMYFUNCTION("""COMPUTED_VALUE"""),"Regular (up to 20lbs)")</f>
        <v>Regular (up to 20lbs)</v>
      </c>
    </row>
    <row r="2637">
      <c r="A2637" s="23">
        <f>IFERROR(__xludf.DUMMYFUNCTION("""COMPUTED_VALUE"""),44759.718689814814)</f>
        <v>44759.71869</v>
      </c>
      <c r="B2637" s="24" t="str">
        <f>IFERROR(__xludf.DUMMYFUNCTION("""COMPUTED_VALUE"""),"Zoe")</f>
        <v>Zoe</v>
      </c>
      <c r="C2637" s="24">
        <f>IFERROR(__xludf.DUMMYFUNCTION("""COMPUTED_VALUE"""),11.0)</f>
        <v>11</v>
      </c>
      <c r="D2637" s="24"/>
      <c r="F2637" s="23">
        <f>IFERROR(__xludf.DUMMYFUNCTION("""COMPUTED_VALUE"""),44841.0)</f>
        <v>44841</v>
      </c>
      <c r="G2637" s="24" t="str">
        <f>IFERROR(__xludf.DUMMYFUNCTION("""COMPUTED_VALUE"""),"Theresa Columbus")</f>
        <v>Theresa Columbus</v>
      </c>
      <c r="H2637" s="24">
        <f>IFERROR(__xludf.DUMMYFUNCTION("""COMPUTED_VALUE"""),14.0)</f>
        <v>14</v>
      </c>
      <c r="I2637" s="24" t="str">
        <f>IFERROR(__xludf.DUMMYFUNCTION("""COMPUTED_VALUE"""),"Regular (up to 20lbs)")</f>
        <v>Regular (up to 20lbs)</v>
      </c>
    </row>
    <row r="2638">
      <c r="A2638" s="23">
        <f>IFERROR(__xludf.DUMMYFUNCTION("""COMPUTED_VALUE"""),44761.0)</f>
        <v>44761</v>
      </c>
      <c r="B2638" s="24" t="str">
        <f>IFERROR(__xludf.DUMMYFUNCTION("""COMPUTED_VALUE"""),"Juanita C")</f>
        <v>Juanita C</v>
      </c>
      <c r="C2638" s="24">
        <f>IFERROR(__xludf.DUMMYFUNCTION("""COMPUTED_VALUE"""),13.0)</f>
        <v>13</v>
      </c>
      <c r="D2638" s="24"/>
      <c r="F2638" s="23">
        <f>IFERROR(__xludf.DUMMYFUNCTION("""COMPUTED_VALUE"""),44841.0)</f>
        <v>44841</v>
      </c>
      <c r="G2638" s="24" t="str">
        <f>IFERROR(__xludf.DUMMYFUNCTION("""COMPUTED_VALUE"""),"Juanita Chandler")</f>
        <v>Juanita Chandler</v>
      </c>
      <c r="H2638" s="24">
        <f>IFERROR(__xludf.DUMMYFUNCTION("""COMPUTED_VALUE"""),8.0)</f>
        <v>8</v>
      </c>
      <c r="I2638" s="24" t="str">
        <f>IFERROR(__xludf.DUMMYFUNCTION("""COMPUTED_VALUE"""),"Damage/expired/extra")</f>
        <v>Damage/expired/extra</v>
      </c>
    </row>
    <row r="2639">
      <c r="A2639" s="23">
        <f>IFERROR(__xludf.DUMMYFUNCTION("""COMPUTED_VALUE"""),44761.0)</f>
        <v>44761</v>
      </c>
      <c r="B2639" s="24" t="str">
        <f>IFERROR(__xludf.DUMMYFUNCTION("""COMPUTED_VALUE"""),"Juanita C")</f>
        <v>Juanita C</v>
      </c>
      <c r="C2639" s="24">
        <f>IFERROR(__xludf.DUMMYFUNCTION("""COMPUTED_VALUE"""),12.0)</f>
        <v>12</v>
      </c>
      <c r="D2639" s="24"/>
      <c r="F2639" s="23">
        <f>IFERROR(__xludf.DUMMYFUNCTION("""COMPUTED_VALUE"""),44841.65973728009)</f>
        <v>44841.65974</v>
      </c>
      <c r="G2639" s="24" t="str">
        <f>IFERROR(__xludf.DUMMYFUNCTION("""COMPUTED_VALUE"""),"Lynmette c")</f>
        <v>Lynmette c</v>
      </c>
      <c r="H2639" s="24">
        <f>IFERROR(__xludf.DUMMYFUNCTION("""COMPUTED_VALUE"""),2.0)</f>
        <v>2</v>
      </c>
      <c r="I2639" s="24" t="str">
        <f>IFERROR(__xludf.DUMMYFUNCTION("""COMPUTED_VALUE"""),"Damage/expired/extra")</f>
        <v>Damage/expired/extra</v>
      </c>
    </row>
    <row r="2640">
      <c r="A2640" s="23">
        <f>IFERROR(__xludf.DUMMYFUNCTION("""COMPUTED_VALUE"""),44761.0)</f>
        <v>44761</v>
      </c>
      <c r="B2640" s="24" t="str">
        <f>IFERROR(__xludf.DUMMYFUNCTION("""COMPUTED_VALUE"""),"Doris Parker Tuggle")</f>
        <v>Doris Parker Tuggle</v>
      </c>
      <c r="C2640" s="24">
        <f>IFERROR(__xludf.DUMMYFUNCTION("""COMPUTED_VALUE"""),19.0)</f>
        <v>19</v>
      </c>
      <c r="D2640" s="24"/>
      <c r="F2640" s="23">
        <f>IFERROR(__xludf.DUMMYFUNCTION("""COMPUTED_VALUE"""),44841.659977118055)</f>
        <v>44841.65998</v>
      </c>
      <c r="G2640" s="24" t="str">
        <f>IFERROR(__xludf.DUMMYFUNCTION("""COMPUTED_VALUE"""),"Lynnette c")</f>
        <v>Lynnette c</v>
      </c>
      <c r="H2640" s="24">
        <f>IFERROR(__xludf.DUMMYFUNCTION("""COMPUTED_VALUE"""),11.0)</f>
        <v>11</v>
      </c>
      <c r="I2640" s="24" t="str">
        <f>IFERROR(__xludf.DUMMYFUNCTION("""COMPUTED_VALUE"""),"Regular (up to 20lbs)")</f>
        <v>Regular (up to 20lbs)</v>
      </c>
    </row>
    <row r="2641">
      <c r="A2641" s="23">
        <f>IFERROR(__xludf.DUMMYFUNCTION("""COMPUTED_VALUE"""),44761.0)</f>
        <v>44761</v>
      </c>
      <c r="B2641" s="24" t="str">
        <f>IFERROR(__xludf.DUMMYFUNCTION("""COMPUTED_VALUE"""),"Doris Parker Tuggle")</f>
        <v>Doris Parker Tuggle</v>
      </c>
      <c r="C2641" s="24">
        <f>IFERROR(__xludf.DUMMYFUNCTION("""COMPUTED_VALUE"""),7.0)</f>
        <v>7</v>
      </c>
      <c r="D2641" s="24"/>
      <c r="F2641" s="23">
        <f>IFERROR(__xludf.DUMMYFUNCTION("""COMPUTED_VALUE"""),44841.69913600695)</f>
        <v>44841.69914</v>
      </c>
      <c r="G2641" s="24" t="str">
        <f>IFERROR(__xludf.DUMMYFUNCTION("""COMPUTED_VALUE"""),"Beth Torres")</f>
        <v>Beth Torres</v>
      </c>
      <c r="H2641" s="24">
        <f>IFERROR(__xludf.DUMMYFUNCTION("""COMPUTED_VALUE"""),12.0)</f>
        <v>12</v>
      </c>
      <c r="I2641" s="24" t="str">
        <f>IFERROR(__xludf.DUMMYFUNCTION("""COMPUTED_VALUE"""),"Regular (up to 20lbs)")</f>
        <v>Regular (up to 20lbs)</v>
      </c>
    </row>
    <row r="2642">
      <c r="A2642" s="23">
        <f>IFERROR(__xludf.DUMMYFUNCTION("""COMPUTED_VALUE"""),44761.71035637731)</f>
        <v>44761.71036</v>
      </c>
      <c r="B2642" s="24" t="str">
        <f>IFERROR(__xludf.DUMMYFUNCTION("""COMPUTED_VALUE"""),"Ryan Helcoski ")</f>
        <v>Ryan Helcoski </v>
      </c>
      <c r="C2642" s="24">
        <f>IFERROR(__xludf.DUMMYFUNCTION("""COMPUTED_VALUE"""),19.0)</f>
        <v>19</v>
      </c>
      <c r="D2642" s="24"/>
      <c r="F2642" s="23">
        <f>IFERROR(__xludf.DUMMYFUNCTION("""COMPUTED_VALUE"""),44841.69929885417)</f>
        <v>44841.6993</v>
      </c>
      <c r="G2642" s="24" t="str">
        <f>IFERROR(__xludf.DUMMYFUNCTION("""COMPUTED_VALUE"""),"Beth Torres")</f>
        <v>Beth Torres</v>
      </c>
      <c r="H2642" s="24">
        <f>IFERROR(__xludf.DUMMYFUNCTION("""COMPUTED_VALUE"""),7.0)</f>
        <v>7</v>
      </c>
      <c r="I2642" s="24" t="str">
        <f>IFERROR(__xludf.DUMMYFUNCTION("""COMPUTED_VALUE"""),"Damage/expired/extra")</f>
        <v>Damage/expired/extra</v>
      </c>
    </row>
    <row r="2643">
      <c r="A2643" s="23">
        <f>IFERROR(__xludf.DUMMYFUNCTION("""COMPUTED_VALUE"""),44761.0)</f>
        <v>44761</v>
      </c>
      <c r="B2643" s="24" t="str">
        <f>IFERROR(__xludf.DUMMYFUNCTION("""COMPUTED_VALUE"""),"Ryan Helcoski ")</f>
        <v>Ryan Helcoski </v>
      </c>
      <c r="C2643" s="24">
        <f>IFERROR(__xludf.DUMMYFUNCTION("""COMPUTED_VALUE"""),14.0)</f>
        <v>14</v>
      </c>
      <c r="D2643" s="24"/>
      <c r="F2643" s="23">
        <f>IFERROR(__xludf.DUMMYFUNCTION("""COMPUTED_VALUE"""),44841.70566290509)</f>
        <v>44841.70566</v>
      </c>
      <c r="G2643" s="24" t="str">
        <f>IFERROR(__xludf.DUMMYFUNCTION("""COMPUTED_VALUE"""),"Dorja ")</f>
        <v>Dorja </v>
      </c>
      <c r="H2643" s="24">
        <f>IFERROR(__xludf.DUMMYFUNCTION("""COMPUTED_VALUE"""),17.0)</f>
        <v>17</v>
      </c>
      <c r="I2643" s="24" t="str">
        <f>IFERROR(__xludf.DUMMYFUNCTION("""COMPUTED_VALUE"""),"Regular (up to 20lbs)")</f>
        <v>Regular (up to 20lbs)</v>
      </c>
    </row>
    <row r="2644">
      <c r="A2644" s="23">
        <f>IFERROR(__xludf.DUMMYFUNCTION("""COMPUTED_VALUE"""),44761.0)</f>
        <v>44761</v>
      </c>
      <c r="B2644" s="24" t="str">
        <f>IFERROR(__xludf.DUMMYFUNCTION("""COMPUTED_VALUE"""),"Gretchen Pike")</f>
        <v>Gretchen Pike</v>
      </c>
      <c r="C2644" s="24">
        <f>IFERROR(__xludf.DUMMYFUNCTION("""COMPUTED_VALUE"""),19.0)</f>
        <v>19</v>
      </c>
      <c r="D2644" s="24"/>
      <c r="F2644" s="23">
        <f>IFERROR(__xludf.DUMMYFUNCTION("""COMPUTED_VALUE"""),44841.70610133102)</f>
        <v>44841.7061</v>
      </c>
      <c r="G2644" s="24" t="str">
        <f>IFERROR(__xludf.DUMMYFUNCTION("""COMPUTED_VALUE"""),"Dorja")</f>
        <v>Dorja</v>
      </c>
      <c r="H2644" s="24">
        <f>IFERROR(__xludf.DUMMYFUNCTION("""COMPUTED_VALUE"""),18.0)</f>
        <v>18</v>
      </c>
      <c r="I2644" s="24" t="str">
        <f>IFERROR(__xludf.DUMMYFUNCTION("""COMPUTED_VALUE"""),"Damage/expired/extra")</f>
        <v>Damage/expired/extra</v>
      </c>
    </row>
    <row r="2645">
      <c r="A2645" s="23">
        <f>IFERROR(__xludf.DUMMYFUNCTION("""COMPUTED_VALUE"""),44761.0)</f>
        <v>44761</v>
      </c>
      <c r="B2645" s="24" t="str">
        <f>IFERROR(__xludf.DUMMYFUNCTION("""COMPUTED_VALUE"""),"Gretchen Pike")</f>
        <v>Gretchen Pike</v>
      </c>
      <c r="C2645" s="24">
        <f>IFERROR(__xludf.DUMMYFUNCTION("""COMPUTED_VALUE"""),12.0)</f>
        <v>12</v>
      </c>
      <c r="D2645" s="24"/>
      <c r="F2645" s="23">
        <f>IFERROR(__xludf.DUMMYFUNCTION("""COMPUTED_VALUE"""),44842.0)</f>
        <v>44842</v>
      </c>
      <c r="G2645" s="24" t="str">
        <f>IFERROR(__xludf.DUMMYFUNCTION("""COMPUTED_VALUE"""),"Perry")</f>
        <v>Perry</v>
      </c>
      <c r="H2645" s="24">
        <f>IFERROR(__xludf.DUMMYFUNCTION("""COMPUTED_VALUE"""),37.0)</f>
        <v>37</v>
      </c>
      <c r="I2645" s="24" t="str">
        <f>IFERROR(__xludf.DUMMYFUNCTION("""COMPUTED_VALUE"""),"Damage/expired/extra")</f>
        <v>Damage/expired/extra</v>
      </c>
    </row>
    <row r="2646">
      <c r="A2646" s="23">
        <f>IFERROR(__xludf.DUMMYFUNCTION("""COMPUTED_VALUE"""),44761.7120015625)</f>
        <v>44761.712</v>
      </c>
      <c r="B2646" s="24" t="str">
        <f>IFERROR(__xludf.DUMMYFUNCTION("""COMPUTED_VALUE"""),"Treston Codrington")</f>
        <v>Treston Codrington</v>
      </c>
      <c r="C2646" s="24">
        <f>IFERROR(__xludf.DUMMYFUNCTION("""COMPUTED_VALUE"""),16.0)</f>
        <v>16</v>
      </c>
      <c r="D2646" s="24"/>
      <c r="F2646" s="23">
        <f>IFERROR(__xludf.DUMMYFUNCTION("""COMPUTED_VALUE"""),44842.0)</f>
        <v>44842</v>
      </c>
      <c r="G2646" s="24" t="str">
        <f>IFERROR(__xludf.DUMMYFUNCTION("""COMPUTED_VALUE"""),"Janet Lomax")</f>
        <v>Janet Lomax</v>
      </c>
      <c r="H2646" s="24">
        <f>IFERROR(__xludf.DUMMYFUNCTION("""COMPUTED_VALUE"""),20.0)</f>
        <v>20</v>
      </c>
      <c r="I2646" s="24" t="str">
        <f>IFERROR(__xludf.DUMMYFUNCTION("""COMPUTED_VALUE"""),"Regular (up to 20lbs)")</f>
        <v>Regular (up to 20lbs)</v>
      </c>
    </row>
    <row r="2647">
      <c r="A2647" s="23">
        <f>IFERROR(__xludf.DUMMYFUNCTION("""COMPUTED_VALUE"""),44761.0)</f>
        <v>44761</v>
      </c>
      <c r="B2647" s="24" t="str">
        <f>IFERROR(__xludf.DUMMYFUNCTION("""COMPUTED_VALUE"""),"Treston Codrington")</f>
        <v>Treston Codrington</v>
      </c>
      <c r="C2647" s="24">
        <f>IFERROR(__xludf.DUMMYFUNCTION("""COMPUTED_VALUE"""),1.0)</f>
        <v>1</v>
      </c>
      <c r="D2647" s="24"/>
      <c r="F2647" s="23">
        <f>IFERROR(__xludf.DUMMYFUNCTION("""COMPUTED_VALUE"""),44842.0)</f>
        <v>44842</v>
      </c>
      <c r="G2647" s="24" t="str">
        <f>IFERROR(__xludf.DUMMYFUNCTION("""COMPUTED_VALUE"""),"Janet Lomax")</f>
        <v>Janet Lomax</v>
      </c>
      <c r="H2647" s="24">
        <f>IFERROR(__xludf.DUMMYFUNCTION("""COMPUTED_VALUE"""),25.0)</f>
        <v>25</v>
      </c>
      <c r="I2647" s="24" t="str">
        <f>IFERROR(__xludf.DUMMYFUNCTION("""COMPUTED_VALUE"""),"Damage/expired/extra")</f>
        <v>Damage/expired/extra</v>
      </c>
    </row>
    <row r="2648">
      <c r="A2648" s="23">
        <f>IFERROR(__xludf.DUMMYFUNCTION("""COMPUTED_VALUE"""),44761.0)</f>
        <v>44761</v>
      </c>
      <c r="B2648" s="24" t="str">
        <f>IFERROR(__xludf.DUMMYFUNCTION("""COMPUTED_VALUE"""),"Lynette c")</f>
        <v>Lynette c</v>
      </c>
      <c r="C2648" s="24">
        <f>IFERROR(__xludf.DUMMYFUNCTION("""COMPUTED_VALUE"""),18.0)</f>
        <v>18</v>
      </c>
      <c r="D2648" s="24"/>
      <c r="F2648" s="23">
        <f>IFERROR(__xludf.DUMMYFUNCTION("""COMPUTED_VALUE"""),44842.0)</f>
        <v>44842</v>
      </c>
      <c r="G2648" s="24" t="str">
        <f>IFERROR(__xludf.DUMMYFUNCTION("""COMPUTED_VALUE"""),"Juanita Chandler")</f>
        <v>Juanita Chandler</v>
      </c>
      <c r="H2648" s="24">
        <f>IFERROR(__xludf.DUMMYFUNCTION("""COMPUTED_VALUE"""),10.0)</f>
        <v>10</v>
      </c>
      <c r="I2648" s="24" t="str">
        <f>IFERROR(__xludf.DUMMYFUNCTION("""COMPUTED_VALUE"""),"Regular (up to 20lbs)")</f>
        <v>Regular (up to 20lbs)</v>
      </c>
    </row>
    <row r="2649">
      <c r="A2649" s="23">
        <f>IFERROR(__xludf.DUMMYFUNCTION("""COMPUTED_VALUE"""),44761.0)</f>
        <v>44761</v>
      </c>
      <c r="B2649" s="24" t="str">
        <f>IFERROR(__xludf.DUMMYFUNCTION("""COMPUTED_VALUE"""),"Lynette c")</f>
        <v>Lynette c</v>
      </c>
      <c r="C2649" s="24">
        <f>IFERROR(__xludf.DUMMYFUNCTION("""COMPUTED_VALUE"""),20.0)</f>
        <v>20</v>
      </c>
      <c r="D2649" s="24"/>
      <c r="F2649" s="23">
        <f>IFERROR(__xludf.DUMMYFUNCTION("""COMPUTED_VALUE"""),44842.0)</f>
        <v>44842</v>
      </c>
      <c r="G2649" s="24" t="str">
        <f>IFERROR(__xludf.DUMMYFUNCTION("""COMPUTED_VALUE"""),"Ryan J")</f>
        <v>Ryan J</v>
      </c>
      <c r="H2649" s="24">
        <f>IFERROR(__xludf.DUMMYFUNCTION("""COMPUTED_VALUE"""),2.0)</f>
        <v>2</v>
      </c>
      <c r="I2649" s="24" t="str">
        <f>IFERROR(__xludf.DUMMYFUNCTION("""COMPUTED_VALUE"""),"Regular (up to 20lbs)")</f>
        <v>Regular (up to 20lbs)</v>
      </c>
    </row>
    <row r="2650">
      <c r="A2650" s="23">
        <f>IFERROR(__xludf.DUMMYFUNCTION("""COMPUTED_VALUE"""),44761.71359668981)</f>
        <v>44761.7136</v>
      </c>
      <c r="B2650" s="24" t="str">
        <f>IFERROR(__xludf.DUMMYFUNCTION("""COMPUTED_VALUE"""),"Beverly Pinn")</f>
        <v>Beverly Pinn</v>
      </c>
      <c r="C2650" s="24">
        <f>IFERROR(__xludf.DUMMYFUNCTION("""COMPUTED_VALUE"""),20.0)</f>
        <v>20</v>
      </c>
      <c r="D2650" s="24"/>
      <c r="F2650" s="23">
        <f>IFERROR(__xludf.DUMMYFUNCTION("""COMPUTED_VALUE"""),44842.0)</f>
        <v>44842</v>
      </c>
      <c r="G2650" s="24" t="str">
        <f>IFERROR(__xludf.DUMMYFUNCTION("""COMPUTED_VALUE"""),"Denise Brown")</f>
        <v>Denise Brown</v>
      </c>
      <c r="H2650" s="24">
        <f>IFERROR(__xludf.DUMMYFUNCTION("""COMPUTED_VALUE"""),15.0)</f>
        <v>15</v>
      </c>
      <c r="I2650" s="24" t="str">
        <f>IFERROR(__xludf.DUMMYFUNCTION("""COMPUTED_VALUE"""),"Regular (up to 20lbs)")</f>
        <v>Regular (up to 20lbs)</v>
      </c>
    </row>
    <row r="2651">
      <c r="A2651" s="23">
        <f>IFERROR(__xludf.DUMMYFUNCTION("""COMPUTED_VALUE"""),44761.71392055556)</f>
        <v>44761.71392</v>
      </c>
      <c r="B2651" s="24" t="str">
        <f>IFERROR(__xludf.DUMMYFUNCTION("""COMPUTED_VALUE"""),"Beverly Pinn")</f>
        <v>Beverly Pinn</v>
      </c>
      <c r="C2651" s="24">
        <f>IFERROR(__xludf.DUMMYFUNCTION("""COMPUTED_VALUE"""),12.0)</f>
        <v>12</v>
      </c>
      <c r="D2651" s="24"/>
      <c r="F2651" s="23">
        <f>IFERROR(__xludf.DUMMYFUNCTION("""COMPUTED_VALUE"""),44842.0)</f>
        <v>44842</v>
      </c>
      <c r="G2651" s="24" t="str">
        <f>IFERROR(__xludf.DUMMYFUNCTION("""COMPUTED_VALUE"""),"Gilda Castillo")</f>
        <v>Gilda Castillo</v>
      </c>
      <c r="H2651" s="24">
        <f>IFERROR(__xludf.DUMMYFUNCTION("""COMPUTED_VALUE"""),19.0)</f>
        <v>19</v>
      </c>
      <c r="I2651" s="24" t="str">
        <f>IFERROR(__xludf.DUMMYFUNCTION("""COMPUTED_VALUE"""),"Regular (up to 20lbs)")</f>
        <v>Regular (up to 20lbs)</v>
      </c>
    </row>
    <row r="2652">
      <c r="A2652" s="23">
        <f>IFERROR(__xludf.DUMMYFUNCTION("""COMPUTED_VALUE"""),44761.84984225694)</f>
        <v>44761.84984</v>
      </c>
      <c r="B2652" s="24" t="str">
        <f>IFERROR(__xludf.DUMMYFUNCTION("""COMPUTED_VALUE"""),"Deborah")</f>
        <v>Deborah</v>
      </c>
      <c r="C2652" s="24">
        <f>IFERROR(__xludf.DUMMYFUNCTION("""COMPUTED_VALUE"""),19.0)</f>
        <v>19</v>
      </c>
      <c r="D2652" s="24"/>
      <c r="F2652" s="23">
        <f>IFERROR(__xludf.DUMMYFUNCTION("""COMPUTED_VALUE"""),44842.485319722226)</f>
        <v>44842.48532</v>
      </c>
      <c r="G2652" s="24" t="str">
        <f>IFERROR(__xludf.DUMMYFUNCTION("""COMPUTED_VALUE"""),"Claire")</f>
        <v>Claire</v>
      </c>
      <c r="H2652" s="24">
        <f>IFERROR(__xludf.DUMMYFUNCTION("""COMPUTED_VALUE"""),436.0)</f>
        <v>436</v>
      </c>
      <c r="I2652" s="24" t="str">
        <f>IFERROR(__xludf.DUMMYFUNCTION("""COMPUTED_VALUE"""),"Produce")</f>
        <v>Produce</v>
      </c>
    </row>
    <row r="2653">
      <c r="A2653" s="23">
        <f>IFERROR(__xludf.DUMMYFUNCTION("""COMPUTED_VALUE"""),44762.0)</f>
        <v>44762</v>
      </c>
      <c r="B2653" s="24" t="str">
        <f>IFERROR(__xludf.DUMMYFUNCTION("""COMPUTED_VALUE"""),"Clarice")</f>
        <v>Clarice</v>
      </c>
      <c r="C2653" s="24">
        <f>IFERROR(__xludf.DUMMYFUNCTION("""COMPUTED_VALUE"""),25.0)</f>
        <v>25</v>
      </c>
      <c r="D2653" s="24"/>
      <c r="F2653" s="23">
        <f>IFERROR(__xludf.DUMMYFUNCTION("""COMPUTED_VALUE"""),44842.485535381944)</f>
        <v>44842.48554</v>
      </c>
      <c r="G2653" s="24" t="str">
        <f>IFERROR(__xludf.DUMMYFUNCTION("""COMPUTED_VALUE"""),"Claire")</f>
        <v>Claire</v>
      </c>
      <c r="H2653" s="24">
        <f>IFERROR(__xludf.DUMMYFUNCTION("""COMPUTED_VALUE"""),452.0)</f>
        <v>452</v>
      </c>
      <c r="I2653" s="24" t="str">
        <f>IFERROR(__xludf.DUMMYFUNCTION("""COMPUTED_VALUE"""),"Produce")</f>
        <v>Produce</v>
      </c>
    </row>
    <row r="2654">
      <c r="A2654" s="23">
        <f>IFERROR(__xludf.DUMMYFUNCTION("""COMPUTED_VALUE"""),44762.71042638889)</f>
        <v>44762.71043</v>
      </c>
      <c r="B2654" s="24" t="str">
        <f>IFERROR(__xludf.DUMMYFUNCTION("""COMPUTED_VALUE"""),"Deborah claridy ")</f>
        <v>Deborah claridy </v>
      </c>
      <c r="C2654" s="24">
        <f>IFERROR(__xludf.DUMMYFUNCTION("""COMPUTED_VALUE"""),20.0)</f>
        <v>20</v>
      </c>
      <c r="D2654" s="24"/>
      <c r="F2654" s="23">
        <f>IFERROR(__xludf.DUMMYFUNCTION("""COMPUTED_VALUE"""),44842.48664004629)</f>
        <v>44842.48664</v>
      </c>
      <c r="G2654" s="24" t="str">
        <f>IFERROR(__xludf.DUMMYFUNCTION("""COMPUTED_VALUE"""),"Claire")</f>
        <v>Claire</v>
      </c>
      <c r="H2654" s="24">
        <f>IFERROR(__xludf.DUMMYFUNCTION("""COMPUTED_VALUE"""),59.0)</f>
        <v>59</v>
      </c>
      <c r="I2654" s="24" t="str">
        <f>IFERROR(__xludf.DUMMYFUNCTION("""COMPUTED_VALUE"""),"Snacks")</f>
        <v>Snacks</v>
      </c>
    </row>
    <row r="2655">
      <c r="A2655" s="23">
        <f>IFERROR(__xludf.DUMMYFUNCTION("""COMPUTED_VALUE"""),44762.71070678241)</f>
        <v>44762.71071</v>
      </c>
      <c r="B2655" s="24" t="str">
        <f>IFERROR(__xludf.DUMMYFUNCTION("""COMPUTED_VALUE"""),"Deborah Claridy ")</f>
        <v>Deborah Claridy </v>
      </c>
      <c r="C2655" s="24">
        <f>IFERROR(__xludf.DUMMYFUNCTION("""COMPUTED_VALUE"""),11.0)</f>
        <v>11</v>
      </c>
      <c r="D2655" s="24"/>
      <c r="F2655" s="23">
        <f>IFERROR(__xludf.DUMMYFUNCTION("""COMPUTED_VALUE"""),44842.48692542824)</f>
        <v>44842.48693</v>
      </c>
      <c r="G2655" s="24" t="str">
        <f>IFERROR(__xludf.DUMMYFUNCTION("""COMPUTED_VALUE"""),"Claire")</f>
        <v>Claire</v>
      </c>
      <c r="H2655" s="24">
        <f>IFERROR(__xludf.DUMMYFUNCTION("""COMPUTED_VALUE"""),260.0)</f>
        <v>260</v>
      </c>
      <c r="I2655" s="24" t="str">
        <f>IFERROR(__xludf.DUMMYFUNCTION("""COMPUTED_VALUE"""),"Assorted Dry")</f>
        <v>Assorted Dry</v>
      </c>
    </row>
    <row r="2656">
      <c r="A2656" s="23">
        <f>IFERROR(__xludf.DUMMYFUNCTION("""COMPUTED_VALUE"""),44762.71801092593)</f>
        <v>44762.71801</v>
      </c>
      <c r="B2656" s="24" t="str">
        <f>IFERROR(__xludf.DUMMYFUNCTION("""COMPUTED_VALUE"""),"Juanita Chandler ")</f>
        <v>Juanita Chandler </v>
      </c>
      <c r="C2656" s="24">
        <f>IFERROR(__xludf.DUMMYFUNCTION("""COMPUTED_VALUE"""),21.0)</f>
        <v>21</v>
      </c>
      <c r="D2656" s="24"/>
      <c r="F2656" s="23">
        <f>IFERROR(__xludf.DUMMYFUNCTION("""COMPUTED_VALUE"""),44842.48715158565)</f>
        <v>44842.48715</v>
      </c>
      <c r="G2656" s="24" t="str">
        <f>IFERROR(__xludf.DUMMYFUNCTION("""COMPUTED_VALUE"""),"Claire")</f>
        <v>Claire</v>
      </c>
      <c r="H2656" s="24">
        <f>IFERROR(__xludf.DUMMYFUNCTION("""COMPUTED_VALUE"""),158.0)</f>
        <v>158</v>
      </c>
      <c r="I2656" s="24" t="str">
        <f>IFERROR(__xludf.DUMMYFUNCTION("""COMPUTED_VALUE"""),"Assorted Dry")</f>
        <v>Assorted Dry</v>
      </c>
    </row>
    <row r="2657">
      <c r="A2657" s="23">
        <f>IFERROR(__xludf.DUMMYFUNCTION("""COMPUTED_VALUE"""),44762.72519207177)</f>
        <v>44762.72519</v>
      </c>
      <c r="B2657" s="24" t="str">
        <f>IFERROR(__xludf.DUMMYFUNCTION("""COMPUTED_VALUE"""),"Karen")</f>
        <v>Karen</v>
      </c>
      <c r="C2657" s="24">
        <f>IFERROR(__xludf.DUMMYFUNCTION("""COMPUTED_VALUE"""),19.0)</f>
        <v>19</v>
      </c>
      <c r="D2657" s="24"/>
      <c r="F2657" s="23">
        <f>IFERROR(__xludf.DUMMYFUNCTION("""COMPUTED_VALUE"""),44842.48736532407)</f>
        <v>44842.48737</v>
      </c>
      <c r="G2657" s="24" t="str">
        <f>IFERROR(__xludf.DUMMYFUNCTION("""COMPUTED_VALUE"""),"Claire")</f>
        <v>Claire</v>
      </c>
      <c r="H2657" s="24">
        <f>IFERROR(__xludf.DUMMYFUNCTION("""COMPUTED_VALUE"""),77.0)</f>
        <v>77</v>
      </c>
      <c r="I2657" s="24" t="str">
        <f>IFERROR(__xludf.DUMMYFUNCTION("""COMPUTED_VALUE"""),"Snacks")</f>
        <v>Snacks</v>
      </c>
    </row>
    <row r="2658">
      <c r="A2658" s="23">
        <f>IFERROR(__xludf.DUMMYFUNCTION("""COMPUTED_VALUE"""),44762.72534888889)</f>
        <v>44762.72535</v>
      </c>
      <c r="B2658" s="24" t="str">
        <f>IFERROR(__xludf.DUMMYFUNCTION("""COMPUTED_VALUE"""),"Karen expired")</f>
        <v>Karen expired</v>
      </c>
      <c r="C2658" s="24">
        <f>IFERROR(__xludf.DUMMYFUNCTION("""COMPUTED_VALUE"""),12.0)</f>
        <v>12</v>
      </c>
      <c r="D2658" s="24"/>
      <c r="F2658" s="23">
        <f>IFERROR(__xludf.DUMMYFUNCTION("""COMPUTED_VALUE"""),44842.508454317125)</f>
        <v>44842.50845</v>
      </c>
      <c r="G2658" s="24" t="str">
        <f>IFERROR(__xludf.DUMMYFUNCTION("""COMPUTED_VALUE"""),"Ryan")</f>
        <v>Ryan</v>
      </c>
      <c r="H2658" s="24">
        <f>IFERROR(__xludf.DUMMYFUNCTION("""COMPUTED_VALUE"""),27.0)</f>
        <v>27</v>
      </c>
      <c r="I2658" s="24" t="str">
        <f>IFERROR(__xludf.DUMMYFUNCTION("""COMPUTED_VALUE"""),"Powerade")</f>
        <v>Powerade</v>
      </c>
    </row>
    <row r="2659">
      <c r="A2659" s="23">
        <f>IFERROR(__xludf.DUMMYFUNCTION("""COMPUTED_VALUE"""),44762.72616252315)</f>
        <v>44762.72616</v>
      </c>
      <c r="B2659" s="24" t="str">
        <f>IFERROR(__xludf.DUMMYFUNCTION("""COMPUTED_VALUE"""),"Karen expired")</f>
        <v>Karen expired</v>
      </c>
      <c r="C2659" s="24">
        <f>IFERROR(__xludf.DUMMYFUNCTION("""COMPUTED_VALUE"""),4.0)</f>
        <v>4</v>
      </c>
      <c r="D2659" s="24"/>
      <c r="F2659" s="23">
        <f>IFERROR(__xludf.DUMMYFUNCTION("""COMPUTED_VALUE"""),44842.66991700231)</f>
        <v>44842.66992</v>
      </c>
      <c r="G2659" s="24" t="str">
        <f>IFERROR(__xludf.DUMMYFUNCTION("""COMPUTED_VALUE"""),"Claire")</f>
        <v>Claire</v>
      </c>
      <c r="H2659" s="24">
        <f>IFERROR(__xludf.DUMMYFUNCTION("""COMPUTED_VALUE"""),362.0)</f>
        <v>362</v>
      </c>
      <c r="I2659" s="24" t="str">
        <f>IFERROR(__xludf.DUMMYFUNCTION("""COMPUTED_VALUE"""),"Produce")</f>
        <v>Produce</v>
      </c>
    </row>
    <row r="2660">
      <c r="A2660" s="23">
        <f>IFERROR(__xludf.DUMMYFUNCTION("""COMPUTED_VALUE"""),44762.732527824075)</f>
        <v>44762.73253</v>
      </c>
      <c r="B2660" s="24" t="str">
        <f>IFERROR(__xludf.DUMMYFUNCTION("""COMPUTED_VALUE"""),"Lynnette c ")</f>
        <v>Lynnette c </v>
      </c>
      <c r="C2660" s="24">
        <f>IFERROR(__xludf.DUMMYFUNCTION("""COMPUTED_VALUE"""),23.0)</f>
        <v>23</v>
      </c>
      <c r="D2660" s="24"/>
      <c r="F2660" s="23">
        <f>IFERROR(__xludf.DUMMYFUNCTION("""COMPUTED_VALUE"""),44842.67035305555)</f>
        <v>44842.67035</v>
      </c>
      <c r="G2660" s="24" t="str">
        <f>IFERROR(__xludf.DUMMYFUNCTION("""COMPUTED_VALUE"""),"Claire")</f>
        <v>Claire</v>
      </c>
      <c r="H2660" s="24">
        <f>IFERROR(__xludf.DUMMYFUNCTION("""COMPUTED_VALUE"""),617.0)</f>
        <v>617</v>
      </c>
      <c r="I2660" s="24" t="str">
        <f>IFERROR(__xludf.DUMMYFUNCTION("""COMPUTED_VALUE"""),"Produce")</f>
        <v>Produce</v>
      </c>
    </row>
    <row r="2661">
      <c r="A2661" s="23">
        <f>IFERROR(__xludf.DUMMYFUNCTION("""COMPUTED_VALUE"""),44762.732784143525)</f>
        <v>44762.73278</v>
      </c>
      <c r="B2661" s="24" t="str">
        <f>IFERROR(__xludf.DUMMYFUNCTION("""COMPUTED_VALUE"""),"Lynnette expire")</f>
        <v>Lynnette expire</v>
      </c>
      <c r="C2661" s="24">
        <f>IFERROR(__xludf.DUMMYFUNCTION("""COMPUTED_VALUE"""),7.0)</f>
        <v>7</v>
      </c>
      <c r="D2661" s="24"/>
      <c r="F2661" s="23">
        <f>IFERROR(__xludf.DUMMYFUNCTION("""COMPUTED_VALUE"""),44842.67090983796)</f>
        <v>44842.67091</v>
      </c>
      <c r="G2661" s="24" t="str">
        <f>IFERROR(__xludf.DUMMYFUNCTION("""COMPUTED_VALUE"""),"Claire")</f>
        <v>Claire</v>
      </c>
      <c r="H2661" s="24">
        <f>IFERROR(__xludf.DUMMYFUNCTION("""COMPUTED_VALUE"""),527.0)</f>
        <v>527</v>
      </c>
      <c r="I2661" s="24" t="str">
        <f>IFERROR(__xludf.DUMMYFUNCTION("""COMPUTED_VALUE"""),"Produce")</f>
        <v>Produce</v>
      </c>
    </row>
    <row r="2662">
      <c r="A2662" s="23">
        <f>IFERROR(__xludf.DUMMYFUNCTION("""COMPUTED_VALUE"""),44762.73962645833)</f>
        <v>44762.73963</v>
      </c>
      <c r="B2662" s="24" t="str">
        <f>IFERROR(__xludf.DUMMYFUNCTION("""COMPUTED_VALUE"""),"Lynnette damage")</f>
        <v>Lynnette damage</v>
      </c>
      <c r="C2662" s="24">
        <f>IFERROR(__xludf.DUMMYFUNCTION("""COMPUTED_VALUE"""),5.0)</f>
        <v>5</v>
      </c>
      <c r="D2662" s="24"/>
      <c r="F2662" s="23">
        <f>IFERROR(__xludf.DUMMYFUNCTION("""COMPUTED_VALUE"""),44842.67113634259)</f>
        <v>44842.67114</v>
      </c>
      <c r="G2662" s="24" t="str">
        <f>IFERROR(__xludf.DUMMYFUNCTION("""COMPUTED_VALUE"""),"Claire")</f>
        <v>Claire</v>
      </c>
      <c r="H2662" s="24">
        <f>IFERROR(__xludf.DUMMYFUNCTION("""COMPUTED_VALUE"""),143.0)</f>
        <v>143</v>
      </c>
      <c r="I2662" s="24" t="str">
        <f>IFERROR(__xludf.DUMMYFUNCTION("""COMPUTED_VALUE"""),"Snacks")</f>
        <v>Snacks</v>
      </c>
    </row>
    <row r="2663">
      <c r="A2663" s="23">
        <f>IFERROR(__xludf.DUMMYFUNCTION("""COMPUTED_VALUE"""),44762.86779635416)</f>
        <v>44762.8678</v>
      </c>
      <c r="B2663" s="24" t="str">
        <f>IFERROR(__xludf.DUMMYFUNCTION("""COMPUTED_VALUE"""),"Rilynn")</f>
        <v>Rilynn</v>
      </c>
      <c r="C2663" s="24">
        <f>IFERROR(__xludf.DUMMYFUNCTION("""COMPUTED_VALUE"""),19.0)</f>
        <v>19</v>
      </c>
      <c r="D2663" s="24"/>
      <c r="F2663" s="23">
        <f>IFERROR(__xludf.DUMMYFUNCTION("""COMPUTED_VALUE"""),44842.67141236111)</f>
        <v>44842.67141</v>
      </c>
      <c r="G2663" s="24" t="str">
        <f>IFERROR(__xludf.DUMMYFUNCTION("""COMPUTED_VALUE"""),"Claire")</f>
        <v>Claire</v>
      </c>
      <c r="H2663" s="24">
        <f>IFERROR(__xludf.DUMMYFUNCTION("""COMPUTED_VALUE"""),119.0)</f>
        <v>119</v>
      </c>
      <c r="I2663" s="24" t="str">
        <f>IFERROR(__xludf.DUMMYFUNCTION("""COMPUTED_VALUE"""),"Personal Care")</f>
        <v>Personal Care</v>
      </c>
    </row>
    <row r="2664">
      <c r="A2664" s="23">
        <f>IFERROR(__xludf.DUMMYFUNCTION("""COMPUTED_VALUE"""),44762.0)</f>
        <v>44762</v>
      </c>
      <c r="B2664" s="24" t="str">
        <f>IFERROR(__xludf.DUMMYFUNCTION("""COMPUTED_VALUE"""),"Rilynn")</f>
        <v>Rilynn</v>
      </c>
      <c r="C2664" s="24">
        <f>IFERROR(__xludf.DUMMYFUNCTION("""COMPUTED_VALUE"""),2.0)</f>
        <v>2</v>
      </c>
      <c r="D2664" s="24"/>
      <c r="F2664" s="23">
        <f>IFERROR(__xludf.DUMMYFUNCTION("""COMPUTED_VALUE"""),44842.67164362269)</f>
        <v>44842.67164</v>
      </c>
      <c r="G2664" s="24" t="str">
        <f>IFERROR(__xludf.DUMMYFUNCTION("""COMPUTED_VALUE"""),"Claire")</f>
        <v>Claire</v>
      </c>
      <c r="H2664" s="24">
        <f>IFERROR(__xludf.DUMMYFUNCTION("""COMPUTED_VALUE"""),136.0)</f>
        <v>136</v>
      </c>
      <c r="I2664" s="24" t="str">
        <f>IFERROR(__xludf.DUMMYFUNCTION("""COMPUTED_VALUE"""),"Snacks")</f>
        <v>Snacks</v>
      </c>
    </row>
    <row r="2665">
      <c r="A2665" s="23">
        <f>IFERROR(__xludf.DUMMYFUNCTION("""COMPUTED_VALUE"""),44762.0)</f>
        <v>44762</v>
      </c>
      <c r="B2665" s="24" t="str">
        <f>IFERROR(__xludf.DUMMYFUNCTION("""COMPUTED_VALUE"""),"Tyrese")</f>
        <v>Tyrese</v>
      </c>
      <c r="C2665" s="24">
        <f>IFERROR(__xludf.DUMMYFUNCTION("""COMPUTED_VALUE"""),20.0)</f>
        <v>20</v>
      </c>
      <c r="D2665" s="24"/>
      <c r="F2665" s="23">
        <f>IFERROR(__xludf.DUMMYFUNCTION("""COMPUTED_VALUE"""),44842.671886435186)</f>
        <v>44842.67189</v>
      </c>
      <c r="G2665" s="24" t="str">
        <f>IFERROR(__xludf.DUMMYFUNCTION("""COMPUTED_VALUE"""),"Claire")</f>
        <v>Claire</v>
      </c>
      <c r="H2665" s="24">
        <f>IFERROR(__xludf.DUMMYFUNCTION("""COMPUTED_VALUE"""),34.0)</f>
        <v>34</v>
      </c>
      <c r="I2665" s="24" t="str">
        <f>IFERROR(__xludf.DUMMYFUNCTION("""COMPUTED_VALUE"""),"Snacks")</f>
        <v>Snacks</v>
      </c>
    </row>
    <row r="2666">
      <c r="A2666" s="23">
        <f>IFERROR(__xludf.DUMMYFUNCTION("""COMPUTED_VALUE"""),44762.0)</f>
        <v>44762</v>
      </c>
      <c r="B2666" s="24" t="str">
        <f>IFERROR(__xludf.DUMMYFUNCTION("""COMPUTED_VALUE"""),"Tyrese")</f>
        <v>Tyrese</v>
      </c>
      <c r="C2666" s="24">
        <f>IFERROR(__xludf.DUMMYFUNCTION("""COMPUTED_VALUE"""),12.0)</f>
        <v>12</v>
      </c>
      <c r="D2666" s="24"/>
      <c r="F2666" s="23">
        <f>IFERROR(__xludf.DUMMYFUNCTION("""COMPUTED_VALUE"""),44842.67225135417)</f>
        <v>44842.67225</v>
      </c>
      <c r="G2666" s="24" t="str">
        <f>IFERROR(__xludf.DUMMYFUNCTION("""COMPUTED_VALUE"""),"Claire")</f>
        <v>Claire</v>
      </c>
      <c r="H2666" s="24">
        <f>IFERROR(__xludf.DUMMYFUNCTION("""COMPUTED_VALUE"""),332.0)</f>
        <v>332</v>
      </c>
      <c r="I2666" s="24" t="str">
        <f>IFERROR(__xludf.DUMMYFUNCTION("""COMPUTED_VALUE"""),"Household")</f>
        <v>Household</v>
      </c>
    </row>
    <row r="2667">
      <c r="A2667" s="23">
        <f>IFERROR(__xludf.DUMMYFUNCTION("""COMPUTED_VALUE"""),44762.0)</f>
        <v>44762</v>
      </c>
      <c r="B2667" s="24" t="str">
        <f>IFERROR(__xludf.DUMMYFUNCTION("""COMPUTED_VALUE"""),"Camille")</f>
        <v>Camille</v>
      </c>
      <c r="C2667" s="24">
        <f>IFERROR(__xludf.DUMMYFUNCTION("""COMPUTED_VALUE"""),20.0)</f>
        <v>20</v>
      </c>
      <c r="D2667" s="24"/>
      <c r="F2667" s="23">
        <f>IFERROR(__xludf.DUMMYFUNCTION("""COMPUTED_VALUE"""),44842.67242740741)</f>
        <v>44842.67243</v>
      </c>
      <c r="G2667" s="24" t="str">
        <f>IFERROR(__xludf.DUMMYFUNCTION("""COMPUTED_VALUE"""),"Claire")</f>
        <v>Claire</v>
      </c>
      <c r="H2667" s="24">
        <f>IFERROR(__xludf.DUMMYFUNCTION("""COMPUTED_VALUE"""),599.0)</f>
        <v>599</v>
      </c>
      <c r="I2667" s="24" t="str">
        <f>IFERROR(__xludf.DUMMYFUNCTION("""COMPUTED_VALUE"""),"Condiments")</f>
        <v>Condiments</v>
      </c>
    </row>
    <row r="2668">
      <c r="A2668" s="23">
        <f>IFERROR(__xludf.DUMMYFUNCTION("""COMPUTED_VALUE"""),44762.0)</f>
        <v>44762</v>
      </c>
      <c r="B2668" s="24" t="str">
        <f>IFERROR(__xludf.DUMMYFUNCTION("""COMPUTED_VALUE"""),"Camille")</f>
        <v>Camille</v>
      </c>
      <c r="C2668" s="24">
        <f>IFERROR(__xludf.DUMMYFUNCTION("""COMPUTED_VALUE"""),5.0)</f>
        <v>5</v>
      </c>
      <c r="D2668" s="24"/>
      <c r="F2668" s="23">
        <f>IFERROR(__xludf.DUMMYFUNCTION("""COMPUTED_VALUE"""),44842.67260480324)</f>
        <v>44842.6726</v>
      </c>
      <c r="G2668" s="24" t="str">
        <f>IFERROR(__xludf.DUMMYFUNCTION("""COMPUTED_VALUE"""),"Claire")</f>
        <v>Claire</v>
      </c>
      <c r="H2668" s="24">
        <f>IFERROR(__xludf.DUMMYFUNCTION("""COMPUTED_VALUE"""),102.0)</f>
        <v>102</v>
      </c>
      <c r="I2668" s="24" t="str">
        <f>IFERROR(__xludf.DUMMYFUNCTION("""COMPUTED_VALUE"""),"Produce")</f>
        <v>Produce</v>
      </c>
    </row>
    <row r="2669">
      <c r="A2669" s="23">
        <f>IFERROR(__xludf.DUMMYFUNCTION("""COMPUTED_VALUE"""),44762.0)</f>
        <v>44762</v>
      </c>
      <c r="B2669" s="24" t="str">
        <f>IFERROR(__xludf.DUMMYFUNCTION("""COMPUTED_VALUE"""),"Aeryn Banh")</f>
        <v>Aeryn Banh</v>
      </c>
      <c r="C2669" s="24">
        <f>IFERROR(__xludf.DUMMYFUNCTION("""COMPUTED_VALUE"""),20.0)</f>
        <v>20</v>
      </c>
      <c r="D2669" s="24"/>
      <c r="F2669" s="23">
        <f>IFERROR(__xludf.DUMMYFUNCTION("""COMPUTED_VALUE"""),44842.672853738426)</f>
        <v>44842.67285</v>
      </c>
      <c r="G2669" s="24" t="str">
        <f>IFERROR(__xludf.DUMMYFUNCTION("""COMPUTED_VALUE"""),"Claire")</f>
        <v>Claire</v>
      </c>
      <c r="H2669" s="24">
        <f>IFERROR(__xludf.DUMMYFUNCTION("""COMPUTED_VALUE"""),227.0)</f>
        <v>227</v>
      </c>
      <c r="I2669" s="24" t="str">
        <f>IFERROR(__xludf.DUMMYFUNCTION("""COMPUTED_VALUE"""),"Meat [Raw]")</f>
        <v>Meat [Raw]</v>
      </c>
    </row>
    <row r="2670">
      <c r="A2670" s="23">
        <f>IFERROR(__xludf.DUMMYFUNCTION("""COMPUTED_VALUE"""),44762.0)</f>
        <v>44762</v>
      </c>
      <c r="B2670" s="24" t="str">
        <f>IFERROR(__xludf.DUMMYFUNCTION("""COMPUTED_VALUE"""),"Polaire Woods")</f>
        <v>Polaire Woods</v>
      </c>
      <c r="C2670" s="24">
        <f>IFERROR(__xludf.DUMMYFUNCTION("""COMPUTED_VALUE"""),20.0)</f>
        <v>20</v>
      </c>
      <c r="D2670" s="24"/>
      <c r="F2670" s="23">
        <f>IFERROR(__xludf.DUMMYFUNCTION("""COMPUTED_VALUE"""),44842.67360902778)</f>
        <v>44842.67361</v>
      </c>
      <c r="G2670" s="24" t="str">
        <f>IFERROR(__xludf.DUMMYFUNCTION("""COMPUTED_VALUE"""),"Claire")</f>
        <v>Claire</v>
      </c>
      <c r="H2670" s="24">
        <f>IFERROR(__xludf.DUMMYFUNCTION("""COMPUTED_VALUE"""),160.0)</f>
        <v>160</v>
      </c>
      <c r="I2670" s="24" t="str">
        <f>IFERROR(__xludf.DUMMYFUNCTION("""COMPUTED_VALUE"""),"Household")</f>
        <v>Household</v>
      </c>
    </row>
    <row r="2671">
      <c r="A2671" s="23">
        <f>IFERROR(__xludf.DUMMYFUNCTION("""COMPUTED_VALUE"""),44762.87338428241)</f>
        <v>44762.87338</v>
      </c>
      <c r="B2671" s="24" t="str">
        <f>IFERROR(__xludf.DUMMYFUNCTION("""COMPUTED_VALUE"""),"Amanda Wall")</f>
        <v>Amanda Wall</v>
      </c>
      <c r="C2671" s="24">
        <f>IFERROR(__xludf.DUMMYFUNCTION("""COMPUTED_VALUE"""),20.0)</f>
        <v>20</v>
      </c>
      <c r="D2671" s="24"/>
      <c r="F2671" s="23">
        <f>IFERROR(__xludf.DUMMYFUNCTION("""COMPUTED_VALUE"""),44842.67385945602)</f>
        <v>44842.67386</v>
      </c>
      <c r="G2671" s="24" t="str">
        <f>IFERROR(__xludf.DUMMYFUNCTION("""COMPUTED_VALUE"""),"Claire")</f>
        <v>Claire</v>
      </c>
      <c r="H2671" s="24">
        <f>IFERROR(__xludf.DUMMYFUNCTION("""COMPUTED_VALUE"""),324.0)</f>
        <v>324</v>
      </c>
      <c r="I2671" s="24" t="str">
        <f>IFERROR(__xludf.DUMMYFUNCTION("""COMPUTED_VALUE"""),"Condiments")</f>
        <v>Condiments</v>
      </c>
    </row>
    <row r="2672">
      <c r="A2672" s="23">
        <f>IFERROR(__xludf.DUMMYFUNCTION("""COMPUTED_VALUE"""),44762.87354061342)</f>
        <v>44762.87354</v>
      </c>
      <c r="B2672" s="24" t="str">
        <f>IFERROR(__xludf.DUMMYFUNCTION("""COMPUTED_VALUE"""),"Amanda Wall expired ")</f>
        <v>Amanda Wall expired </v>
      </c>
      <c r="C2672" s="24">
        <f>IFERROR(__xludf.DUMMYFUNCTION("""COMPUTED_VALUE"""),3.0)</f>
        <v>3</v>
      </c>
      <c r="D2672" s="24"/>
      <c r="F2672" s="23">
        <f>IFERROR(__xludf.DUMMYFUNCTION("""COMPUTED_VALUE"""),44842.67405780093)</f>
        <v>44842.67406</v>
      </c>
      <c r="G2672" s="24" t="str">
        <f>IFERROR(__xludf.DUMMYFUNCTION("""COMPUTED_VALUE"""),"Claire")</f>
        <v>Claire</v>
      </c>
      <c r="H2672" s="24">
        <f>IFERROR(__xludf.DUMMYFUNCTION("""COMPUTED_VALUE"""),433.0)</f>
        <v>433</v>
      </c>
      <c r="I2672" s="24" t="str">
        <f>IFERROR(__xludf.DUMMYFUNCTION("""COMPUTED_VALUE"""),"Cleaning Supplies")</f>
        <v>Cleaning Supplies</v>
      </c>
    </row>
    <row r="2673">
      <c r="A2673" s="23">
        <f>IFERROR(__xludf.DUMMYFUNCTION("""COMPUTED_VALUE"""),44762.875822152775)</f>
        <v>44762.87582</v>
      </c>
      <c r="B2673" s="24" t="str">
        <f>IFERROR(__xludf.DUMMYFUNCTION("""COMPUTED_VALUE"""),"Luke mayhew")</f>
        <v>Luke mayhew</v>
      </c>
      <c r="C2673" s="24">
        <f>IFERROR(__xludf.DUMMYFUNCTION("""COMPUTED_VALUE"""),20.0)</f>
        <v>20</v>
      </c>
      <c r="D2673" s="24"/>
      <c r="F2673" s="23">
        <f>IFERROR(__xludf.DUMMYFUNCTION("""COMPUTED_VALUE"""),44842.67427568287)</f>
        <v>44842.67428</v>
      </c>
      <c r="G2673" s="24" t="str">
        <f>IFERROR(__xludf.DUMMYFUNCTION("""COMPUTED_VALUE"""),"Claire")</f>
        <v>Claire</v>
      </c>
      <c r="H2673" s="24">
        <f>IFERROR(__xludf.DUMMYFUNCTION("""COMPUTED_VALUE"""),739.0)</f>
        <v>739</v>
      </c>
      <c r="I2673" s="24" t="str">
        <f>IFERROR(__xludf.DUMMYFUNCTION("""COMPUTED_VALUE"""),"Condiments")</f>
        <v>Condiments</v>
      </c>
    </row>
    <row r="2674">
      <c r="A2674" s="23">
        <f>IFERROR(__xludf.DUMMYFUNCTION("""COMPUTED_VALUE"""),44762.87599363426)</f>
        <v>44762.87599</v>
      </c>
      <c r="B2674" s="24" t="str">
        <f>IFERROR(__xludf.DUMMYFUNCTION("""COMPUTED_VALUE"""),"Luke Mayhew Expired")</f>
        <v>Luke Mayhew Expired</v>
      </c>
      <c r="C2674" s="24">
        <f>IFERROR(__xludf.DUMMYFUNCTION("""COMPUTED_VALUE"""),13.0)</f>
        <v>13</v>
      </c>
      <c r="D2674" s="24"/>
      <c r="F2674" s="23">
        <f>IFERROR(__xludf.DUMMYFUNCTION("""COMPUTED_VALUE"""),44842.676532094905)</f>
        <v>44842.67653</v>
      </c>
      <c r="G2674" s="24" t="str">
        <f>IFERROR(__xludf.DUMMYFUNCTION("""COMPUTED_VALUE"""),"Claire")</f>
        <v>Claire</v>
      </c>
      <c r="H2674" s="24">
        <f>IFERROR(__xludf.DUMMYFUNCTION("""COMPUTED_VALUE"""),22.0)</f>
        <v>22</v>
      </c>
      <c r="I2674" s="24" t="str">
        <f>IFERROR(__xludf.DUMMYFUNCTION("""COMPUTED_VALUE"""),"Meat [Raw]")</f>
        <v>Meat [Raw]</v>
      </c>
    </row>
    <row r="2675">
      <c r="A2675" s="23">
        <f>IFERROR(__xludf.DUMMYFUNCTION("""COMPUTED_VALUE"""),44763.0)</f>
        <v>44763</v>
      </c>
      <c r="B2675" s="24" t="str">
        <f>IFERROR(__xludf.DUMMYFUNCTION("""COMPUTED_VALUE"""),"Denise Brown")</f>
        <v>Denise Brown</v>
      </c>
      <c r="C2675" s="24">
        <f>IFERROR(__xludf.DUMMYFUNCTION("""COMPUTED_VALUE"""),20.0)</f>
        <v>20</v>
      </c>
      <c r="D2675" s="24"/>
      <c r="F2675" s="23">
        <f>IFERROR(__xludf.DUMMYFUNCTION("""COMPUTED_VALUE"""),44842.67680756945)</f>
        <v>44842.67681</v>
      </c>
      <c r="G2675" s="24" t="str">
        <f>IFERROR(__xludf.DUMMYFUNCTION("""COMPUTED_VALUE"""),"Claire")</f>
        <v>Claire</v>
      </c>
      <c r="H2675" s="24">
        <f>IFERROR(__xludf.DUMMYFUNCTION("""COMPUTED_VALUE"""),58.0)</f>
        <v>58</v>
      </c>
      <c r="I2675" s="24" t="str">
        <f>IFERROR(__xludf.DUMMYFUNCTION("""COMPUTED_VALUE"""),"Cleaning Supplies")</f>
        <v>Cleaning Supplies</v>
      </c>
    </row>
    <row r="2676">
      <c r="A2676" s="23">
        <f>IFERROR(__xludf.DUMMYFUNCTION("""COMPUTED_VALUE"""),44763.0)</f>
        <v>44763</v>
      </c>
      <c r="B2676" s="24" t="str">
        <f>IFERROR(__xludf.DUMMYFUNCTION("""COMPUTED_VALUE"""),"Hong Xue")</f>
        <v>Hong Xue</v>
      </c>
      <c r="C2676" s="24">
        <f>IFERROR(__xludf.DUMMYFUNCTION("""COMPUTED_VALUE"""),21.0)</f>
        <v>21</v>
      </c>
      <c r="D2676" s="24"/>
      <c r="F2676" s="23">
        <f>IFERROR(__xludf.DUMMYFUNCTION("""COMPUTED_VALUE"""),44842.67707539352)</f>
        <v>44842.67708</v>
      </c>
      <c r="G2676" s="24" t="str">
        <f>IFERROR(__xludf.DUMMYFUNCTION("""COMPUTED_VALUE"""),"Claire")</f>
        <v>Claire</v>
      </c>
      <c r="H2676" s="24">
        <f>IFERROR(__xludf.DUMMYFUNCTION("""COMPUTED_VALUE"""),-684.0)</f>
        <v>-684</v>
      </c>
      <c r="I2676" s="24" t="str">
        <f>IFERROR(__xludf.DUMMYFUNCTION("""COMPUTED_VALUE"""),"Condiments")</f>
        <v>Condiments</v>
      </c>
    </row>
    <row r="2677">
      <c r="A2677" s="23">
        <f>IFERROR(__xludf.DUMMYFUNCTION("""COMPUTED_VALUE"""),44763.0)</f>
        <v>44763</v>
      </c>
      <c r="B2677" s="24" t="str">
        <f>IFERROR(__xludf.DUMMYFUNCTION("""COMPUTED_VALUE"""),"Hong Xue")</f>
        <v>Hong Xue</v>
      </c>
      <c r="C2677" s="24">
        <f>IFERROR(__xludf.DUMMYFUNCTION("""COMPUTED_VALUE"""),28.0)</f>
        <v>28</v>
      </c>
      <c r="D2677" s="24"/>
      <c r="F2677" s="23">
        <f>IFERROR(__xludf.DUMMYFUNCTION("""COMPUTED_VALUE"""),44842.67729082176)</f>
        <v>44842.67729</v>
      </c>
      <c r="G2677" s="24" t="str">
        <f>IFERROR(__xludf.DUMMYFUNCTION("""COMPUTED_VALUE"""),"Claire")</f>
        <v>Claire</v>
      </c>
      <c r="H2677" s="24">
        <f>IFERROR(__xludf.DUMMYFUNCTION("""COMPUTED_VALUE"""),-159.0)</f>
        <v>-159</v>
      </c>
      <c r="I2677" s="24" t="str">
        <f>IFERROR(__xludf.DUMMYFUNCTION("""COMPUTED_VALUE"""),"Produce")</f>
        <v>Produce</v>
      </c>
    </row>
    <row r="2678">
      <c r="A2678" s="23">
        <f>IFERROR(__xludf.DUMMYFUNCTION("""COMPUTED_VALUE"""),44763.0)</f>
        <v>44763</v>
      </c>
      <c r="B2678" s="24" t="str">
        <f>IFERROR(__xludf.DUMMYFUNCTION("""COMPUTED_VALUE"""),"Sheneil Black")</f>
        <v>Sheneil Black</v>
      </c>
      <c r="C2678" s="24">
        <f>IFERROR(__xludf.DUMMYFUNCTION("""COMPUTED_VALUE"""),18.0)</f>
        <v>18</v>
      </c>
      <c r="D2678" s="24"/>
      <c r="F2678" s="23">
        <f>IFERROR(__xludf.DUMMYFUNCTION("""COMPUTED_VALUE"""),44842.677657245375)</f>
        <v>44842.67766</v>
      </c>
      <c r="G2678" s="24" t="str">
        <f>IFERROR(__xludf.DUMMYFUNCTION("""COMPUTED_VALUE"""),"Claire")</f>
        <v>Claire</v>
      </c>
      <c r="H2678" s="24">
        <f>IFERROR(__xludf.DUMMYFUNCTION("""COMPUTED_VALUE"""),-101.0)</f>
        <v>-101</v>
      </c>
      <c r="I2678" s="24" t="str">
        <f>IFERROR(__xludf.DUMMYFUNCTION("""COMPUTED_VALUE"""),"Snacks")</f>
        <v>Snacks</v>
      </c>
    </row>
    <row r="2679">
      <c r="A2679" s="23">
        <f>IFERROR(__xludf.DUMMYFUNCTION("""COMPUTED_VALUE"""),44763.0)</f>
        <v>44763</v>
      </c>
      <c r="B2679" s="24" t="str">
        <f>IFERROR(__xludf.DUMMYFUNCTION("""COMPUTED_VALUE"""),"Sheneil Black")</f>
        <v>Sheneil Black</v>
      </c>
      <c r="C2679" s="24">
        <f>IFERROR(__xludf.DUMMYFUNCTION("""COMPUTED_VALUE"""),11.0)</f>
        <v>11</v>
      </c>
      <c r="D2679" s="24"/>
      <c r="F2679" s="23">
        <f>IFERROR(__xludf.DUMMYFUNCTION("""COMPUTED_VALUE"""),44842.677982905094)</f>
        <v>44842.67798</v>
      </c>
      <c r="G2679" s="24" t="str">
        <f>IFERROR(__xludf.DUMMYFUNCTION("""COMPUTED_VALUE"""),"Claire")</f>
        <v>Claire</v>
      </c>
      <c r="H2679" s="24">
        <f>IFERROR(__xludf.DUMMYFUNCTION("""COMPUTED_VALUE"""),-245.0)</f>
        <v>-245</v>
      </c>
      <c r="I2679" s="24" t="str">
        <f>IFERROR(__xludf.DUMMYFUNCTION("""COMPUTED_VALUE"""),"Household")</f>
        <v>Household</v>
      </c>
    </row>
    <row r="2680">
      <c r="A2680" s="23">
        <f>IFERROR(__xludf.DUMMYFUNCTION("""COMPUTED_VALUE"""),44763.0)</f>
        <v>44763</v>
      </c>
      <c r="B2680" s="24" t="str">
        <f>IFERROR(__xludf.DUMMYFUNCTION("""COMPUTED_VALUE"""),"Nathaniel Mcclean")</f>
        <v>Nathaniel Mcclean</v>
      </c>
      <c r="C2680" s="24">
        <f>IFERROR(__xludf.DUMMYFUNCTION("""COMPUTED_VALUE"""),18.0)</f>
        <v>18</v>
      </c>
      <c r="D2680" s="24"/>
      <c r="F2680" s="23">
        <f>IFERROR(__xludf.DUMMYFUNCTION("""COMPUTED_VALUE"""),44842.67819387731)</f>
        <v>44842.67819</v>
      </c>
      <c r="G2680" s="24" t="str">
        <f>IFERROR(__xludf.DUMMYFUNCTION("""COMPUTED_VALUE"""),"Claire")</f>
        <v>Claire</v>
      </c>
      <c r="H2680" s="24">
        <f>IFERROR(__xludf.DUMMYFUNCTION("""COMPUTED_VALUE"""),-66.0)</f>
        <v>-66</v>
      </c>
      <c r="I2680" s="24" t="str">
        <f>IFERROR(__xludf.DUMMYFUNCTION("""COMPUTED_VALUE"""),"Personal Care")</f>
        <v>Personal Care</v>
      </c>
    </row>
    <row r="2681">
      <c r="A2681" s="23">
        <f>IFERROR(__xludf.DUMMYFUNCTION("""COMPUTED_VALUE"""),44763.0)</f>
        <v>44763</v>
      </c>
      <c r="B2681" s="24" t="str">
        <f>IFERROR(__xludf.DUMMYFUNCTION("""COMPUTED_VALUE"""),"Nathaniel Mcclean")</f>
        <v>Nathaniel Mcclean</v>
      </c>
      <c r="C2681" s="24">
        <f>IFERROR(__xludf.DUMMYFUNCTION("""COMPUTED_VALUE"""),8.0)</f>
        <v>8</v>
      </c>
      <c r="D2681" s="24"/>
      <c r="F2681" s="23">
        <f>IFERROR(__xludf.DUMMYFUNCTION("""COMPUTED_VALUE"""),44842.67856342592)</f>
        <v>44842.67856</v>
      </c>
      <c r="G2681" s="24" t="str">
        <f>IFERROR(__xludf.DUMMYFUNCTION("""COMPUTED_VALUE"""),"Claire")</f>
        <v>Claire</v>
      </c>
      <c r="H2681" s="24">
        <f>IFERROR(__xludf.DUMMYFUNCTION("""COMPUTED_VALUE"""),-130.0)</f>
        <v>-130</v>
      </c>
      <c r="I2681" s="24" t="str">
        <f>IFERROR(__xludf.DUMMYFUNCTION("""COMPUTED_VALUE"""),"Cleaning Supplies")</f>
        <v>Cleaning Supplies</v>
      </c>
    </row>
    <row r="2682">
      <c r="A2682" s="23">
        <f>IFERROR(__xludf.DUMMYFUNCTION("""COMPUTED_VALUE"""),44763.70115746528)</f>
        <v>44763.70116</v>
      </c>
      <c r="B2682" s="24" t="str">
        <f>IFERROR(__xludf.DUMMYFUNCTION("""COMPUTED_VALUE"""),"Deborah Davis")</f>
        <v>Deborah Davis</v>
      </c>
      <c r="C2682" s="24">
        <f>IFERROR(__xludf.DUMMYFUNCTION("""COMPUTED_VALUE"""),13.0)</f>
        <v>13</v>
      </c>
      <c r="D2682" s="24"/>
      <c r="F2682" s="23">
        <f>IFERROR(__xludf.DUMMYFUNCTION("""COMPUTED_VALUE"""),44842.67878354166)</f>
        <v>44842.67878</v>
      </c>
      <c r="G2682" s="24" t="str">
        <f>IFERROR(__xludf.DUMMYFUNCTION("""COMPUTED_VALUE"""),"Claire")</f>
        <v>Claire</v>
      </c>
      <c r="H2682" s="24">
        <f>IFERROR(__xludf.DUMMYFUNCTION("""COMPUTED_VALUE"""),-214.0)</f>
        <v>-214</v>
      </c>
      <c r="I2682" s="24" t="str">
        <f>IFERROR(__xludf.DUMMYFUNCTION("""COMPUTED_VALUE"""),"Produce")</f>
        <v>Produce</v>
      </c>
    </row>
    <row r="2683">
      <c r="A2683" s="23">
        <f>IFERROR(__xludf.DUMMYFUNCTION("""COMPUTED_VALUE"""),44763.0)</f>
        <v>44763</v>
      </c>
      <c r="B2683" s="24" t="str">
        <f>IFERROR(__xludf.DUMMYFUNCTION("""COMPUTED_VALUE"""),"Deborah Davis expired")</f>
        <v>Deborah Davis expired</v>
      </c>
      <c r="C2683" s="24">
        <f>IFERROR(__xludf.DUMMYFUNCTION("""COMPUTED_VALUE"""),1.0)</f>
        <v>1</v>
      </c>
      <c r="D2683" s="24"/>
      <c r="F2683" s="23">
        <f>IFERROR(__xludf.DUMMYFUNCTION("""COMPUTED_VALUE"""),44842.68434994212)</f>
        <v>44842.68435</v>
      </c>
      <c r="G2683" s="24" t="str">
        <f>IFERROR(__xludf.DUMMYFUNCTION("""COMPUTED_VALUE"""),"Anna West")</f>
        <v>Anna West</v>
      </c>
      <c r="H2683" s="24">
        <f>IFERROR(__xludf.DUMMYFUNCTION("""COMPUTED_VALUE"""),20.0)</f>
        <v>20</v>
      </c>
      <c r="I2683" s="24" t="str">
        <f>IFERROR(__xludf.DUMMYFUNCTION("""COMPUTED_VALUE"""),"Regular (up to 20lbs)")</f>
        <v>Regular (up to 20lbs)</v>
      </c>
    </row>
    <row r="2684">
      <c r="A2684" s="23">
        <f>IFERROR(__xludf.DUMMYFUNCTION("""COMPUTED_VALUE"""),44763.705751423615)</f>
        <v>44763.70575</v>
      </c>
      <c r="B2684" s="24" t="str">
        <f>IFERROR(__xludf.DUMMYFUNCTION("""COMPUTED_VALUE"""),"Jean extra")</f>
        <v>Jean extra</v>
      </c>
      <c r="C2684" s="24">
        <f>IFERROR(__xludf.DUMMYFUNCTION("""COMPUTED_VALUE"""),6.0)</f>
        <v>6</v>
      </c>
      <c r="D2684" s="24"/>
      <c r="F2684" s="23">
        <f>IFERROR(__xludf.DUMMYFUNCTION("""COMPUTED_VALUE"""),44842.68493974537)</f>
        <v>44842.68494</v>
      </c>
      <c r="G2684" s="24" t="str">
        <f>IFERROR(__xludf.DUMMYFUNCTION("""COMPUTED_VALUE"""),"Emily Stucke")</f>
        <v>Emily Stucke</v>
      </c>
      <c r="H2684" s="24">
        <f>IFERROR(__xludf.DUMMYFUNCTION("""COMPUTED_VALUE"""),7.0)</f>
        <v>7</v>
      </c>
      <c r="I2684" s="24" t="str">
        <f>IFERROR(__xludf.DUMMYFUNCTION("""COMPUTED_VALUE"""),"Regular (up to 20lbs)")</f>
        <v>Regular (up to 20lbs)</v>
      </c>
    </row>
    <row r="2685">
      <c r="A2685" s="23">
        <f>IFERROR(__xludf.DUMMYFUNCTION("""COMPUTED_VALUE"""),44763.70595502316)</f>
        <v>44763.70596</v>
      </c>
      <c r="B2685" s="24" t="str">
        <f>IFERROR(__xludf.DUMMYFUNCTION("""COMPUTED_VALUE"""),"Jean")</f>
        <v>Jean</v>
      </c>
      <c r="C2685" s="24">
        <f>IFERROR(__xludf.DUMMYFUNCTION("""COMPUTED_VALUE"""),11.0)</f>
        <v>11</v>
      </c>
      <c r="D2685" s="24"/>
      <c r="F2685" s="23">
        <f>IFERROR(__xludf.DUMMYFUNCTION("""COMPUTED_VALUE"""),44842.688896273154)</f>
        <v>44842.6889</v>
      </c>
      <c r="G2685" s="24" t="str">
        <f>IFERROR(__xludf.DUMMYFUNCTION("""COMPUTED_VALUE"""),"Angeles Cortes")</f>
        <v>Angeles Cortes</v>
      </c>
      <c r="H2685" s="24">
        <f>IFERROR(__xludf.DUMMYFUNCTION("""COMPUTED_VALUE"""),19.0)</f>
        <v>19</v>
      </c>
      <c r="I2685" s="24" t="str">
        <f>IFERROR(__xludf.DUMMYFUNCTION("""COMPUTED_VALUE"""),"Regular (up to 20lbs)")</f>
        <v>Regular (up to 20lbs)</v>
      </c>
    </row>
    <row r="2686">
      <c r="A2686" s="23">
        <f>IFERROR(__xludf.DUMMYFUNCTION("""COMPUTED_VALUE"""),44763.0)</f>
        <v>44763</v>
      </c>
      <c r="B2686" s="24" t="str">
        <f>IFERROR(__xludf.DUMMYFUNCTION("""COMPUTED_VALUE"""),"Norma &amp; friend")</f>
        <v>Norma &amp; friend</v>
      </c>
      <c r="C2686" s="24">
        <f>IFERROR(__xludf.DUMMYFUNCTION("""COMPUTED_VALUE"""),46.0)</f>
        <v>46</v>
      </c>
      <c r="D2686" s="24"/>
      <c r="F2686" s="23">
        <f>IFERROR(__xludf.DUMMYFUNCTION("""COMPUTED_VALUE"""),44842.69217465277)</f>
        <v>44842.69217</v>
      </c>
      <c r="G2686" s="24" t="str">
        <f>IFERROR(__xludf.DUMMYFUNCTION("""COMPUTED_VALUE"""),"nathan ")</f>
        <v>nathan </v>
      </c>
      <c r="H2686" s="24">
        <f>IFERROR(__xludf.DUMMYFUNCTION("""COMPUTED_VALUE"""),16.0)</f>
        <v>16</v>
      </c>
      <c r="I2686" s="24" t="str">
        <f>IFERROR(__xludf.DUMMYFUNCTION("""COMPUTED_VALUE"""),"Regular (up to 20lbs)")</f>
        <v>Regular (up to 20lbs)</v>
      </c>
    </row>
    <row r="2687">
      <c r="A2687" s="23">
        <f>IFERROR(__xludf.DUMMYFUNCTION("""COMPUTED_VALUE"""),44763.71912951389)</f>
        <v>44763.71913</v>
      </c>
      <c r="B2687" s="24" t="str">
        <f>IFERROR(__xludf.DUMMYFUNCTION("""COMPUTED_VALUE"""),"Norma &amp; friend")</f>
        <v>Norma &amp; friend</v>
      </c>
      <c r="C2687" s="24">
        <f>IFERROR(__xludf.DUMMYFUNCTION("""COMPUTED_VALUE"""),17.0)</f>
        <v>17</v>
      </c>
      <c r="D2687" s="24"/>
      <c r="F2687" s="23">
        <f>IFERROR(__xludf.DUMMYFUNCTION("""COMPUTED_VALUE"""),44842.693841423614)</f>
        <v>44842.69384</v>
      </c>
      <c r="G2687" s="24" t="str">
        <f>IFERROR(__xludf.DUMMYFUNCTION("""COMPUTED_VALUE"""),"Evelyn jiang")</f>
        <v>Evelyn jiang</v>
      </c>
      <c r="H2687" s="24">
        <f>IFERROR(__xludf.DUMMYFUNCTION("""COMPUTED_VALUE"""),17.0)</f>
        <v>17</v>
      </c>
      <c r="I2687" s="24" t="str">
        <f>IFERROR(__xludf.DUMMYFUNCTION("""COMPUTED_VALUE"""),"Regular (up to 20lbs)")</f>
        <v>Regular (up to 20lbs)</v>
      </c>
    </row>
    <row r="2688">
      <c r="A2688" s="23">
        <f>IFERROR(__xludf.DUMMYFUNCTION("""COMPUTED_VALUE"""),44764.70219747685)</f>
        <v>44764.7022</v>
      </c>
      <c r="B2688" s="24" t="str">
        <f>IFERROR(__xludf.DUMMYFUNCTION("""COMPUTED_VALUE"""),"Lynnette c")</f>
        <v>Lynnette c</v>
      </c>
      <c r="C2688" s="24">
        <f>IFERROR(__xludf.DUMMYFUNCTION("""COMPUTED_VALUE"""),19.0)</f>
        <v>19</v>
      </c>
      <c r="D2688" s="24"/>
      <c r="F2688" s="23">
        <f>IFERROR(__xludf.DUMMYFUNCTION("""COMPUTED_VALUE"""),44842.69414251157)</f>
        <v>44842.69414</v>
      </c>
      <c r="G2688" s="24" t="str">
        <f>IFERROR(__xludf.DUMMYFUNCTION("""COMPUTED_VALUE"""),"Sara B. ")</f>
        <v>Sara B. </v>
      </c>
      <c r="H2688" s="24">
        <f>IFERROR(__xludf.DUMMYFUNCTION("""COMPUTED_VALUE"""),20.0)</f>
        <v>20</v>
      </c>
      <c r="I2688" s="24" t="str">
        <f>IFERROR(__xludf.DUMMYFUNCTION("""COMPUTED_VALUE"""),"Regular (up to 20lbs)")</f>
        <v>Regular (up to 20lbs)</v>
      </c>
    </row>
    <row r="2689">
      <c r="A2689" s="23">
        <f>IFERROR(__xludf.DUMMYFUNCTION("""COMPUTED_VALUE"""),44764.70374396991)</f>
        <v>44764.70374</v>
      </c>
      <c r="B2689" s="24" t="str">
        <f>IFERROR(__xludf.DUMMYFUNCTION("""COMPUTED_VALUE"""),"Sunita Pathik")</f>
        <v>Sunita Pathik</v>
      </c>
      <c r="C2689" s="24">
        <f>IFERROR(__xludf.DUMMYFUNCTION("""COMPUTED_VALUE"""),6.0)</f>
        <v>6</v>
      </c>
      <c r="D2689" s="24"/>
      <c r="F2689" s="23">
        <f>IFERROR(__xludf.DUMMYFUNCTION("""COMPUTED_VALUE"""),44842.69679135417)</f>
        <v>44842.69679</v>
      </c>
      <c r="G2689" s="24" t="str">
        <f>IFERROR(__xludf.DUMMYFUNCTION("""COMPUTED_VALUE"""),"Dean Chien")</f>
        <v>Dean Chien</v>
      </c>
      <c r="H2689" s="24">
        <f>IFERROR(__xludf.DUMMYFUNCTION("""COMPUTED_VALUE"""),17.0)</f>
        <v>17</v>
      </c>
      <c r="I2689" s="24" t="str">
        <f>IFERROR(__xludf.DUMMYFUNCTION("""COMPUTED_VALUE"""),"Regular (up to 20lbs)")</f>
        <v>Regular (up to 20lbs)</v>
      </c>
    </row>
    <row r="2690">
      <c r="A2690" s="23">
        <f>IFERROR(__xludf.DUMMYFUNCTION("""COMPUTED_VALUE"""),44764.70405829861)</f>
        <v>44764.70406</v>
      </c>
      <c r="B2690" s="24" t="str">
        <f>IFERROR(__xludf.DUMMYFUNCTION("""COMPUTED_VALUE"""),"Elliot Keeley")</f>
        <v>Elliot Keeley</v>
      </c>
      <c r="C2690" s="24">
        <f>IFERROR(__xludf.DUMMYFUNCTION("""COMPUTED_VALUE"""),20.0)</f>
        <v>20</v>
      </c>
      <c r="D2690" s="24"/>
      <c r="F2690" s="23">
        <f>IFERROR(__xludf.DUMMYFUNCTION("""COMPUTED_VALUE"""),44842.6974028125)</f>
        <v>44842.6974</v>
      </c>
      <c r="G2690" s="24" t="str">
        <f>IFERROR(__xludf.DUMMYFUNCTION("""COMPUTED_VALUE"""),"Beverly Pinn")</f>
        <v>Beverly Pinn</v>
      </c>
      <c r="H2690" s="24">
        <f>IFERROR(__xludf.DUMMYFUNCTION("""COMPUTED_VALUE"""),16.0)</f>
        <v>16</v>
      </c>
      <c r="I2690" s="24" t="str">
        <f>IFERROR(__xludf.DUMMYFUNCTION("""COMPUTED_VALUE"""),"Regular (up to 20lbs)")</f>
        <v>Regular (up to 20lbs)</v>
      </c>
    </row>
    <row r="2691">
      <c r="A2691" s="23">
        <f>IFERROR(__xludf.DUMMYFUNCTION("""COMPUTED_VALUE"""),44764.70418173611)</f>
        <v>44764.70418</v>
      </c>
      <c r="B2691" s="24" t="str">
        <f>IFERROR(__xludf.DUMMYFUNCTION("""COMPUTED_VALUE"""),"Elliot Keeley")</f>
        <v>Elliot Keeley</v>
      </c>
      <c r="C2691" s="24">
        <f>IFERROR(__xludf.DUMMYFUNCTION("""COMPUTED_VALUE"""),16.0)</f>
        <v>16</v>
      </c>
      <c r="D2691" s="24"/>
      <c r="F2691" s="23">
        <f>IFERROR(__xludf.DUMMYFUNCTION("""COMPUTED_VALUE"""),44842.69755660879)</f>
        <v>44842.69756</v>
      </c>
      <c r="G2691" s="24" t="str">
        <f>IFERROR(__xludf.DUMMYFUNCTION("""COMPUTED_VALUE"""),"Beverly Pinn")</f>
        <v>Beverly Pinn</v>
      </c>
      <c r="H2691" s="24">
        <f>IFERROR(__xludf.DUMMYFUNCTION("""COMPUTED_VALUE"""),45.0)</f>
        <v>45</v>
      </c>
      <c r="I2691" s="24" t="str">
        <f>IFERROR(__xludf.DUMMYFUNCTION("""COMPUTED_VALUE"""),"Damage/expired/extra")</f>
        <v>Damage/expired/extra</v>
      </c>
    </row>
    <row r="2692">
      <c r="A2692" s="23">
        <f>IFERROR(__xludf.DUMMYFUNCTION("""COMPUTED_VALUE"""),44764.70722457176)</f>
        <v>44764.70722</v>
      </c>
      <c r="B2692" s="24" t="str">
        <f>IFERROR(__xludf.DUMMYFUNCTION("""COMPUTED_VALUE"""),"Juanita Chandler ")</f>
        <v>Juanita Chandler </v>
      </c>
      <c r="C2692" s="24">
        <f>IFERROR(__xludf.DUMMYFUNCTION("""COMPUTED_VALUE"""),10.0)</f>
        <v>10</v>
      </c>
      <c r="D2692" s="24"/>
      <c r="F2692" s="23">
        <f>IFERROR(__xludf.DUMMYFUNCTION("""COMPUTED_VALUE"""),44843.0)</f>
        <v>44843</v>
      </c>
      <c r="G2692" s="24" t="str">
        <f>IFERROR(__xludf.DUMMYFUNCTION("""COMPUTED_VALUE"""),"Claire")</f>
        <v>Claire</v>
      </c>
      <c r="H2692" s="24">
        <f>IFERROR(__xludf.DUMMYFUNCTION("""COMPUTED_VALUE"""),521.0)</f>
        <v>521</v>
      </c>
      <c r="I2692" s="24" t="str">
        <f>IFERROR(__xludf.DUMMYFUNCTION("""COMPUTED_VALUE"""),"Amazon")</f>
        <v>Amazon</v>
      </c>
    </row>
    <row r="2693">
      <c r="A2693" s="23">
        <f>IFERROR(__xludf.DUMMYFUNCTION("""COMPUTED_VALUE"""),44764.71822608796)</f>
        <v>44764.71823</v>
      </c>
      <c r="B2693" s="24" t="str">
        <f>IFERROR(__xludf.DUMMYFUNCTION("""COMPUTED_VALUE"""),"Dorja ")</f>
        <v>Dorja </v>
      </c>
      <c r="C2693" s="24">
        <f>IFERROR(__xludf.DUMMYFUNCTION("""COMPUTED_VALUE"""),26.0)</f>
        <v>26</v>
      </c>
      <c r="D2693" s="24"/>
      <c r="F2693" s="23">
        <f>IFERROR(__xludf.DUMMYFUNCTION("""COMPUTED_VALUE"""),44843.5306758912)</f>
        <v>44843.53068</v>
      </c>
      <c r="G2693" s="24" t="str">
        <f>IFERROR(__xludf.DUMMYFUNCTION("""COMPUTED_VALUE"""),"Dorja ")</f>
        <v>Dorja </v>
      </c>
      <c r="H2693" s="24">
        <f>IFERROR(__xludf.DUMMYFUNCTION("""COMPUTED_VALUE"""),230.0)</f>
        <v>230</v>
      </c>
      <c r="I2693" s="24" t="str">
        <f>IFERROR(__xludf.DUMMYFUNCTION("""COMPUTED_VALUE"""),"Produce")</f>
        <v>Produce</v>
      </c>
    </row>
    <row r="2694">
      <c r="A2694" s="23">
        <f>IFERROR(__xludf.DUMMYFUNCTION("""COMPUTED_VALUE"""),44764.72021450231)</f>
        <v>44764.72021</v>
      </c>
      <c r="B2694" s="24" t="str">
        <f>IFERROR(__xludf.DUMMYFUNCTION("""COMPUTED_VALUE"""),"Dorja ")</f>
        <v>Dorja </v>
      </c>
      <c r="C2694" s="24">
        <f>IFERROR(__xludf.DUMMYFUNCTION("""COMPUTED_VALUE"""),24.0)</f>
        <v>24</v>
      </c>
      <c r="D2694" s="24"/>
      <c r="F2694" s="23">
        <f>IFERROR(__xludf.DUMMYFUNCTION("""COMPUTED_VALUE"""),44843.54696092592)</f>
        <v>44843.54696</v>
      </c>
      <c r="G2694" s="24" t="str">
        <f>IFERROR(__xludf.DUMMYFUNCTION("""COMPUTED_VALUE"""),"Dorja")</f>
        <v>Dorja</v>
      </c>
      <c r="H2694" s="24">
        <f>IFERROR(__xludf.DUMMYFUNCTION("""COMPUTED_VALUE"""),724.0)</f>
        <v>724</v>
      </c>
      <c r="I2694" s="24" t="str">
        <f>IFERROR(__xludf.DUMMYFUNCTION("""COMPUTED_VALUE"""),"Amazon")</f>
        <v>Amazon</v>
      </c>
    </row>
    <row r="2695">
      <c r="A2695" s="23">
        <f>IFERROR(__xludf.DUMMYFUNCTION("""COMPUTED_VALUE"""),44765.0)</f>
        <v>44765</v>
      </c>
      <c r="B2695" s="24" t="str">
        <f>IFERROR(__xludf.DUMMYFUNCTION("""COMPUTED_VALUE"""),"Janet Lomax")</f>
        <v>Janet Lomax</v>
      </c>
      <c r="C2695" s="24">
        <f>IFERROR(__xludf.DUMMYFUNCTION("""COMPUTED_VALUE"""),20.0)</f>
        <v>20</v>
      </c>
      <c r="D2695" s="24"/>
      <c r="F2695" s="23">
        <f>IFERROR(__xludf.DUMMYFUNCTION("""COMPUTED_VALUE"""),44843.54800780093)</f>
        <v>44843.54801</v>
      </c>
      <c r="G2695" s="24" t="str">
        <f>IFERROR(__xludf.DUMMYFUNCTION("""COMPUTED_VALUE"""),"Dorja ")</f>
        <v>Dorja </v>
      </c>
      <c r="H2695" s="24">
        <f>IFERROR(__xludf.DUMMYFUNCTION("""COMPUTED_VALUE"""),644.0)</f>
        <v>644</v>
      </c>
      <c r="I2695" s="24" t="str">
        <f>IFERROR(__xludf.DUMMYFUNCTION("""COMPUTED_VALUE"""),"Amazon")</f>
        <v>Amazon</v>
      </c>
    </row>
    <row r="2696">
      <c r="A2696" s="23">
        <f>IFERROR(__xludf.DUMMYFUNCTION("""COMPUTED_VALUE"""),44765.0)</f>
        <v>44765</v>
      </c>
      <c r="B2696" s="24" t="str">
        <f>IFERROR(__xludf.DUMMYFUNCTION("""COMPUTED_VALUE"""),"Angeles")</f>
        <v>Angeles</v>
      </c>
      <c r="C2696" s="24">
        <f>IFERROR(__xludf.DUMMYFUNCTION("""COMPUTED_VALUE"""),21.0)</f>
        <v>21</v>
      </c>
      <c r="D2696" s="24"/>
      <c r="F2696" s="23">
        <f>IFERROR(__xludf.DUMMYFUNCTION("""COMPUTED_VALUE"""),44843.55041752315)</f>
        <v>44843.55042</v>
      </c>
      <c r="G2696" s="24" t="str">
        <f>IFERROR(__xludf.DUMMYFUNCTION("""COMPUTED_VALUE"""),"Dorja")</f>
        <v>Dorja</v>
      </c>
      <c r="H2696" s="24">
        <f>IFERROR(__xludf.DUMMYFUNCTION("""COMPUTED_VALUE"""),815.0)</f>
        <v>815</v>
      </c>
      <c r="I2696" s="24" t="str">
        <f>IFERROR(__xludf.DUMMYFUNCTION("""COMPUTED_VALUE"""),"Amazon")</f>
        <v>Amazon</v>
      </c>
    </row>
    <row r="2697">
      <c r="A2697" s="23">
        <f>IFERROR(__xludf.DUMMYFUNCTION("""COMPUTED_VALUE"""),44765.0)</f>
        <v>44765</v>
      </c>
      <c r="B2697" s="24" t="str">
        <f>IFERROR(__xludf.DUMMYFUNCTION("""COMPUTED_VALUE"""),"Gabriela  cortes ")</f>
        <v>Gabriela  cortes </v>
      </c>
      <c r="C2697" s="24">
        <f>IFERROR(__xludf.DUMMYFUNCTION("""COMPUTED_VALUE"""),17.0)</f>
        <v>17</v>
      </c>
      <c r="D2697" s="24"/>
      <c r="F2697" s="23">
        <f>IFERROR(__xludf.DUMMYFUNCTION("""COMPUTED_VALUE"""),44843.566113483794)</f>
        <v>44843.56611</v>
      </c>
      <c r="G2697" s="24" t="str">
        <f>IFERROR(__xludf.DUMMYFUNCTION("""COMPUTED_VALUE"""),"Dorja")</f>
        <v>Dorja</v>
      </c>
      <c r="H2697" s="24">
        <f>IFERROR(__xludf.DUMMYFUNCTION("""COMPUTED_VALUE"""),665.0)</f>
        <v>665</v>
      </c>
      <c r="I2697" s="24" t="str">
        <f>IFERROR(__xludf.DUMMYFUNCTION("""COMPUTED_VALUE"""),"Amazon")</f>
        <v>Amazon</v>
      </c>
    </row>
    <row r="2698">
      <c r="A2698" s="23">
        <f>IFERROR(__xludf.DUMMYFUNCTION("""COMPUTED_VALUE"""),44765.0)</f>
        <v>44765</v>
      </c>
      <c r="B2698" s="24" t="str">
        <f>IFERROR(__xludf.DUMMYFUNCTION("""COMPUTED_VALUE"""),"Lee Little")</f>
        <v>Lee Little</v>
      </c>
      <c r="C2698" s="24">
        <f>IFERROR(__xludf.DUMMYFUNCTION("""COMPUTED_VALUE"""),18.0)</f>
        <v>18</v>
      </c>
      <c r="D2698" s="24"/>
      <c r="F2698" s="23">
        <f>IFERROR(__xludf.DUMMYFUNCTION("""COMPUTED_VALUE"""),44843.61890574074)</f>
        <v>44843.61891</v>
      </c>
      <c r="G2698" s="24" t="str">
        <f>IFERROR(__xludf.DUMMYFUNCTION("""COMPUTED_VALUE"""),"Claire")</f>
        <v>Claire</v>
      </c>
      <c r="H2698" s="24">
        <f>IFERROR(__xludf.DUMMYFUNCTION("""COMPUTED_VALUE"""),565.0)</f>
        <v>565</v>
      </c>
      <c r="I2698" s="24" t="str">
        <f>IFERROR(__xludf.DUMMYFUNCTION("""COMPUTED_VALUE"""),"Produce")</f>
        <v>Produce</v>
      </c>
    </row>
    <row r="2699">
      <c r="A2699" s="23">
        <f>IFERROR(__xludf.DUMMYFUNCTION("""COMPUTED_VALUE"""),44765.729140451396)</f>
        <v>44765.72914</v>
      </c>
      <c r="B2699" s="24" t="str">
        <f>IFERROR(__xludf.DUMMYFUNCTION("""COMPUTED_VALUE"""),"Cybil Bailey")</f>
        <v>Cybil Bailey</v>
      </c>
      <c r="C2699" s="24">
        <f>IFERROR(__xludf.DUMMYFUNCTION("""COMPUTED_VALUE"""),20.0)</f>
        <v>20</v>
      </c>
      <c r="D2699" s="24"/>
      <c r="F2699" s="23">
        <f>IFERROR(__xludf.DUMMYFUNCTION("""COMPUTED_VALUE"""),44843.61919547453)</f>
        <v>44843.6192</v>
      </c>
      <c r="G2699" s="24" t="str">
        <f>IFERROR(__xludf.DUMMYFUNCTION("""COMPUTED_VALUE"""),"Claire")</f>
        <v>Claire</v>
      </c>
      <c r="H2699" s="24">
        <f>IFERROR(__xludf.DUMMYFUNCTION("""COMPUTED_VALUE"""),144.0)</f>
        <v>144</v>
      </c>
      <c r="I2699" s="24" t="str">
        <f>IFERROR(__xludf.DUMMYFUNCTION("""COMPUTED_VALUE"""),"Snacks")</f>
        <v>Snacks</v>
      </c>
    </row>
    <row r="2700">
      <c r="A2700" s="23">
        <f>IFERROR(__xludf.DUMMYFUNCTION("""COMPUTED_VALUE"""),44765.0)</f>
        <v>44765</v>
      </c>
      <c r="B2700" s="24" t="str">
        <f>IFERROR(__xludf.DUMMYFUNCTION("""COMPUTED_VALUE"""),"Cybil Bailey")</f>
        <v>Cybil Bailey</v>
      </c>
      <c r="C2700" s="24">
        <f>IFERROR(__xludf.DUMMYFUNCTION("""COMPUTED_VALUE"""),2.0)</f>
        <v>2</v>
      </c>
      <c r="D2700" s="24"/>
      <c r="F2700" s="23">
        <f>IFERROR(__xludf.DUMMYFUNCTION("""COMPUTED_VALUE"""),44843.61953722223)</f>
        <v>44843.61954</v>
      </c>
      <c r="G2700" s="24" t="str">
        <f>IFERROR(__xludf.DUMMYFUNCTION("""COMPUTED_VALUE"""),"Claire")</f>
        <v>Claire</v>
      </c>
      <c r="H2700" s="24">
        <f>IFERROR(__xludf.DUMMYFUNCTION("""COMPUTED_VALUE"""),210.0)</f>
        <v>210</v>
      </c>
      <c r="I2700" s="24" t="str">
        <f>IFERROR(__xludf.DUMMYFUNCTION("""COMPUTED_VALUE"""),"Produce")</f>
        <v>Produce</v>
      </c>
    </row>
    <row r="2701">
      <c r="A2701" s="23">
        <f>IFERROR(__xludf.DUMMYFUNCTION("""COMPUTED_VALUE"""),44765.73116909722)</f>
        <v>44765.73117</v>
      </c>
      <c r="B2701" s="24" t="str">
        <f>IFERROR(__xludf.DUMMYFUNCTION("""COMPUTED_VALUE"""),"Beverly Pinn")</f>
        <v>Beverly Pinn</v>
      </c>
      <c r="C2701" s="24">
        <f>IFERROR(__xludf.DUMMYFUNCTION("""COMPUTED_VALUE"""),17.0)</f>
        <v>17</v>
      </c>
      <c r="D2701" s="24"/>
      <c r="F2701" s="23">
        <f>IFERROR(__xludf.DUMMYFUNCTION("""COMPUTED_VALUE"""),44843.61989607639)</f>
        <v>44843.6199</v>
      </c>
      <c r="G2701" s="24" t="str">
        <f>IFERROR(__xludf.DUMMYFUNCTION("""COMPUTED_VALUE"""),"Claire")</f>
        <v>Claire</v>
      </c>
      <c r="H2701" s="24">
        <f>IFERROR(__xludf.DUMMYFUNCTION("""COMPUTED_VALUE"""),237.0)</f>
        <v>237</v>
      </c>
      <c r="I2701" s="24" t="str">
        <f>IFERROR(__xludf.DUMMYFUNCTION("""COMPUTED_VALUE"""),"Produce")</f>
        <v>Produce</v>
      </c>
    </row>
    <row r="2702">
      <c r="A2702" s="23">
        <f>IFERROR(__xludf.DUMMYFUNCTION("""COMPUTED_VALUE"""),44765.73140369212)</f>
        <v>44765.7314</v>
      </c>
      <c r="B2702" s="24" t="str">
        <f>IFERROR(__xludf.DUMMYFUNCTION("""COMPUTED_VALUE"""),"Beverly Pinn")</f>
        <v>Beverly Pinn</v>
      </c>
      <c r="C2702" s="24">
        <f>IFERROR(__xludf.DUMMYFUNCTION("""COMPUTED_VALUE"""),5.0)</f>
        <v>5</v>
      </c>
      <c r="D2702" s="24"/>
      <c r="F2702" s="23">
        <f>IFERROR(__xludf.DUMMYFUNCTION("""COMPUTED_VALUE"""),44843.620179722224)</f>
        <v>44843.62018</v>
      </c>
      <c r="G2702" s="24" t="str">
        <f>IFERROR(__xludf.DUMMYFUNCTION("""COMPUTED_VALUE"""),"Claire")</f>
        <v>Claire</v>
      </c>
      <c r="H2702" s="24">
        <f>IFERROR(__xludf.DUMMYFUNCTION("""COMPUTED_VALUE"""),153.0)</f>
        <v>153</v>
      </c>
      <c r="I2702" s="24" t="str">
        <f>IFERROR(__xludf.DUMMYFUNCTION("""COMPUTED_VALUE"""),"Assorted Dry")</f>
        <v>Assorted Dry</v>
      </c>
    </row>
    <row r="2703">
      <c r="A2703" s="23">
        <f>IFERROR(__xludf.DUMMYFUNCTION("""COMPUTED_VALUE"""),44765.73665284722)</f>
        <v>44765.73665</v>
      </c>
      <c r="B2703" s="24" t="str">
        <f>IFERROR(__xludf.DUMMYFUNCTION("""COMPUTED_VALUE"""),"Emily")</f>
        <v>Emily</v>
      </c>
      <c r="C2703" s="24">
        <f>IFERROR(__xludf.DUMMYFUNCTION("""COMPUTED_VALUE"""),14.0)</f>
        <v>14</v>
      </c>
      <c r="D2703" s="24"/>
      <c r="F2703" s="23">
        <f>IFERROR(__xludf.DUMMYFUNCTION("""COMPUTED_VALUE"""),44843.620757303244)</f>
        <v>44843.62076</v>
      </c>
      <c r="G2703" s="24" t="str">
        <f>IFERROR(__xludf.DUMMYFUNCTION("""COMPUTED_VALUE"""),"Claire")</f>
        <v>Claire</v>
      </c>
      <c r="H2703" s="24">
        <f>IFERROR(__xludf.DUMMYFUNCTION("""COMPUTED_VALUE"""),241.0)</f>
        <v>241</v>
      </c>
      <c r="I2703" s="24" t="str">
        <f>IFERROR(__xludf.DUMMYFUNCTION("""COMPUTED_VALUE"""),"Assorted Dry")</f>
        <v>Assorted Dry</v>
      </c>
    </row>
    <row r="2704">
      <c r="A2704" s="23">
        <f>IFERROR(__xludf.DUMMYFUNCTION("""COMPUTED_VALUE"""),44765.75448112268)</f>
        <v>44765.75448</v>
      </c>
      <c r="B2704" s="24" t="str">
        <f>IFERROR(__xludf.DUMMYFUNCTION("""COMPUTED_VALUE"""),"Lynnette")</f>
        <v>Lynnette</v>
      </c>
      <c r="C2704" s="24">
        <f>IFERROR(__xludf.DUMMYFUNCTION("""COMPUTED_VALUE"""),4.0)</f>
        <v>4</v>
      </c>
      <c r="D2704" s="24"/>
      <c r="F2704" s="23">
        <f>IFERROR(__xludf.DUMMYFUNCTION("""COMPUTED_VALUE"""),44843.62117921296)</f>
        <v>44843.62118</v>
      </c>
      <c r="G2704" s="24" t="str">
        <f>IFERROR(__xludf.DUMMYFUNCTION("""COMPUTED_VALUE"""),"Claire")</f>
        <v>Claire</v>
      </c>
      <c r="H2704" s="24">
        <f>IFERROR(__xludf.DUMMYFUNCTION("""COMPUTED_VALUE"""),412.0)</f>
        <v>412</v>
      </c>
      <c r="I2704" s="24" t="str">
        <f>IFERROR(__xludf.DUMMYFUNCTION("""COMPUTED_VALUE"""),"Assorted Fridge")</f>
        <v>Assorted Fridge</v>
      </c>
    </row>
    <row r="2705">
      <c r="A2705" s="23">
        <f>IFERROR(__xludf.DUMMYFUNCTION("""COMPUTED_VALUE"""),44766.0)</f>
        <v>44766</v>
      </c>
      <c r="B2705" s="24" t="str">
        <f>IFERROR(__xludf.DUMMYFUNCTION("""COMPUTED_VALUE"""),"Travis James")</f>
        <v>Travis James</v>
      </c>
      <c r="C2705" s="24">
        <f>IFERROR(__xludf.DUMMYFUNCTION("""COMPUTED_VALUE"""),20.0)</f>
        <v>20</v>
      </c>
      <c r="D2705" s="24"/>
      <c r="F2705" s="23">
        <f>IFERROR(__xludf.DUMMYFUNCTION("""COMPUTED_VALUE"""),44843.62140392361)</f>
        <v>44843.6214</v>
      </c>
      <c r="G2705" s="24" t="str">
        <f>IFERROR(__xludf.DUMMYFUNCTION("""COMPUTED_VALUE"""),"Claire")</f>
        <v>Claire</v>
      </c>
      <c r="H2705" s="24">
        <f>IFERROR(__xludf.DUMMYFUNCTION("""COMPUTED_VALUE"""),222.0)</f>
        <v>222</v>
      </c>
      <c r="I2705" s="24" t="str">
        <f>IFERROR(__xludf.DUMMYFUNCTION("""COMPUTED_VALUE"""),"Produce")</f>
        <v>Produce</v>
      </c>
    </row>
    <row r="2706">
      <c r="A2706" s="23">
        <f>IFERROR(__xludf.DUMMYFUNCTION("""COMPUTED_VALUE"""),44766.0)</f>
        <v>44766</v>
      </c>
      <c r="B2706" s="24" t="str">
        <f>IFERROR(__xludf.DUMMYFUNCTION("""COMPUTED_VALUE"""),"Travis James")</f>
        <v>Travis James</v>
      </c>
      <c r="C2706" s="24">
        <f>IFERROR(__xludf.DUMMYFUNCTION("""COMPUTED_VALUE"""),2.0)</f>
        <v>2</v>
      </c>
      <c r="D2706" s="24"/>
      <c r="F2706" s="23">
        <f>IFERROR(__xludf.DUMMYFUNCTION("""COMPUTED_VALUE"""),44843.668315289346)</f>
        <v>44843.66832</v>
      </c>
      <c r="G2706" s="24" t="str">
        <f>IFERROR(__xludf.DUMMYFUNCTION("""COMPUTED_VALUE"""),"Ladaisha Thompson")</f>
        <v>Ladaisha Thompson</v>
      </c>
      <c r="H2706" s="24">
        <f>IFERROR(__xludf.DUMMYFUNCTION("""COMPUTED_VALUE"""),17.0)</f>
        <v>17</v>
      </c>
      <c r="I2706" s="24" t="str">
        <f>IFERROR(__xludf.DUMMYFUNCTION("""COMPUTED_VALUE"""),"Regular (up to 20lbs)")</f>
        <v>Regular (up to 20lbs)</v>
      </c>
    </row>
    <row r="2707">
      <c r="A2707" s="23">
        <f>IFERROR(__xludf.DUMMYFUNCTION("""COMPUTED_VALUE"""),44766.0)</f>
        <v>44766</v>
      </c>
      <c r="B2707" s="24" t="str">
        <f>IFERROR(__xludf.DUMMYFUNCTION("""COMPUTED_VALUE"""),"Alex Wang")</f>
        <v>Alex Wang</v>
      </c>
      <c r="C2707" s="24">
        <f>IFERROR(__xludf.DUMMYFUNCTION("""COMPUTED_VALUE"""),9.0)</f>
        <v>9</v>
      </c>
      <c r="D2707" s="24"/>
      <c r="F2707" s="23">
        <f>IFERROR(__xludf.DUMMYFUNCTION("""COMPUTED_VALUE"""),44843.66841604166)</f>
        <v>44843.66842</v>
      </c>
      <c r="G2707" s="24" t="str">
        <f>IFERROR(__xludf.DUMMYFUNCTION("""COMPUTED_VALUE"""),"Ladaisha Thompson")</f>
        <v>Ladaisha Thompson</v>
      </c>
      <c r="H2707" s="24">
        <f>IFERROR(__xludf.DUMMYFUNCTION("""COMPUTED_VALUE"""),1.0)</f>
        <v>1</v>
      </c>
      <c r="I2707" s="24" t="str">
        <f>IFERROR(__xludf.DUMMYFUNCTION("""COMPUTED_VALUE"""),"Damage/expired/extra")</f>
        <v>Damage/expired/extra</v>
      </c>
    </row>
    <row r="2708">
      <c r="A2708" s="23">
        <f>IFERROR(__xludf.DUMMYFUNCTION("""COMPUTED_VALUE"""),44766.0)</f>
        <v>44766</v>
      </c>
      <c r="B2708" s="24" t="str">
        <f>IFERROR(__xludf.DUMMYFUNCTION("""COMPUTED_VALUE"""),"Marci")</f>
        <v>Marci</v>
      </c>
      <c r="C2708" s="24">
        <f>IFERROR(__xludf.DUMMYFUNCTION("""COMPUTED_VALUE"""),20.0)</f>
        <v>20</v>
      </c>
      <c r="D2708" s="24"/>
      <c r="F2708" s="23">
        <f>IFERROR(__xludf.DUMMYFUNCTION("""COMPUTED_VALUE"""),44843.67509741898)</f>
        <v>44843.6751</v>
      </c>
      <c r="G2708" s="24" t="str">
        <f>IFERROR(__xludf.DUMMYFUNCTION("""COMPUTED_VALUE"""),"Kaneesha ")</f>
        <v>Kaneesha </v>
      </c>
      <c r="H2708" s="24">
        <f>IFERROR(__xludf.DUMMYFUNCTION("""COMPUTED_VALUE"""),20.0)</f>
        <v>20</v>
      </c>
      <c r="I2708" s="24" t="str">
        <f>IFERROR(__xludf.DUMMYFUNCTION("""COMPUTED_VALUE"""),"Regular (up to 20lbs)")</f>
        <v>Regular (up to 20lbs)</v>
      </c>
    </row>
    <row r="2709">
      <c r="A2709" s="23">
        <f>IFERROR(__xludf.DUMMYFUNCTION("""COMPUTED_VALUE"""),44766.0)</f>
        <v>44766</v>
      </c>
      <c r="B2709" s="24" t="str">
        <f>IFERROR(__xludf.DUMMYFUNCTION("""COMPUTED_VALUE"""),"Marci")</f>
        <v>Marci</v>
      </c>
      <c r="C2709" s="24">
        <f>IFERROR(__xludf.DUMMYFUNCTION("""COMPUTED_VALUE"""),22.0)</f>
        <v>22</v>
      </c>
      <c r="D2709" s="24"/>
      <c r="F2709" s="23">
        <f>IFERROR(__xludf.DUMMYFUNCTION("""COMPUTED_VALUE"""),44843.67519707176)</f>
        <v>44843.6752</v>
      </c>
      <c r="G2709" s="24" t="str">
        <f>IFERROR(__xludf.DUMMYFUNCTION("""COMPUTED_VALUE"""),"Dorja ")</f>
        <v>Dorja </v>
      </c>
      <c r="H2709" s="24">
        <f>IFERROR(__xludf.DUMMYFUNCTION("""COMPUTED_VALUE"""),22.0)</f>
        <v>22</v>
      </c>
      <c r="I2709" s="24" t="str">
        <f>IFERROR(__xludf.DUMMYFUNCTION("""COMPUTED_VALUE"""),"Regular (up to 20lbs)")</f>
        <v>Regular (up to 20lbs)</v>
      </c>
    </row>
    <row r="2710">
      <c r="A2710" s="23">
        <f>IFERROR(__xludf.DUMMYFUNCTION("""COMPUTED_VALUE"""),44766.68049740741)</f>
        <v>44766.6805</v>
      </c>
      <c r="B2710" s="24" t="str">
        <f>IFERROR(__xludf.DUMMYFUNCTION("""COMPUTED_VALUE"""),"Kaneesha ")</f>
        <v>Kaneesha </v>
      </c>
      <c r="C2710" s="24">
        <f>IFERROR(__xludf.DUMMYFUNCTION("""COMPUTED_VALUE"""),20.0)</f>
        <v>20</v>
      </c>
      <c r="D2710" s="24"/>
      <c r="F2710" s="23">
        <f>IFERROR(__xludf.DUMMYFUNCTION("""COMPUTED_VALUE"""),44843.675284826386)</f>
        <v>44843.67528</v>
      </c>
      <c r="G2710" s="24" t="str">
        <f>IFERROR(__xludf.DUMMYFUNCTION("""COMPUTED_VALUE"""),"Anita Bryant")</f>
        <v>Anita Bryant</v>
      </c>
      <c r="H2710" s="24">
        <f>IFERROR(__xludf.DUMMYFUNCTION("""COMPUTED_VALUE"""),18.0)</f>
        <v>18</v>
      </c>
      <c r="I2710" s="24" t="str">
        <f>IFERROR(__xludf.DUMMYFUNCTION("""COMPUTED_VALUE"""),"Regular (up to 20lbs)")</f>
        <v>Regular (up to 20lbs)</v>
      </c>
    </row>
    <row r="2711">
      <c r="A2711" s="23">
        <f>IFERROR(__xludf.DUMMYFUNCTION("""COMPUTED_VALUE"""),44766.680631574076)</f>
        <v>44766.68063</v>
      </c>
      <c r="B2711" s="24" t="str">
        <f>IFERROR(__xludf.DUMMYFUNCTION("""COMPUTED_VALUE"""),"Kaneesha ")</f>
        <v>Kaneesha </v>
      </c>
      <c r="C2711" s="24">
        <f>IFERROR(__xludf.DUMMYFUNCTION("""COMPUTED_VALUE"""),30.0)</f>
        <v>30</v>
      </c>
      <c r="D2711" s="24"/>
      <c r="F2711" s="23">
        <f>IFERROR(__xludf.DUMMYFUNCTION("""COMPUTED_VALUE"""),44843.67533398148)</f>
        <v>44843.67533</v>
      </c>
      <c r="G2711" s="24" t="str">
        <f>IFERROR(__xludf.DUMMYFUNCTION("""COMPUTED_VALUE"""),"Dorja ")</f>
        <v>Dorja </v>
      </c>
      <c r="H2711" s="24">
        <f>IFERROR(__xludf.DUMMYFUNCTION("""COMPUTED_VALUE"""),29.0)</f>
        <v>29</v>
      </c>
      <c r="I2711" s="24" t="str">
        <f>IFERROR(__xludf.DUMMYFUNCTION("""COMPUTED_VALUE"""),"Damage/expired/extra")</f>
        <v>Damage/expired/extra</v>
      </c>
    </row>
    <row r="2712">
      <c r="A2712" s="23">
        <f>IFERROR(__xludf.DUMMYFUNCTION("""COMPUTED_VALUE"""),44766.690065625)</f>
        <v>44766.69007</v>
      </c>
      <c r="B2712" s="24" t="str">
        <f>IFERROR(__xludf.DUMMYFUNCTION("""COMPUTED_VALUE"""),"Shaneen ")</f>
        <v>Shaneen </v>
      </c>
      <c r="C2712" s="24">
        <f>IFERROR(__xludf.DUMMYFUNCTION("""COMPUTED_VALUE"""),20.0)</f>
        <v>20</v>
      </c>
      <c r="D2712" s="24"/>
      <c r="F2712" s="23">
        <f>IFERROR(__xludf.DUMMYFUNCTION("""COMPUTED_VALUE"""),44843.675351157406)</f>
        <v>44843.67535</v>
      </c>
      <c r="G2712" s="24" t="str">
        <f>IFERROR(__xludf.DUMMYFUNCTION("""COMPUTED_VALUE"""),"Kaneesha ")</f>
        <v>Kaneesha </v>
      </c>
      <c r="H2712" s="24">
        <f>IFERROR(__xludf.DUMMYFUNCTION("""COMPUTED_VALUE"""),23.0)</f>
        <v>23</v>
      </c>
      <c r="I2712" s="24" t="str">
        <f>IFERROR(__xludf.DUMMYFUNCTION("""COMPUTED_VALUE"""),"Damage/expired/extra")</f>
        <v>Damage/expired/extra</v>
      </c>
    </row>
    <row r="2713">
      <c r="A2713" s="23">
        <f>IFERROR(__xludf.DUMMYFUNCTION("""COMPUTED_VALUE"""),44766.69021479167)</f>
        <v>44766.69021</v>
      </c>
      <c r="B2713" s="24" t="str">
        <f>IFERROR(__xludf.DUMMYFUNCTION("""COMPUTED_VALUE"""),"Shaneen Expired")</f>
        <v>Shaneen Expired</v>
      </c>
      <c r="C2713" s="24">
        <f>IFERROR(__xludf.DUMMYFUNCTION("""COMPUTED_VALUE"""),32.0)</f>
        <v>32</v>
      </c>
      <c r="D2713" s="24"/>
      <c r="F2713" s="23">
        <f>IFERROR(__xludf.DUMMYFUNCTION("""COMPUTED_VALUE"""),44843.675445381945)</f>
        <v>44843.67545</v>
      </c>
      <c r="G2713" s="24" t="str">
        <f>IFERROR(__xludf.DUMMYFUNCTION("""COMPUTED_VALUE"""),"Anita Bryant")</f>
        <v>Anita Bryant</v>
      </c>
      <c r="H2713" s="24">
        <f>IFERROR(__xludf.DUMMYFUNCTION("""COMPUTED_VALUE"""),15.0)</f>
        <v>15</v>
      </c>
      <c r="I2713" s="24" t="str">
        <f>IFERROR(__xludf.DUMMYFUNCTION("""COMPUTED_VALUE"""),"Damage/expired/extra")</f>
        <v>Damage/expired/extra</v>
      </c>
    </row>
    <row r="2714">
      <c r="A2714" s="23">
        <f>IFERROR(__xludf.DUMMYFUNCTION("""COMPUTED_VALUE"""),44768.0)</f>
        <v>44768</v>
      </c>
      <c r="B2714" s="24" t="str">
        <f>IFERROR(__xludf.DUMMYFUNCTION("""COMPUTED_VALUE"""),"Doris Parker Tuggle")</f>
        <v>Doris Parker Tuggle</v>
      </c>
      <c r="C2714" s="24">
        <f>IFERROR(__xludf.DUMMYFUNCTION("""COMPUTED_VALUE"""),16.0)</f>
        <v>16</v>
      </c>
      <c r="D2714" s="24"/>
      <c r="F2714" s="23">
        <f>IFERROR(__xludf.DUMMYFUNCTION("""COMPUTED_VALUE"""),44843.677802997685)</f>
        <v>44843.6778</v>
      </c>
      <c r="G2714" s="24" t="str">
        <f>IFERROR(__xludf.DUMMYFUNCTION("""COMPUTED_VALUE"""),"Kate Weeks")</f>
        <v>Kate Weeks</v>
      </c>
      <c r="H2714" s="24">
        <f>IFERROR(__xludf.DUMMYFUNCTION("""COMPUTED_VALUE"""),20.0)</f>
        <v>20</v>
      </c>
      <c r="I2714" s="24" t="str">
        <f>IFERROR(__xludf.DUMMYFUNCTION("""COMPUTED_VALUE"""),"Regular (up to 20lbs)")</f>
        <v>Regular (up to 20lbs)</v>
      </c>
    </row>
    <row r="2715">
      <c r="A2715" s="23">
        <f>IFERROR(__xludf.DUMMYFUNCTION("""COMPUTED_VALUE"""),44768.0)</f>
        <v>44768</v>
      </c>
      <c r="B2715" s="24" t="str">
        <f>IFERROR(__xludf.DUMMYFUNCTION("""COMPUTED_VALUE"""),"Doris Parker Tuggle")</f>
        <v>Doris Parker Tuggle</v>
      </c>
      <c r="C2715" s="24">
        <f>IFERROR(__xludf.DUMMYFUNCTION("""COMPUTED_VALUE"""),4.0)</f>
        <v>4</v>
      </c>
      <c r="D2715" s="24"/>
      <c r="F2715" s="23">
        <f>IFERROR(__xludf.DUMMYFUNCTION("""COMPUTED_VALUE"""),44843.67798925926)</f>
        <v>44843.67799</v>
      </c>
      <c r="G2715" s="24" t="str">
        <f>IFERROR(__xludf.DUMMYFUNCTION("""COMPUTED_VALUE"""),"Kate Weeks")</f>
        <v>Kate Weeks</v>
      </c>
      <c r="H2715" s="24">
        <f>IFERROR(__xludf.DUMMYFUNCTION("""COMPUTED_VALUE"""),25.0)</f>
        <v>25</v>
      </c>
      <c r="I2715" s="24" t="str">
        <f>IFERROR(__xludf.DUMMYFUNCTION("""COMPUTED_VALUE"""),"Damage/expired/extra")</f>
        <v>Damage/expired/extra</v>
      </c>
    </row>
    <row r="2716">
      <c r="A2716" s="23">
        <f>IFERROR(__xludf.DUMMYFUNCTION("""COMPUTED_VALUE"""),44768.0)</f>
        <v>44768</v>
      </c>
      <c r="B2716" s="24" t="str">
        <f>IFERROR(__xludf.DUMMYFUNCTION("""COMPUTED_VALUE"""),"Hong Xue")</f>
        <v>Hong Xue</v>
      </c>
      <c r="C2716" s="24">
        <f>IFERROR(__xludf.DUMMYFUNCTION("""COMPUTED_VALUE"""),20.5)</f>
        <v>20.5</v>
      </c>
      <c r="D2716" s="24"/>
      <c r="F2716" s="23">
        <f>IFERROR(__xludf.DUMMYFUNCTION("""COMPUTED_VALUE"""),44845.0)</f>
        <v>44845</v>
      </c>
      <c r="G2716" s="24" t="str">
        <f>IFERROR(__xludf.DUMMYFUNCTION("""COMPUTED_VALUE"""),"Hong Xue")</f>
        <v>Hong Xue</v>
      </c>
      <c r="H2716" s="24">
        <f>IFERROR(__xludf.DUMMYFUNCTION("""COMPUTED_VALUE"""),19.0)</f>
        <v>19</v>
      </c>
      <c r="I2716" s="24" t="str">
        <f>IFERROR(__xludf.DUMMYFUNCTION("""COMPUTED_VALUE"""),"Regular (up to 20lbs)")</f>
        <v>Regular (up to 20lbs)</v>
      </c>
    </row>
    <row r="2717">
      <c r="A2717" s="23">
        <f>IFERROR(__xludf.DUMMYFUNCTION("""COMPUTED_VALUE"""),44768.0)</f>
        <v>44768</v>
      </c>
      <c r="B2717" s="24" t="str">
        <f>IFERROR(__xludf.DUMMYFUNCTION("""COMPUTED_VALUE"""),"Hong Xue")</f>
        <v>Hong Xue</v>
      </c>
      <c r="C2717" s="24">
        <f>IFERROR(__xludf.DUMMYFUNCTION("""COMPUTED_VALUE"""),17.0)</f>
        <v>17</v>
      </c>
      <c r="D2717" s="24"/>
      <c r="F2717" s="23">
        <f>IFERROR(__xludf.DUMMYFUNCTION("""COMPUTED_VALUE"""),44845.0)</f>
        <v>44845</v>
      </c>
      <c r="G2717" s="24" t="str">
        <f>IFERROR(__xludf.DUMMYFUNCTION("""COMPUTED_VALUE"""),"Hong Xue")</f>
        <v>Hong Xue</v>
      </c>
      <c r="H2717" s="24">
        <f>IFERROR(__xludf.DUMMYFUNCTION("""COMPUTED_VALUE"""),14.0)</f>
        <v>14</v>
      </c>
      <c r="I2717" s="24" t="str">
        <f>IFERROR(__xludf.DUMMYFUNCTION("""COMPUTED_VALUE"""),"Damage/expired/extra")</f>
        <v>Damage/expired/extra</v>
      </c>
    </row>
    <row r="2718">
      <c r="A2718" s="23">
        <f>IFERROR(__xludf.DUMMYFUNCTION("""COMPUTED_VALUE"""),44768.0)</f>
        <v>44768</v>
      </c>
      <c r="B2718" s="24" t="str">
        <f>IFERROR(__xludf.DUMMYFUNCTION("""COMPUTED_VALUE"""),"Marci")</f>
        <v>Marci</v>
      </c>
      <c r="C2718" s="24">
        <f>IFERROR(__xludf.DUMMYFUNCTION("""COMPUTED_VALUE"""),20.0)</f>
        <v>20</v>
      </c>
      <c r="D2718" s="24"/>
      <c r="F2718" s="23">
        <f>IFERROR(__xludf.DUMMYFUNCTION("""COMPUTED_VALUE"""),44845.662215034725)</f>
        <v>44845.66222</v>
      </c>
      <c r="G2718" s="24" t="str">
        <f>IFERROR(__xludf.DUMMYFUNCTION("""COMPUTED_VALUE"""),"Beverly  Graham ")</f>
        <v>Beverly  Graham </v>
      </c>
      <c r="H2718" s="24">
        <f>IFERROR(__xludf.DUMMYFUNCTION("""COMPUTED_VALUE"""),17.0)</f>
        <v>17</v>
      </c>
      <c r="I2718" s="24" t="str">
        <f>IFERROR(__xludf.DUMMYFUNCTION("""COMPUTED_VALUE"""),"Regular (up to 20lbs)")</f>
        <v>Regular (up to 20lbs)</v>
      </c>
    </row>
    <row r="2719">
      <c r="A2719" s="23">
        <f>IFERROR(__xludf.DUMMYFUNCTION("""COMPUTED_VALUE"""),44768.0)</f>
        <v>44768</v>
      </c>
      <c r="B2719" s="24" t="str">
        <f>IFERROR(__xludf.DUMMYFUNCTION("""COMPUTED_VALUE"""),"Marci")</f>
        <v>Marci</v>
      </c>
      <c r="C2719" s="24">
        <f>IFERROR(__xludf.DUMMYFUNCTION("""COMPUTED_VALUE"""),24.0)</f>
        <v>24</v>
      </c>
      <c r="D2719" s="24"/>
      <c r="F2719" s="23">
        <f>IFERROR(__xludf.DUMMYFUNCTION("""COMPUTED_VALUE"""),44845.66273027778)</f>
        <v>44845.66273</v>
      </c>
      <c r="G2719" s="24" t="str">
        <f>IFERROR(__xludf.DUMMYFUNCTION("""COMPUTED_VALUE"""),"Beverly Graham ")</f>
        <v>Beverly Graham </v>
      </c>
      <c r="H2719" s="24">
        <f>IFERROR(__xludf.DUMMYFUNCTION("""COMPUTED_VALUE"""),2.0)</f>
        <v>2</v>
      </c>
      <c r="I2719" s="24" t="str">
        <f>IFERROR(__xludf.DUMMYFUNCTION("""COMPUTED_VALUE"""),"Damage/expired/extra")</f>
        <v>Damage/expired/extra</v>
      </c>
    </row>
    <row r="2720">
      <c r="A2720" s="23">
        <f>IFERROR(__xludf.DUMMYFUNCTION("""COMPUTED_VALUE"""),44768.64420043982)</f>
        <v>44768.6442</v>
      </c>
      <c r="B2720" s="24" t="str">
        <f>IFERROR(__xludf.DUMMYFUNCTION("""COMPUTED_VALUE"""),"Kaneesha ")</f>
        <v>Kaneesha </v>
      </c>
      <c r="C2720" s="24">
        <f>IFERROR(__xludf.DUMMYFUNCTION("""COMPUTED_VALUE"""),20.0)</f>
        <v>20</v>
      </c>
      <c r="D2720" s="24"/>
      <c r="F2720" s="23">
        <f>IFERROR(__xludf.DUMMYFUNCTION("""COMPUTED_VALUE"""),44845.663097094905)</f>
        <v>44845.6631</v>
      </c>
      <c r="G2720" s="24" t="str">
        <f>IFERROR(__xludf.DUMMYFUNCTION("""COMPUTED_VALUE"""),"Romaine Bouldin ")</f>
        <v>Romaine Bouldin </v>
      </c>
      <c r="H2720" s="24">
        <f>IFERROR(__xludf.DUMMYFUNCTION("""COMPUTED_VALUE"""),14.0)</f>
        <v>14</v>
      </c>
      <c r="I2720" s="24" t="str">
        <f>IFERROR(__xludf.DUMMYFUNCTION("""COMPUTED_VALUE"""),"Regular (up to 20lbs)")</f>
        <v>Regular (up to 20lbs)</v>
      </c>
    </row>
    <row r="2721">
      <c r="A2721" s="23">
        <f>IFERROR(__xludf.DUMMYFUNCTION("""COMPUTED_VALUE"""),44768.64452508102)</f>
        <v>44768.64453</v>
      </c>
      <c r="B2721" s="24" t="str">
        <f>IFERROR(__xludf.DUMMYFUNCTION("""COMPUTED_VALUE"""),"Kaneesha ")</f>
        <v>Kaneesha </v>
      </c>
      <c r="C2721" s="24">
        <f>IFERROR(__xludf.DUMMYFUNCTION("""COMPUTED_VALUE"""),13.0)</f>
        <v>13</v>
      </c>
      <c r="D2721" s="24"/>
      <c r="F2721" s="23">
        <f>IFERROR(__xludf.DUMMYFUNCTION("""COMPUTED_VALUE"""),44845.66345028935)</f>
        <v>44845.66345</v>
      </c>
      <c r="G2721" s="24" t="str">
        <f>IFERROR(__xludf.DUMMYFUNCTION("""COMPUTED_VALUE"""),"Romaine Bouldin ")</f>
        <v>Romaine Bouldin </v>
      </c>
      <c r="H2721" s="24">
        <f>IFERROR(__xludf.DUMMYFUNCTION("""COMPUTED_VALUE"""),5.0)</f>
        <v>5</v>
      </c>
      <c r="I2721" s="24" t="str">
        <f>IFERROR(__xludf.DUMMYFUNCTION("""COMPUTED_VALUE"""),"Damage/expired/extra")</f>
        <v>Damage/expired/extra</v>
      </c>
    </row>
    <row r="2722">
      <c r="A2722" s="23">
        <f>IFERROR(__xludf.DUMMYFUNCTION("""COMPUTED_VALUE"""),44768.64691315972)</f>
        <v>44768.64691</v>
      </c>
      <c r="B2722" s="24" t="str">
        <f>IFERROR(__xludf.DUMMYFUNCTION("""COMPUTED_VALUE"""),"Jean")</f>
        <v>Jean</v>
      </c>
      <c r="C2722" s="24">
        <f>IFERROR(__xludf.DUMMYFUNCTION("""COMPUTED_VALUE"""),19.0)</f>
        <v>19</v>
      </c>
      <c r="D2722" s="24"/>
      <c r="F2722" s="23">
        <f>IFERROR(__xludf.DUMMYFUNCTION("""COMPUTED_VALUE"""),44845.66403636574)</f>
        <v>44845.66404</v>
      </c>
      <c r="G2722" s="24" t="str">
        <f>IFERROR(__xludf.DUMMYFUNCTION("""COMPUTED_VALUE"""),"Kaneesha")</f>
        <v>Kaneesha</v>
      </c>
      <c r="H2722" s="24">
        <f>IFERROR(__xludf.DUMMYFUNCTION("""COMPUTED_VALUE"""),20.0)</f>
        <v>20</v>
      </c>
      <c r="I2722" s="24" t="str">
        <f>IFERROR(__xludf.DUMMYFUNCTION("""COMPUTED_VALUE"""),"Regular (up to 20lbs)")</f>
        <v>Regular (up to 20lbs)</v>
      </c>
    </row>
    <row r="2723">
      <c r="A2723" s="23">
        <f>IFERROR(__xludf.DUMMYFUNCTION("""COMPUTED_VALUE"""),44768.647473206016)</f>
        <v>44768.64747</v>
      </c>
      <c r="B2723" s="24" t="str">
        <f>IFERROR(__xludf.DUMMYFUNCTION("""COMPUTED_VALUE"""),"Jean")</f>
        <v>Jean</v>
      </c>
      <c r="C2723" s="24">
        <f>IFERROR(__xludf.DUMMYFUNCTION("""COMPUTED_VALUE"""),17.0)</f>
        <v>17</v>
      </c>
      <c r="D2723" s="24"/>
      <c r="F2723" s="23">
        <f>IFERROR(__xludf.DUMMYFUNCTION("""COMPUTED_VALUE"""),44845.66424935185)</f>
        <v>44845.66425</v>
      </c>
      <c r="G2723" s="24" t="str">
        <f>IFERROR(__xludf.DUMMYFUNCTION("""COMPUTED_VALUE"""),"Kaneesha ")</f>
        <v>Kaneesha </v>
      </c>
      <c r="H2723" s="24">
        <f>IFERROR(__xludf.DUMMYFUNCTION("""COMPUTED_VALUE"""),11.0)</f>
        <v>11</v>
      </c>
      <c r="I2723" s="24" t="str">
        <f>IFERROR(__xludf.DUMMYFUNCTION("""COMPUTED_VALUE"""),"Damage/expired/extra")</f>
        <v>Damage/expired/extra</v>
      </c>
    </row>
    <row r="2724">
      <c r="A2724" s="23">
        <f>IFERROR(__xludf.DUMMYFUNCTION("""COMPUTED_VALUE"""),44768.648246793986)</f>
        <v>44768.64825</v>
      </c>
      <c r="B2724" s="24" t="str">
        <f>IFERROR(__xludf.DUMMYFUNCTION("""COMPUTED_VALUE"""),"Beverly Pinn")</f>
        <v>Beverly Pinn</v>
      </c>
      <c r="C2724" s="24">
        <f>IFERROR(__xludf.DUMMYFUNCTION("""COMPUTED_VALUE"""),18.0)</f>
        <v>18</v>
      </c>
      <c r="D2724" s="24"/>
      <c r="F2724" s="23">
        <f>IFERROR(__xludf.DUMMYFUNCTION("""COMPUTED_VALUE"""),44845.66509525463)</f>
        <v>44845.6651</v>
      </c>
      <c r="G2724" s="24" t="str">
        <f>IFERROR(__xludf.DUMMYFUNCTION("""COMPUTED_VALUE"""),"Anna West")</f>
        <v>Anna West</v>
      </c>
      <c r="H2724" s="24">
        <f>IFERROR(__xludf.DUMMYFUNCTION("""COMPUTED_VALUE"""),4.0)</f>
        <v>4</v>
      </c>
      <c r="I2724" s="24" t="str">
        <f>IFERROR(__xludf.DUMMYFUNCTION("""COMPUTED_VALUE"""),"Damage/expired/extra")</f>
        <v>Damage/expired/extra</v>
      </c>
    </row>
    <row r="2725">
      <c r="A2725" s="23">
        <f>IFERROR(__xludf.DUMMYFUNCTION("""COMPUTED_VALUE"""),44768.742607615735)</f>
        <v>44768.74261</v>
      </c>
      <c r="B2725" s="24" t="str">
        <f>IFERROR(__xludf.DUMMYFUNCTION("""COMPUTED_VALUE"""),"Beverly Pinn")</f>
        <v>Beverly Pinn</v>
      </c>
      <c r="C2725" s="24">
        <f>IFERROR(__xludf.DUMMYFUNCTION("""COMPUTED_VALUE"""),9.0)</f>
        <v>9</v>
      </c>
      <c r="D2725" s="24"/>
      <c r="F2725" s="23">
        <f>IFERROR(__xludf.DUMMYFUNCTION("""COMPUTED_VALUE"""),44845.66709797453)</f>
        <v>44845.6671</v>
      </c>
      <c r="G2725" s="24" t="str">
        <f>IFERROR(__xludf.DUMMYFUNCTION("""COMPUTED_VALUE"""),"Beverly Pinn")</f>
        <v>Beverly Pinn</v>
      </c>
      <c r="H2725" s="24">
        <f>IFERROR(__xludf.DUMMYFUNCTION("""COMPUTED_VALUE"""),19.0)</f>
        <v>19</v>
      </c>
      <c r="I2725" s="24" t="str">
        <f>IFERROR(__xludf.DUMMYFUNCTION("""COMPUTED_VALUE"""),"Regular (up to 20lbs)")</f>
        <v>Regular (up to 20lbs)</v>
      </c>
    </row>
    <row r="2726">
      <c r="A2726" s="23">
        <f>IFERROR(__xludf.DUMMYFUNCTION("""COMPUTED_VALUE"""),44769.0)</f>
        <v>44769</v>
      </c>
      <c r="B2726" s="24" t="str">
        <f>IFERROR(__xludf.DUMMYFUNCTION("""COMPUTED_VALUE"""),"Juanita C")</f>
        <v>Juanita C</v>
      </c>
      <c r="C2726" s="24">
        <f>IFERROR(__xludf.DUMMYFUNCTION("""COMPUTED_VALUE"""),28.0)</f>
        <v>28</v>
      </c>
      <c r="D2726" s="24"/>
      <c r="F2726" s="23">
        <f>IFERROR(__xludf.DUMMYFUNCTION("""COMPUTED_VALUE"""),44845.66724199074)</f>
        <v>44845.66724</v>
      </c>
      <c r="G2726" s="24" t="str">
        <f>IFERROR(__xludf.DUMMYFUNCTION("""COMPUTED_VALUE"""),"Beverly Pinn")</f>
        <v>Beverly Pinn</v>
      </c>
      <c r="H2726" s="24">
        <f>IFERROR(__xludf.DUMMYFUNCTION("""COMPUTED_VALUE"""),10.0)</f>
        <v>10</v>
      </c>
      <c r="I2726" s="24" t="str">
        <f>IFERROR(__xludf.DUMMYFUNCTION("""COMPUTED_VALUE"""),"Damage/expired/extra")</f>
        <v>Damage/expired/extra</v>
      </c>
    </row>
    <row r="2727">
      <c r="A2727" s="23">
        <f>IFERROR(__xludf.DUMMYFUNCTION("""COMPUTED_VALUE"""),44769.0)</f>
        <v>44769</v>
      </c>
      <c r="B2727" s="24" t="str">
        <f>IFERROR(__xludf.DUMMYFUNCTION("""COMPUTED_VALUE"""),"Polaire Woods")</f>
        <v>Polaire Woods</v>
      </c>
      <c r="C2727" s="24">
        <f>IFERROR(__xludf.DUMMYFUNCTION("""COMPUTED_VALUE"""),20.0)</f>
        <v>20</v>
      </c>
      <c r="D2727" s="24"/>
      <c r="F2727" s="23">
        <f>IFERROR(__xludf.DUMMYFUNCTION("""COMPUTED_VALUE"""),44845.66760583333)</f>
        <v>44845.66761</v>
      </c>
      <c r="G2727" s="24" t="str">
        <f>IFERROR(__xludf.DUMMYFUNCTION("""COMPUTED_VALUE"""),"Jean")</f>
        <v>Jean</v>
      </c>
      <c r="H2727" s="24">
        <f>IFERROR(__xludf.DUMMYFUNCTION("""COMPUTED_VALUE"""),14.0)</f>
        <v>14</v>
      </c>
      <c r="I2727" s="24" t="str">
        <f>IFERROR(__xludf.DUMMYFUNCTION("""COMPUTED_VALUE"""),"Regular (up to 20lbs)")</f>
        <v>Regular (up to 20lbs)</v>
      </c>
    </row>
    <row r="2728">
      <c r="A2728" s="23">
        <f>IFERROR(__xludf.DUMMYFUNCTION("""COMPUTED_VALUE"""),44769.0)</f>
        <v>44769</v>
      </c>
      <c r="B2728" s="24" t="str">
        <f>IFERROR(__xludf.DUMMYFUNCTION("""COMPUTED_VALUE"""),"Dee Satterfield")</f>
        <v>Dee Satterfield</v>
      </c>
      <c r="C2728" s="24">
        <f>IFERROR(__xludf.DUMMYFUNCTION("""COMPUTED_VALUE"""),20.0)</f>
        <v>20</v>
      </c>
      <c r="D2728" s="24"/>
      <c r="F2728" s="23">
        <f>IFERROR(__xludf.DUMMYFUNCTION("""COMPUTED_VALUE"""),44845.66807349538)</f>
        <v>44845.66807</v>
      </c>
      <c r="G2728" s="24" t="str">
        <f>IFERROR(__xludf.DUMMYFUNCTION("""COMPUTED_VALUE"""),"Jean")</f>
        <v>Jean</v>
      </c>
      <c r="H2728" s="24">
        <f>IFERROR(__xludf.DUMMYFUNCTION("""COMPUTED_VALUE"""),7.0)</f>
        <v>7</v>
      </c>
      <c r="I2728" s="24" t="str">
        <f>IFERROR(__xludf.DUMMYFUNCTION("""COMPUTED_VALUE"""),"Damage/expired/extra")</f>
        <v>Damage/expired/extra</v>
      </c>
    </row>
    <row r="2729">
      <c r="A2729" s="23">
        <f>IFERROR(__xludf.DUMMYFUNCTION("""COMPUTED_VALUE"""),44769.0)</f>
        <v>44769</v>
      </c>
      <c r="B2729" s="24" t="str">
        <f>IFERROR(__xludf.DUMMYFUNCTION("""COMPUTED_VALUE"""),"Dee Satterfield")</f>
        <v>Dee Satterfield</v>
      </c>
      <c r="C2729" s="24">
        <f>IFERROR(__xludf.DUMMYFUNCTION("""COMPUTED_VALUE"""),22.0)</f>
        <v>22</v>
      </c>
      <c r="D2729" s="24"/>
      <c r="F2729" s="23">
        <f>IFERROR(__xludf.DUMMYFUNCTION("""COMPUTED_VALUE"""),44845.668456817126)</f>
        <v>44845.66846</v>
      </c>
      <c r="G2729" s="24" t="str">
        <f>IFERROR(__xludf.DUMMYFUNCTION("""COMPUTED_VALUE"""),"Anna West")</f>
        <v>Anna West</v>
      </c>
      <c r="H2729" s="24">
        <f>IFERROR(__xludf.DUMMYFUNCTION("""COMPUTED_VALUE"""),18.0)</f>
        <v>18</v>
      </c>
      <c r="I2729" s="24" t="str">
        <f>IFERROR(__xludf.DUMMYFUNCTION("""COMPUTED_VALUE"""),"Regular (up to 20lbs)")</f>
        <v>Regular (up to 20lbs)</v>
      </c>
    </row>
    <row r="2730">
      <c r="A2730" s="23">
        <f>IFERROR(__xludf.DUMMYFUNCTION("""COMPUTED_VALUE"""),44769.0)</f>
        <v>44769</v>
      </c>
      <c r="B2730" s="24" t="str">
        <f>IFERROR(__xludf.DUMMYFUNCTION("""COMPUTED_VALUE"""),"Cailyn Lawler")</f>
        <v>Cailyn Lawler</v>
      </c>
      <c r="C2730" s="24">
        <f>IFERROR(__xludf.DUMMYFUNCTION("""COMPUTED_VALUE"""),16.0)</f>
        <v>16</v>
      </c>
      <c r="D2730" s="24"/>
      <c r="F2730" s="23">
        <f>IFERROR(__xludf.DUMMYFUNCTION("""COMPUTED_VALUE"""),44846.0)</f>
        <v>44846</v>
      </c>
      <c r="G2730" s="24" t="str">
        <f>IFERROR(__xludf.DUMMYFUNCTION("""COMPUTED_VALUE"""),"Claire")</f>
        <v>Claire</v>
      </c>
      <c r="H2730" s="24">
        <f>IFERROR(__xludf.DUMMYFUNCTION("""COMPUTED_VALUE"""),538.0)</f>
        <v>538</v>
      </c>
      <c r="I2730" s="24" t="str">
        <f>IFERROR(__xludf.DUMMYFUNCTION("""COMPUTED_VALUE"""),"First Fruits Farm")</f>
        <v>First Fruits Farm</v>
      </c>
    </row>
    <row r="2731">
      <c r="A2731" s="23">
        <f>IFERROR(__xludf.DUMMYFUNCTION("""COMPUTED_VALUE"""),44769.0)</f>
        <v>44769</v>
      </c>
      <c r="B2731" s="24" t="str">
        <f>IFERROR(__xludf.DUMMYFUNCTION("""COMPUTED_VALUE"""),"Cailyn Lawler")</f>
        <v>Cailyn Lawler</v>
      </c>
      <c r="C2731" s="24">
        <f>IFERROR(__xludf.DUMMYFUNCTION("""COMPUTED_VALUE"""),10.0)</f>
        <v>10</v>
      </c>
      <c r="D2731" s="24"/>
      <c r="F2731" s="23">
        <f>IFERROR(__xludf.DUMMYFUNCTION("""COMPUTED_VALUE"""),44846.0)</f>
        <v>44846</v>
      </c>
      <c r="G2731" s="24" t="str">
        <f>IFERROR(__xludf.DUMMYFUNCTION("""COMPUTED_VALUE"""),"Claire")</f>
        <v>Claire</v>
      </c>
      <c r="H2731" s="24">
        <f>IFERROR(__xludf.DUMMYFUNCTION("""COMPUTED_VALUE"""),1014.0)</f>
        <v>1014</v>
      </c>
      <c r="I2731" s="24" t="str">
        <f>IFERROR(__xludf.DUMMYFUNCTION("""COMPUTED_VALUE"""),"First Fruits Farm")</f>
        <v>First Fruits Farm</v>
      </c>
    </row>
    <row r="2732">
      <c r="A2732" s="23">
        <f>IFERROR(__xludf.DUMMYFUNCTION("""COMPUTED_VALUE"""),44769.0)</f>
        <v>44769</v>
      </c>
      <c r="B2732" s="24" t="str">
        <f>IFERROR(__xludf.DUMMYFUNCTION("""COMPUTED_VALUE"""),"Melissa Thomas")</f>
        <v>Melissa Thomas</v>
      </c>
      <c r="C2732" s="24">
        <f>IFERROR(__xludf.DUMMYFUNCTION("""COMPUTED_VALUE"""),20.0)</f>
        <v>20</v>
      </c>
      <c r="D2732" s="24"/>
      <c r="F2732" s="23">
        <f>IFERROR(__xludf.DUMMYFUNCTION("""COMPUTED_VALUE"""),44846.0)</f>
        <v>44846</v>
      </c>
      <c r="G2732" s="24" t="str">
        <f>IFERROR(__xludf.DUMMYFUNCTION("""COMPUTED_VALUE"""),"Claire")</f>
        <v>Claire</v>
      </c>
      <c r="H2732" s="24">
        <f>IFERROR(__xludf.DUMMYFUNCTION("""COMPUTED_VALUE"""),1060.0)</f>
        <v>1060</v>
      </c>
      <c r="I2732" s="24" t="str">
        <f>IFERROR(__xludf.DUMMYFUNCTION("""COMPUTED_VALUE"""),"First Fruits Farm")</f>
        <v>First Fruits Farm</v>
      </c>
    </row>
    <row r="2733">
      <c r="A2733" s="23">
        <f>IFERROR(__xludf.DUMMYFUNCTION("""COMPUTED_VALUE"""),44769.0)</f>
        <v>44769</v>
      </c>
      <c r="B2733" s="24" t="str">
        <f>IFERROR(__xludf.DUMMYFUNCTION("""COMPUTED_VALUE"""),"Melissa Thomas")</f>
        <v>Melissa Thomas</v>
      </c>
      <c r="C2733" s="24">
        <f>IFERROR(__xludf.DUMMYFUNCTION("""COMPUTED_VALUE"""),26.0)</f>
        <v>26</v>
      </c>
      <c r="D2733" s="24"/>
      <c r="F2733" s="23">
        <f>IFERROR(__xludf.DUMMYFUNCTION("""COMPUTED_VALUE"""),44846.0)</f>
        <v>44846</v>
      </c>
      <c r="G2733" s="24" t="str">
        <f>IFERROR(__xludf.DUMMYFUNCTION("""COMPUTED_VALUE"""),"Claire")</f>
        <v>Claire</v>
      </c>
      <c r="H2733" s="24">
        <f>IFERROR(__xludf.DUMMYFUNCTION("""COMPUTED_VALUE"""),38.0)</f>
        <v>38</v>
      </c>
      <c r="I2733" s="24" t="str">
        <f>IFERROR(__xludf.DUMMYFUNCTION("""COMPUTED_VALUE"""),"Sandtown ")</f>
        <v>Sandtown </v>
      </c>
    </row>
    <row r="2734">
      <c r="A2734" s="23">
        <f>IFERROR(__xludf.DUMMYFUNCTION("""COMPUTED_VALUE"""),44769.0)</f>
        <v>44769</v>
      </c>
      <c r="B2734" s="24" t="str">
        <f>IFERROR(__xludf.DUMMYFUNCTION("""COMPUTED_VALUE"""),"Karen Moore")</f>
        <v>Karen Moore</v>
      </c>
      <c r="C2734" s="24">
        <f>IFERROR(__xludf.DUMMYFUNCTION("""COMPUTED_VALUE"""),9.0)</f>
        <v>9</v>
      </c>
      <c r="D2734" s="24"/>
      <c r="F2734" s="23">
        <f>IFERROR(__xludf.DUMMYFUNCTION("""COMPUTED_VALUE"""),44846.0)</f>
        <v>44846</v>
      </c>
      <c r="G2734" s="24" t="str">
        <f>IFERROR(__xludf.DUMMYFUNCTION("""COMPUTED_VALUE"""),"Doris Parker tuggle")</f>
        <v>Doris Parker tuggle</v>
      </c>
      <c r="H2734" s="24">
        <f>IFERROR(__xludf.DUMMYFUNCTION("""COMPUTED_VALUE"""),17.0)</f>
        <v>17</v>
      </c>
      <c r="I2734" s="24" t="str">
        <f>IFERROR(__xludf.DUMMYFUNCTION("""COMPUTED_VALUE"""),"Regular (up to 20lbs)")</f>
        <v>Regular (up to 20lbs)</v>
      </c>
    </row>
    <row r="2735">
      <c r="A2735" s="23">
        <f>IFERROR(__xludf.DUMMYFUNCTION("""COMPUTED_VALUE"""),44769.0)</f>
        <v>44769</v>
      </c>
      <c r="B2735" s="24" t="str">
        <f>IFERROR(__xludf.DUMMYFUNCTION("""COMPUTED_VALUE"""),"Karen Moore")</f>
        <v>Karen Moore</v>
      </c>
      <c r="C2735" s="24">
        <f>IFERROR(__xludf.DUMMYFUNCTION("""COMPUTED_VALUE"""),17.0)</f>
        <v>17</v>
      </c>
      <c r="D2735" s="24"/>
      <c r="F2735" s="23">
        <f>IFERROR(__xludf.DUMMYFUNCTION("""COMPUTED_VALUE"""),44846.0)</f>
        <v>44846</v>
      </c>
      <c r="G2735" s="24" t="str">
        <f>IFERROR(__xludf.DUMMYFUNCTION("""COMPUTED_VALUE"""),"Doris Parker tuggle")</f>
        <v>Doris Parker tuggle</v>
      </c>
      <c r="H2735" s="24">
        <f>IFERROR(__xludf.DUMMYFUNCTION("""COMPUTED_VALUE"""),9.0)</f>
        <v>9</v>
      </c>
      <c r="I2735" s="24" t="str">
        <f>IFERROR(__xludf.DUMMYFUNCTION("""COMPUTED_VALUE"""),"Damage/expired/extra")</f>
        <v>Damage/expired/extra</v>
      </c>
    </row>
    <row r="2736">
      <c r="A2736" s="23">
        <f>IFERROR(__xludf.DUMMYFUNCTION("""COMPUTED_VALUE"""),44769.56498199074)</f>
        <v>44769.56498</v>
      </c>
      <c r="B2736" s="24" t="str">
        <f>IFERROR(__xludf.DUMMYFUNCTION("""COMPUTED_VALUE"""),"Bud- sisson St drinks")</f>
        <v>Bud- sisson St drinks</v>
      </c>
      <c r="C2736" s="24">
        <f>IFERROR(__xludf.DUMMYFUNCTION("""COMPUTED_VALUE"""),27.0)</f>
        <v>27</v>
      </c>
      <c r="D2736" s="24"/>
      <c r="F2736" s="23">
        <f>IFERROR(__xludf.DUMMYFUNCTION("""COMPUTED_VALUE"""),44846.0)</f>
        <v>44846</v>
      </c>
      <c r="G2736" s="24" t="str">
        <f>IFERROR(__xludf.DUMMYFUNCTION("""COMPUTED_VALUE"""),"Monah Perry")</f>
        <v>Monah Perry</v>
      </c>
      <c r="H2736" s="24">
        <f>IFERROR(__xludf.DUMMYFUNCTION("""COMPUTED_VALUE"""),13.0)</f>
        <v>13</v>
      </c>
      <c r="I2736" s="24" t="str">
        <f>IFERROR(__xludf.DUMMYFUNCTION("""COMPUTED_VALUE"""),"Regular (up to 20lbs)")</f>
        <v>Regular (up to 20lbs)</v>
      </c>
    </row>
    <row r="2737">
      <c r="A2737" s="23">
        <f>IFERROR(__xludf.DUMMYFUNCTION("""COMPUTED_VALUE"""),44769.86450478009)</f>
        <v>44769.8645</v>
      </c>
      <c r="B2737" s="24" t="str">
        <f>IFERROR(__xludf.DUMMYFUNCTION("""COMPUTED_VALUE"""),"Connor Gephart")</f>
        <v>Connor Gephart</v>
      </c>
      <c r="C2737" s="24">
        <f>IFERROR(__xludf.DUMMYFUNCTION("""COMPUTED_VALUE"""),10.0)</f>
        <v>10</v>
      </c>
      <c r="D2737" s="24"/>
      <c r="F2737" s="23">
        <f>IFERROR(__xludf.DUMMYFUNCTION("""COMPUTED_VALUE"""),44846.0)</f>
        <v>44846</v>
      </c>
      <c r="G2737" s="24" t="str">
        <f>IFERROR(__xludf.DUMMYFUNCTION("""COMPUTED_VALUE"""),"Monah Perry")</f>
        <v>Monah Perry</v>
      </c>
      <c r="H2737" s="24">
        <f>IFERROR(__xludf.DUMMYFUNCTION("""COMPUTED_VALUE"""),4.0)</f>
        <v>4</v>
      </c>
      <c r="I2737" s="24" t="str">
        <f>IFERROR(__xludf.DUMMYFUNCTION("""COMPUTED_VALUE"""),"Damage/expired/extra")</f>
        <v>Damage/expired/extra</v>
      </c>
    </row>
    <row r="2738">
      <c r="A2738" s="23">
        <f>IFERROR(__xludf.DUMMYFUNCTION("""COMPUTED_VALUE"""),44769.86556081019)</f>
        <v>44769.86556</v>
      </c>
      <c r="B2738" s="24" t="str">
        <f>IFERROR(__xludf.DUMMYFUNCTION("""COMPUTED_VALUE"""),"Sarah Kondo")</f>
        <v>Sarah Kondo</v>
      </c>
      <c r="C2738" s="24">
        <f>IFERROR(__xludf.DUMMYFUNCTION("""COMPUTED_VALUE"""),17.0)</f>
        <v>17</v>
      </c>
      <c r="D2738" s="24"/>
      <c r="F2738" s="23">
        <f>IFERROR(__xludf.DUMMYFUNCTION("""COMPUTED_VALUE"""),44846.0)</f>
        <v>44846</v>
      </c>
      <c r="G2738" s="24" t="str">
        <f>IFERROR(__xludf.DUMMYFUNCTION("""COMPUTED_VALUE"""),"Barbara Jordan")</f>
        <v>Barbara Jordan</v>
      </c>
      <c r="H2738" s="24">
        <f>IFERROR(__xludf.DUMMYFUNCTION("""COMPUTED_VALUE"""),12.0)</f>
        <v>12</v>
      </c>
      <c r="I2738" s="24" t="str">
        <f>IFERROR(__xludf.DUMMYFUNCTION("""COMPUTED_VALUE"""),"Regular (up to 20lbs)")</f>
        <v>Regular (up to 20lbs)</v>
      </c>
    </row>
    <row r="2739">
      <c r="A2739" s="23">
        <f>IFERROR(__xludf.DUMMYFUNCTION("""COMPUTED_VALUE"""),44769.86737135417)</f>
        <v>44769.86737</v>
      </c>
      <c r="B2739" s="24" t="str">
        <f>IFERROR(__xludf.DUMMYFUNCTION("""COMPUTED_VALUE"""),"Maddie ")</f>
        <v>Maddie </v>
      </c>
      <c r="C2739" s="24">
        <f>IFERROR(__xludf.DUMMYFUNCTION("""COMPUTED_VALUE"""),9.0)</f>
        <v>9</v>
      </c>
      <c r="D2739" s="24"/>
      <c r="F2739" s="23">
        <f>IFERROR(__xludf.DUMMYFUNCTION("""COMPUTED_VALUE"""),44846.0)</f>
        <v>44846</v>
      </c>
      <c r="G2739" s="24" t="str">
        <f>IFERROR(__xludf.DUMMYFUNCTION("""COMPUTED_VALUE"""),"Jean")</f>
        <v>Jean</v>
      </c>
      <c r="H2739" s="24">
        <f>IFERROR(__xludf.DUMMYFUNCTION("""COMPUTED_VALUE"""),14.0)</f>
        <v>14</v>
      </c>
      <c r="I2739" s="24" t="str">
        <f>IFERROR(__xludf.DUMMYFUNCTION("""COMPUTED_VALUE"""),"Regular (up to 20lbs)")</f>
        <v>Regular (up to 20lbs)</v>
      </c>
    </row>
    <row r="2740">
      <c r="A2740" s="23">
        <f>IFERROR(__xludf.DUMMYFUNCTION("""COMPUTED_VALUE"""),44769.86738442129)</f>
        <v>44769.86738</v>
      </c>
      <c r="B2740" s="24" t="str">
        <f>IFERROR(__xludf.DUMMYFUNCTION("""COMPUTED_VALUE"""),"Cybil Bailey")</f>
        <v>Cybil Bailey</v>
      </c>
      <c r="C2740" s="24">
        <f>IFERROR(__xludf.DUMMYFUNCTION("""COMPUTED_VALUE"""),13.0)</f>
        <v>13</v>
      </c>
      <c r="D2740" s="24"/>
      <c r="F2740" s="23">
        <f>IFERROR(__xludf.DUMMYFUNCTION("""COMPUTED_VALUE"""),44846.0)</f>
        <v>44846</v>
      </c>
      <c r="G2740" s="24" t="str">
        <f>IFERROR(__xludf.DUMMYFUNCTION("""COMPUTED_VALUE"""),"Jean")</f>
        <v>Jean</v>
      </c>
      <c r="H2740" s="24">
        <f>IFERROR(__xludf.DUMMYFUNCTION("""COMPUTED_VALUE"""),14.0)</f>
        <v>14</v>
      </c>
      <c r="I2740" s="24" t="str">
        <f>IFERROR(__xludf.DUMMYFUNCTION("""COMPUTED_VALUE"""),"Regular (up to 20lbs)")</f>
        <v>Regular (up to 20lbs)</v>
      </c>
    </row>
    <row r="2741">
      <c r="A2741" s="23">
        <f>IFERROR(__xludf.DUMMYFUNCTION("""COMPUTED_VALUE"""),44770.0)</f>
        <v>44770</v>
      </c>
      <c r="B2741" s="24" t="str">
        <f>IFERROR(__xludf.DUMMYFUNCTION("""COMPUTED_VALUE"""),"Hong Xue")</f>
        <v>Hong Xue</v>
      </c>
      <c r="C2741" s="24">
        <f>IFERROR(__xludf.DUMMYFUNCTION("""COMPUTED_VALUE"""),23.0)</f>
        <v>23</v>
      </c>
      <c r="D2741" s="24"/>
      <c r="F2741" s="23">
        <f>IFERROR(__xludf.DUMMYFUNCTION("""COMPUTED_VALUE"""),44846.0)</f>
        <v>44846</v>
      </c>
      <c r="G2741" s="24" t="str">
        <f>IFERROR(__xludf.DUMMYFUNCTION("""COMPUTED_VALUE"""),"Hong Xue")</f>
        <v>Hong Xue</v>
      </c>
      <c r="H2741" s="24">
        <f>IFERROR(__xludf.DUMMYFUNCTION("""COMPUTED_VALUE"""),17.0)</f>
        <v>17</v>
      </c>
      <c r="I2741" s="24" t="str">
        <f>IFERROR(__xludf.DUMMYFUNCTION("""COMPUTED_VALUE"""),"Regular (up to 20lbs)")</f>
        <v>Regular (up to 20lbs)</v>
      </c>
    </row>
    <row r="2742">
      <c r="A2742" s="23">
        <f>IFERROR(__xludf.DUMMYFUNCTION("""COMPUTED_VALUE"""),44770.0)</f>
        <v>44770</v>
      </c>
      <c r="B2742" s="24" t="str">
        <f>IFERROR(__xludf.DUMMYFUNCTION("""COMPUTED_VALUE"""),"Hong Xue")</f>
        <v>Hong Xue</v>
      </c>
      <c r="C2742" s="24">
        <f>IFERROR(__xludf.DUMMYFUNCTION("""COMPUTED_VALUE"""),12.0)</f>
        <v>12</v>
      </c>
      <c r="D2742" s="24"/>
      <c r="F2742" s="23">
        <f>IFERROR(__xludf.DUMMYFUNCTION("""COMPUTED_VALUE"""),44846.0)</f>
        <v>44846</v>
      </c>
      <c r="G2742" s="24" t="str">
        <f>IFERROR(__xludf.DUMMYFUNCTION("""COMPUTED_VALUE"""),"Hong Xue")</f>
        <v>Hong Xue</v>
      </c>
      <c r="H2742" s="24">
        <f>IFERROR(__xludf.DUMMYFUNCTION("""COMPUTED_VALUE"""),23.0)</f>
        <v>23</v>
      </c>
      <c r="I2742" s="24" t="str">
        <f>IFERROR(__xludf.DUMMYFUNCTION("""COMPUTED_VALUE"""),"Damage/expired/extra")</f>
        <v>Damage/expired/extra</v>
      </c>
    </row>
    <row r="2743">
      <c r="A2743" s="23">
        <f>IFERROR(__xludf.DUMMYFUNCTION("""COMPUTED_VALUE"""),44770.0)</f>
        <v>44770</v>
      </c>
      <c r="B2743" s="24" t="str">
        <f>IFERROR(__xludf.DUMMYFUNCTION("""COMPUTED_VALUE"""),"Denise Brown")</f>
        <v>Denise Brown</v>
      </c>
      <c r="C2743" s="24">
        <f>IFERROR(__xludf.DUMMYFUNCTION("""COMPUTED_VALUE"""),20.0)</f>
        <v>20</v>
      </c>
      <c r="D2743" s="24"/>
      <c r="F2743" s="23">
        <f>IFERROR(__xludf.DUMMYFUNCTION("""COMPUTED_VALUE"""),44846.0)</f>
        <v>44846</v>
      </c>
      <c r="G2743" s="24" t="str">
        <f>IFERROR(__xludf.DUMMYFUNCTION("""COMPUTED_VALUE"""),"Julia Buckson")</f>
        <v>Julia Buckson</v>
      </c>
      <c r="H2743" s="24">
        <f>IFERROR(__xludf.DUMMYFUNCTION("""COMPUTED_VALUE"""),20.0)</f>
        <v>20</v>
      </c>
      <c r="I2743" s="24" t="str">
        <f>IFERROR(__xludf.DUMMYFUNCTION("""COMPUTED_VALUE"""),"Regular (up to 20lbs)")</f>
        <v>Regular (up to 20lbs)</v>
      </c>
    </row>
    <row r="2744">
      <c r="A2744" s="23">
        <f>IFERROR(__xludf.DUMMYFUNCTION("""COMPUTED_VALUE"""),44770.0)</f>
        <v>44770</v>
      </c>
      <c r="B2744" s="24" t="str">
        <f>IFERROR(__xludf.DUMMYFUNCTION("""COMPUTED_VALUE"""),"Denise Brown")</f>
        <v>Denise Brown</v>
      </c>
      <c r="C2744" s="24">
        <f>IFERROR(__xludf.DUMMYFUNCTION("""COMPUTED_VALUE"""),2.0)</f>
        <v>2</v>
      </c>
      <c r="D2744" s="24"/>
      <c r="F2744" s="23">
        <f>IFERROR(__xludf.DUMMYFUNCTION("""COMPUTED_VALUE"""),44846.0)</f>
        <v>44846</v>
      </c>
      <c r="G2744" s="24" t="str">
        <f>IFERROR(__xludf.DUMMYFUNCTION("""COMPUTED_VALUE"""),"Julia Buckson")</f>
        <v>Julia Buckson</v>
      </c>
      <c r="H2744" s="24">
        <f>IFERROR(__xludf.DUMMYFUNCTION("""COMPUTED_VALUE"""),7.0)</f>
        <v>7</v>
      </c>
      <c r="I2744" s="24" t="str">
        <f>IFERROR(__xludf.DUMMYFUNCTION("""COMPUTED_VALUE"""),"Damage/expired/extra")</f>
        <v>Damage/expired/extra</v>
      </c>
    </row>
    <row r="2745">
      <c r="A2745" s="23">
        <f>IFERROR(__xludf.DUMMYFUNCTION("""COMPUTED_VALUE"""),44770.0)</f>
        <v>44770</v>
      </c>
      <c r="B2745" s="24" t="str">
        <f>IFERROR(__xludf.DUMMYFUNCTION("""COMPUTED_VALUE"""),"Seth Crawford")</f>
        <v>Seth Crawford</v>
      </c>
      <c r="C2745" s="24">
        <f>IFERROR(__xludf.DUMMYFUNCTION("""COMPUTED_VALUE"""),22.0)</f>
        <v>22</v>
      </c>
      <c r="D2745" s="24"/>
      <c r="F2745" s="23">
        <f>IFERROR(__xludf.DUMMYFUNCTION("""COMPUTED_VALUE"""),44846.569894479166)</f>
        <v>44846.56989</v>
      </c>
      <c r="G2745" s="24" t="str">
        <f>IFERROR(__xludf.DUMMYFUNCTION("""COMPUTED_VALUE"""),"Bud-sisson st dpw drinks ")</f>
        <v>Bud-sisson st dpw drinks </v>
      </c>
      <c r="H2745" s="24">
        <f>IFERROR(__xludf.DUMMYFUNCTION("""COMPUTED_VALUE"""),9.0)</f>
        <v>9</v>
      </c>
      <c r="I2745" s="24" t="str">
        <f>IFERROR(__xludf.DUMMYFUNCTION("""COMPUTED_VALUE"""),"Regular (up to 20lbs)")</f>
        <v>Regular (up to 20lbs)</v>
      </c>
    </row>
    <row r="2746">
      <c r="A2746" s="23">
        <f>IFERROR(__xludf.DUMMYFUNCTION("""COMPUTED_VALUE"""),44770.0)</f>
        <v>44770</v>
      </c>
      <c r="B2746" s="24" t="str">
        <f>IFERROR(__xludf.DUMMYFUNCTION("""COMPUTED_VALUE"""),"Nathaniel McClean")</f>
        <v>Nathaniel McClean</v>
      </c>
      <c r="C2746" s="24">
        <f>IFERROR(__xludf.DUMMYFUNCTION("""COMPUTED_VALUE"""),19.0)</f>
        <v>19</v>
      </c>
      <c r="D2746" s="24"/>
      <c r="F2746" s="23">
        <f>IFERROR(__xludf.DUMMYFUNCTION("""COMPUTED_VALUE"""),44846.617271331015)</f>
        <v>44846.61727</v>
      </c>
      <c r="G2746" s="24" t="str">
        <f>IFERROR(__xludf.DUMMYFUNCTION("""COMPUTED_VALUE"""),"JC")</f>
        <v>JC</v>
      </c>
      <c r="H2746" s="24">
        <f>IFERROR(__xludf.DUMMYFUNCTION("""COMPUTED_VALUE"""),1324.0)</f>
        <v>1324</v>
      </c>
      <c r="I2746" s="24" t="str">
        <f>IFERROR(__xludf.DUMMYFUNCTION("""COMPUTED_VALUE"""),"Whitebox")</f>
        <v>Whitebox</v>
      </c>
    </row>
    <row r="2747">
      <c r="A2747" s="23">
        <f>IFERROR(__xludf.DUMMYFUNCTION("""COMPUTED_VALUE"""),44770.705994791664)</f>
        <v>44770.70599</v>
      </c>
      <c r="B2747" s="24" t="str">
        <f>IFERROR(__xludf.DUMMYFUNCTION("""COMPUTED_VALUE"""),"Norma")</f>
        <v>Norma</v>
      </c>
      <c r="C2747" s="24">
        <f>IFERROR(__xludf.DUMMYFUNCTION("""COMPUTED_VALUE"""),9.0)</f>
        <v>9</v>
      </c>
      <c r="D2747" s="24"/>
      <c r="F2747" s="23">
        <f>IFERROR(__xludf.DUMMYFUNCTION("""COMPUTED_VALUE"""),44846.61753427083)</f>
        <v>44846.61753</v>
      </c>
      <c r="G2747" s="24" t="str">
        <f>IFERROR(__xludf.DUMMYFUNCTION("""COMPUTED_VALUE"""),"Jc")</f>
        <v>Jc</v>
      </c>
      <c r="H2747" s="24">
        <f>IFERROR(__xludf.DUMMYFUNCTION("""COMPUTED_VALUE"""),1328.0)</f>
        <v>1328</v>
      </c>
      <c r="I2747" s="24" t="str">
        <f>IFERROR(__xludf.DUMMYFUNCTION("""COMPUTED_VALUE"""),"Whitebox")</f>
        <v>Whitebox</v>
      </c>
    </row>
    <row r="2748">
      <c r="A2748" s="23">
        <f>IFERROR(__xludf.DUMMYFUNCTION("""COMPUTED_VALUE"""),44770.0)</f>
        <v>44770</v>
      </c>
      <c r="B2748" s="24" t="str">
        <f>IFERROR(__xludf.DUMMYFUNCTION("""COMPUTED_VALUE"""),"Norma")</f>
        <v>Norma</v>
      </c>
      <c r="C2748" s="24">
        <f>IFERROR(__xludf.DUMMYFUNCTION("""COMPUTED_VALUE"""),3.0)</f>
        <v>3</v>
      </c>
      <c r="D2748" s="24" t="str">
        <f>IFERROR(__xludf.DUMMYFUNCTION("""COMPUTED_VALUE"""),"beans")</f>
        <v>beans</v>
      </c>
      <c r="F2748" s="23">
        <f>IFERROR(__xludf.DUMMYFUNCTION("""COMPUTED_VALUE"""),44846.617798263884)</f>
        <v>44846.6178</v>
      </c>
      <c r="G2748" s="24" t="str">
        <f>IFERROR(__xludf.DUMMYFUNCTION("""COMPUTED_VALUE"""),"JC")</f>
        <v>JC</v>
      </c>
      <c r="H2748" s="24">
        <f>IFERROR(__xludf.DUMMYFUNCTION("""COMPUTED_VALUE"""),1313.0)</f>
        <v>1313</v>
      </c>
      <c r="I2748" s="24" t="str">
        <f>IFERROR(__xludf.DUMMYFUNCTION("""COMPUTED_VALUE"""),"Whitebox")</f>
        <v>Whitebox</v>
      </c>
    </row>
    <row r="2749">
      <c r="A2749" s="23">
        <f>IFERROR(__xludf.DUMMYFUNCTION("""COMPUTED_VALUE"""),44770.715864861115)</f>
        <v>44770.71586</v>
      </c>
      <c r="B2749" s="24" t="str">
        <f>IFERROR(__xludf.DUMMYFUNCTION("""COMPUTED_VALUE"""),"Jean.    Extra")</f>
        <v>Jean.    Extra</v>
      </c>
      <c r="C2749" s="24">
        <f>IFERROR(__xludf.DUMMYFUNCTION("""COMPUTED_VALUE"""),8.0)</f>
        <v>8</v>
      </c>
      <c r="D2749" s="24"/>
      <c r="F2749" s="23">
        <f>IFERROR(__xludf.DUMMYFUNCTION("""COMPUTED_VALUE"""),44846.61804396991)</f>
        <v>44846.61804</v>
      </c>
      <c r="G2749" s="24" t="str">
        <f>IFERROR(__xludf.DUMMYFUNCTION("""COMPUTED_VALUE"""),"JC")</f>
        <v>JC</v>
      </c>
      <c r="H2749" s="24">
        <f>IFERROR(__xludf.DUMMYFUNCTION("""COMPUTED_VALUE"""),1311.0)</f>
        <v>1311</v>
      </c>
      <c r="I2749" s="24" t="str">
        <f>IFERROR(__xludf.DUMMYFUNCTION("""COMPUTED_VALUE"""),"Whitebox")</f>
        <v>Whitebox</v>
      </c>
    </row>
    <row r="2750">
      <c r="A2750" s="23">
        <f>IFERROR(__xludf.DUMMYFUNCTION("""COMPUTED_VALUE"""),44770.71607582176)</f>
        <v>44770.71608</v>
      </c>
      <c r="B2750" s="24" t="str">
        <f>IFERROR(__xludf.DUMMYFUNCTION("""COMPUTED_VALUE"""),"Jean")</f>
        <v>Jean</v>
      </c>
      <c r="C2750" s="24">
        <f>IFERROR(__xludf.DUMMYFUNCTION("""COMPUTED_VALUE"""),38.0)</f>
        <v>38</v>
      </c>
      <c r="D2750" s="24"/>
      <c r="F2750" s="23">
        <f>IFERROR(__xludf.DUMMYFUNCTION("""COMPUTED_VALUE"""),44846.618281539355)</f>
        <v>44846.61828</v>
      </c>
      <c r="G2750" s="24" t="str">
        <f>IFERROR(__xludf.DUMMYFUNCTION("""COMPUTED_VALUE"""),"JC")</f>
        <v>JC</v>
      </c>
      <c r="H2750" s="24">
        <f>IFERROR(__xludf.DUMMYFUNCTION("""COMPUTED_VALUE"""),1312.0)</f>
        <v>1312</v>
      </c>
      <c r="I2750" s="24" t="str">
        <f>IFERROR(__xludf.DUMMYFUNCTION("""COMPUTED_VALUE"""),"Whitebox")</f>
        <v>Whitebox</v>
      </c>
    </row>
    <row r="2751">
      <c r="A2751" s="23">
        <f>IFERROR(__xludf.DUMMYFUNCTION("""COMPUTED_VALUE"""),44770.8731991088)</f>
        <v>44770.8732</v>
      </c>
      <c r="B2751" s="24" t="str">
        <f>IFERROR(__xludf.DUMMYFUNCTION("""COMPUTED_VALUE"""),"Nate ")</f>
        <v>Nate </v>
      </c>
      <c r="C2751" s="24">
        <f>IFERROR(__xludf.DUMMYFUNCTION("""COMPUTED_VALUE"""),19.0)</f>
        <v>19</v>
      </c>
      <c r="D2751" s="24"/>
      <c r="F2751" s="23">
        <f>IFERROR(__xludf.DUMMYFUNCTION("""COMPUTED_VALUE"""),44846.61849939815)</f>
        <v>44846.6185</v>
      </c>
      <c r="G2751" s="24" t="str">
        <f>IFERROR(__xludf.DUMMYFUNCTION("""COMPUTED_VALUE"""),"JC")</f>
        <v>JC</v>
      </c>
      <c r="H2751" s="24">
        <f>IFERROR(__xludf.DUMMYFUNCTION("""COMPUTED_VALUE"""),1324.0)</f>
        <v>1324</v>
      </c>
      <c r="I2751" s="24" t="str">
        <f>IFERROR(__xludf.DUMMYFUNCTION("""COMPUTED_VALUE"""),"Whitebox")</f>
        <v>Whitebox</v>
      </c>
    </row>
    <row r="2752">
      <c r="A2752" s="23">
        <f>IFERROR(__xludf.DUMMYFUNCTION("""COMPUTED_VALUE"""),44770.873253854166)</f>
        <v>44770.87325</v>
      </c>
      <c r="B2752" s="24" t="str">
        <f>IFERROR(__xludf.DUMMYFUNCTION("""COMPUTED_VALUE"""),"Aziza ")</f>
        <v>Aziza </v>
      </c>
      <c r="C2752" s="24">
        <f>IFERROR(__xludf.DUMMYFUNCTION("""COMPUTED_VALUE"""),20.0)</f>
        <v>20</v>
      </c>
      <c r="D2752" s="24"/>
      <c r="F2752" s="23">
        <f>IFERROR(__xludf.DUMMYFUNCTION("""COMPUTED_VALUE"""),44846.61871699074)</f>
        <v>44846.61872</v>
      </c>
      <c r="G2752" s="24" t="str">
        <f>IFERROR(__xludf.DUMMYFUNCTION("""COMPUTED_VALUE"""),"JC")</f>
        <v>JC</v>
      </c>
      <c r="H2752" s="24">
        <f>IFERROR(__xludf.DUMMYFUNCTION("""COMPUTED_VALUE"""),863.0)</f>
        <v>863</v>
      </c>
      <c r="I2752" s="24" t="str">
        <f>IFERROR(__xludf.DUMMYFUNCTION("""COMPUTED_VALUE"""),"Whitebox")</f>
        <v>Whitebox</v>
      </c>
    </row>
    <row r="2753">
      <c r="A2753" s="23">
        <f>IFERROR(__xludf.DUMMYFUNCTION("""COMPUTED_VALUE"""),44771.0)</f>
        <v>44771</v>
      </c>
      <c r="B2753" s="24" t="str">
        <f>IFERROR(__xludf.DUMMYFUNCTION("""COMPUTED_VALUE"""),"Juanita c")</f>
        <v>Juanita c</v>
      </c>
      <c r="C2753" s="24">
        <f>IFERROR(__xludf.DUMMYFUNCTION("""COMPUTED_VALUE"""),20.0)</f>
        <v>20</v>
      </c>
      <c r="D2753" s="24"/>
      <c r="F2753" s="23">
        <f>IFERROR(__xludf.DUMMYFUNCTION("""COMPUTED_VALUE"""),44846.6189482176)</f>
        <v>44846.61895</v>
      </c>
      <c r="G2753" s="24" t="str">
        <f>IFERROR(__xludf.DUMMYFUNCTION("""COMPUTED_VALUE"""),"JC")</f>
        <v>JC</v>
      </c>
      <c r="H2753" s="24">
        <f>IFERROR(__xludf.DUMMYFUNCTION("""COMPUTED_VALUE"""),1321.0)</f>
        <v>1321</v>
      </c>
      <c r="I2753" s="24" t="str">
        <f>IFERROR(__xludf.DUMMYFUNCTION("""COMPUTED_VALUE"""),"Whitebox")</f>
        <v>Whitebox</v>
      </c>
    </row>
    <row r="2754">
      <c r="A2754" s="23">
        <f>IFERROR(__xludf.DUMMYFUNCTION("""COMPUTED_VALUE"""),44771.0)</f>
        <v>44771</v>
      </c>
      <c r="B2754" s="24" t="str">
        <f>IFERROR(__xludf.DUMMYFUNCTION("""COMPUTED_VALUE"""),"Juanita c")</f>
        <v>Juanita c</v>
      </c>
      <c r="C2754" s="24">
        <f>IFERROR(__xludf.DUMMYFUNCTION("""COMPUTED_VALUE"""),22.0)</f>
        <v>22</v>
      </c>
      <c r="D2754" s="24"/>
      <c r="F2754" s="23">
        <f>IFERROR(__xludf.DUMMYFUNCTION("""COMPUTED_VALUE"""),44846.6192419213)</f>
        <v>44846.61924</v>
      </c>
      <c r="G2754" s="24" t="str">
        <f>IFERROR(__xludf.DUMMYFUNCTION("""COMPUTED_VALUE"""),"JC")</f>
        <v>JC</v>
      </c>
      <c r="H2754" s="24">
        <f>IFERROR(__xludf.DUMMYFUNCTION("""COMPUTED_VALUE"""),1322.0)</f>
        <v>1322</v>
      </c>
      <c r="I2754" s="24" t="str">
        <f>IFERROR(__xludf.DUMMYFUNCTION("""COMPUTED_VALUE"""),"Whitebox")</f>
        <v>Whitebox</v>
      </c>
    </row>
    <row r="2755">
      <c r="A2755" s="23">
        <f>IFERROR(__xludf.DUMMYFUNCTION("""COMPUTED_VALUE"""),44771.66496589121)</f>
        <v>44771.66497</v>
      </c>
      <c r="B2755" s="24" t="str">
        <f>IFERROR(__xludf.DUMMYFUNCTION("""COMPUTED_VALUE"""),"Lynette ")</f>
        <v>Lynette </v>
      </c>
      <c r="C2755" s="24">
        <f>IFERROR(__xludf.DUMMYFUNCTION("""COMPUTED_VALUE"""),20.0)</f>
        <v>20</v>
      </c>
      <c r="D2755" s="24"/>
      <c r="F2755" s="23">
        <f>IFERROR(__xludf.DUMMYFUNCTION("""COMPUTED_VALUE"""),44846.61947521991)</f>
        <v>44846.61948</v>
      </c>
      <c r="G2755" s="24" t="str">
        <f>IFERROR(__xludf.DUMMYFUNCTION("""COMPUTED_VALUE"""),"JC")</f>
        <v>JC</v>
      </c>
      <c r="H2755" s="24">
        <f>IFERROR(__xludf.DUMMYFUNCTION("""COMPUTED_VALUE"""),1327.0)</f>
        <v>1327</v>
      </c>
      <c r="I2755" s="24" t="str">
        <f>IFERROR(__xludf.DUMMYFUNCTION("""COMPUTED_VALUE"""),"Whitebox")</f>
        <v>Whitebox</v>
      </c>
    </row>
    <row r="2756">
      <c r="A2756" s="23">
        <f>IFERROR(__xludf.DUMMYFUNCTION("""COMPUTED_VALUE"""),44771.6954625463)</f>
        <v>44771.69546</v>
      </c>
      <c r="B2756" s="24" t="str">
        <f>IFERROR(__xludf.DUMMYFUNCTION("""COMPUTED_VALUE"""),"Beth Torres")</f>
        <v>Beth Torres</v>
      </c>
      <c r="C2756" s="24">
        <f>IFERROR(__xludf.DUMMYFUNCTION("""COMPUTED_VALUE"""),15.0)</f>
        <v>15</v>
      </c>
      <c r="D2756" s="24"/>
      <c r="F2756" s="23">
        <f>IFERROR(__xludf.DUMMYFUNCTION("""COMPUTED_VALUE"""),44846.61973680555)</f>
        <v>44846.61974</v>
      </c>
      <c r="G2756" s="24" t="str">
        <f>IFERROR(__xludf.DUMMYFUNCTION("""COMPUTED_VALUE"""),"JC")</f>
        <v>JC</v>
      </c>
      <c r="H2756" s="24">
        <f>IFERROR(__xludf.DUMMYFUNCTION("""COMPUTED_VALUE"""),1094.0)</f>
        <v>1094</v>
      </c>
      <c r="I2756" s="24" t="str">
        <f>IFERROR(__xludf.DUMMYFUNCTION("""COMPUTED_VALUE"""),"Whitebox")</f>
        <v>Whitebox</v>
      </c>
    </row>
    <row r="2757">
      <c r="A2757" s="23">
        <f>IFERROR(__xludf.DUMMYFUNCTION("""COMPUTED_VALUE"""),44771.695656909724)</f>
        <v>44771.69566</v>
      </c>
      <c r="B2757" s="24" t="str">
        <f>IFERROR(__xludf.DUMMYFUNCTION("""COMPUTED_VALUE"""),"Beth Torres")</f>
        <v>Beth Torres</v>
      </c>
      <c r="C2757" s="24">
        <f>IFERROR(__xludf.DUMMYFUNCTION("""COMPUTED_VALUE"""),31.0)</f>
        <v>31</v>
      </c>
      <c r="D2757" s="24"/>
      <c r="F2757" s="23">
        <f>IFERROR(__xludf.DUMMYFUNCTION("""COMPUTED_VALUE"""),44846.70847859953)</f>
        <v>44846.70848</v>
      </c>
      <c r="G2757" s="24" t="str">
        <f>IFERROR(__xludf.DUMMYFUNCTION("""COMPUTED_VALUE"""),"Juanita Chandler ")</f>
        <v>Juanita Chandler </v>
      </c>
      <c r="H2757" s="24">
        <f>IFERROR(__xludf.DUMMYFUNCTION("""COMPUTED_VALUE"""),16.0)</f>
        <v>16</v>
      </c>
      <c r="I2757" s="24" t="str">
        <f>IFERROR(__xludf.DUMMYFUNCTION("""COMPUTED_VALUE"""),"Regular (up to 20lbs)")</f>
        <v>Regular (up to 20lbs)</v>
      </c>
    </row>
    <row r="2758">
      <c r="A2758" s="23">
        <f>IFERROR(__xludf.DUMMYFUNCTION("""COMPUTED_VALUE"""),44771.70791452547)</f>
        <v>44771.70791</v>
      </c>
      <c r="B2758" s="24" t="str">
        <f>IFERROR(__xludf.DUMMYFUNCTION("""COMPUTED_VALUE"""),"Sunita Pathik")</f>
        <v>Sunita Pathik</v>
      </c>
      <c r="C2758" s="24">
        <f>IFERROR(__xludf.DUMMYFUNCTION("""COMPUTED_VALUE"""),20.0)</f>
        <v>20</v>
      </c>
      <c r="D2758" s="24"/>
      <c r="F2758" s="23">
        <f>IFERROR(__xludf.DUMMYFUNCTION("""COMPUTED_VALUE"""),44846.708971099535)</f>
        <v>44846.70897</v>
      </c>
      <c r="G2758" s="24" t="str">
        <f>IFERROR(__xludf.DUMMYFUNCTION("""COMPUTED_VALUE"""),"Juanita Chandler ")</f>
        <v>Juanita Chandler </v>
      </c>
      <c r="H2758" s="24">
        <f>IFERROR(__xludf.DUMMYFUNCTION("""COMPUTED_VALUE"""),9.0)</f>
        <v>9</v>
      </c>
      <c r="I2758" s="24" t="str">
        <f>IFERROR(__xludf.DUMMYFUNCTION("""COMPUTED_VALUE"""),"Damage/expired/extra")</f>
        <v>Damage/expired/extra</v>
      </c>
    </row>
    <row r="2759">
      <c r="A2759" s="23">
        <f>IFERROR(__xludf.DUMMYFUNCTION("""COMPUTED_VALUE"""),44771.70805795139)</f>
        <v>44771.70806</v>
      </c>
      <c r="B2759" s="24" t="str">
        <f>IFERROR(__xludf.DUMMYFUNCTION("""COMPUTED_VALUE"""),"Sunita Pathik extra")</f>
        <v>Sunita Pathik extra</v>
      </c>
      <c r="C2759" s="24">
        <f>IFERROR(__xludf.DUMMYFUNCTION("""COMPUTED_VALUE"""),2.0)</f>
        <v>2</v>
      </c>
      <c r="D2759" s="24"/>
      <c r="F2759" s="23">
        <f>IFERROR(__xludf.DUMMYFUNCTION("""COMPUTED_VALUE"""),44846.7330596412)</f>
        <v>44846.73306</v>
      </c>
      <c r="G2759" s="24" t="str">
        <f>IFERROR(__xludf.DUMMYFUNCTION("""COMPUTED_VALUE"""),"Juanita Chandler ")</f>
        <v>Juanita Chandler </v>
      </c>
      <c r="H2759" s="24">
        <f>IFERROR(__xludf.DUMMYFUNCTION("""COMPUTED_VALUE"""),11.0)</f>
        <v>11</v>
      </c>
      <c r="I2759" s="24" t="str">
        <f>IFERROR(__xludf.DUMMYFUNCTION("""COMPUTED_VALUE"""),"Damage/expired/extra")</f>
        <v>Damage/expired/extra</v>
      </c>
    </row>
    <row r="2760">
      <c r="A2760" s="23">
        <f>IFERROR(__xludf.DUMMYFUNCTION("""COMPUTED_VALUE"""),44772.0)</f>
        <v>44772</v>
      </c>
      <c r="B2760" s="24" t="str">
        <f>IFERROR(__xludf.DUMMYFUNCTION("""COMPUTED_VALUE"""),"Cheryl Utsey")</f>
        <v>Cheryl Utsey</v>
      </c>
      <c r="C2760" s="24">
        <f>IFERROR(__xludf.DUMMYFUNCTION("""COMPUTED_VALUE"""),19.0)</f>
        <v>19</v>
      </c>
      <c r="D2760" s="24"/>
      <c r="F2760" s="23">
        <f>IFERROR(__xludf.DUMMYFUNCTION("""COMPUTED_VALUE"""),44846.79261186343)</f>
        <v>44846.79261</v>
      </c>
      <c r="G2760" s="24" t="str">
        <f>IFERROR(__xludf.DUMMYFUNCTION("""COMPUTED_VALUE"""),"Lynnette c")</f>
        <v>Lynnette c</v>
      </c>
      <c r="H2760" s="24">
        <f>IFERROR(__xludf.DUMMYFUNCTION("""COMPUTED_VALUE"""),2.0)</f>
        <v>2</v>
      </c>
      <c r="I2760" s="24" t="str">
        <f>IFERROR(__xludf.DUMMYFUNCTION("""COMPUTED_VALUE"""),"Damage/expired/extra")</f>
        <v>Damage/expired/extra</v>
      </c>
    </row>
    <row r="2761">
      <c r="A2761" s="23">
        <f>IFERROR(__xludf.DUMMYFUNCTION("""COMPUTED_VALUE"""),44772.0)</f>
        <v>44772</v>
      </c>
      <c r="B2761" s="24" t="str">
        <f>IFERROR(__xludf.DUMMYFUNCTION("""COMPUTED_VALUE"""),"Denise Brown")</f>
        <v>Denise Brown</v>
      </c>
      <c r="C2761" s="24">
        <f>IFERROR(__xludf.DUMMYFUNCTION("""COMPUTED_VALUE"""),13.0)</f>
        <v>13</v>
      </c>
      <c r="D2761" s="24"/>
      <c r="F2761" s="23">
        <f>IFERROR(__xludf.DUMMYFUNCTION("""COMPUTED_VALUE"""),44846.79312978009)</f>
        <v>44846.79313</v>
      </c>
      <c r="G2761" s="24" t="str">
        <f>IFERROR(__xludf.DUMMYFUNCTION("""COMPUTED_VALUE"""),"Lynnette ")</f>
        <v>Lynnette </v>
      </c>
      <c r="H2761" s="24">
        <f>IFERROR(__xludf.DUMMYFUNCTION("""COMPUTED_VALUE"""),5.0)</f>
        <v>5</v>
      </c>
      <c r="I2761" s="24" t="str">
        <f>IFERROR(__xludf.DUMMYFUNCTION("""COMPUTED_VALUE"""),"Regular (up to 20lbs)")</f>
        <v>Regular (up to 20lbs)</v>
      </c>
    </row>
    <row r="2762">
      <c r="A2762" s="23">
        <f>IFERROR(__xludf.DUMMYFUNCTION("""COMPUTED_VALUE"""),44772.0)</f>
        <v>44772</v>
      </c>
      <c r="B2762" s="24" t="str">
        <f>IFERROR(__xludf.DUMMYFUNCTION("""COMPUTED_VALUE"""),"Janet Lomax")</f>
        <v>Janet Lomax</v>
      </c>
      <c r="C2762" s="24">
        <f>IFERROR(__xludf.DUMMYFUNCTION("""COMPUTED_VALUE"""),20.0)</f>
        <v>20</v>
      </c>
      <c r="D2762" s="24"/>
      <c r="F2762" s="23">
        <f>IFERROR(__xludf.DUMMYFUNCTION("""COMPUTED_VALUE"""),44846.85472612269)</f>
        <v>44846.85473</v>
      </c>
      <c r="G2762" s="24" t="str">
        <f>IFERROR(__xludf.DUMMYFUNCTION("""COMPUTED_VALUE"""),"Connor Gephart")</f>
        <v>Connor Gephart</v>
      </c>
      <c r="H2762" s="24">
        <f>IFERROR(__xludf.DUMMYFUNCTION("""COMPUTED_VALUE"""),19.0)</f>
        <v>19</v>
      </c>
      <c r="I2762" s="24" t="str">
        <f>IFERROR(__xludf.DUMMYFUNCTION("""COMPUTED_VALUE"""),"Regular (up to 20lbs)")</f>
        <v>Regular (up to 20lbs)</v>
      </c>
    </row>
    <row r="2763">
      <c r="A2763" s="23">
        <f>IFERROR(__xludf.DUMMYFUNCTION("""COMPUTED_VALUE"""),44772.0)</f>
        <v>44772</v>
      </c>
      <c r="B2763" s="24" t="str">
        <f>IFERROR(__xludf.DUMMYFUNCTION("""COMPUTED_VALUE"""),"M Angeles")</f>
        <v>M Angeles</v>
      </c>
      <c r="C2763" s="24">
        <f>IFERROR(__xludf.DUMMYFUNCTION("""COMPUTED_VALUE"""),20.0)</f>
        <v>20</v>
      </c>
      <c r="D2763" s="24"/>
      <c r="F2763" s="23">
        <f>IFERROR(__xludf.DUMMYFUNCTION("""COMPUTED_VALUE"""),44846.861423773145)</f>
        <v>44846.86142</v>
      </c>
      <c r="G2763" s="24" t="str">
        <f>IFERROR(__xludf.DUMMYFUNCTION("""COMPUTED_VALUE"""),"Luke mayhew")</f>
        <v>Luke mayhew</v>
      </c>
      <c r="H2763" s="24">
        <f>IFERROR(__xludf.DUMMYFUNCTION("""COMPUTED_VALUE"""),20.0)</f>
        <v>20</v>
      </c>
      <c r="I2763" s="24" t="str">
        <f>IFERROR(__xludf.DUMMYFUNCTION("""COMPUTED_VALUE"""),"Regular (up to 20lbs)")</f>
        <v>Regular (up to 20lbs)</v>
      </c>
    </row>
    <row r="2764">
      <c r="A2764" s="23">
        <f>IFERROR(__xludf.DUMMYFUNCTION("""COMPUTED_VALUE"""),44772.0)</f>
        <v>44772</v>
      </c>
      <c r="B2764" s="24" t="str">
        <f>IFERROR(__xludf.DUMMYFUNCTION("""COMPUTED_VALUE"""),"M Angeles")</f>
        <v>M Angeles</v>
      </c>
      <c r="C2764" s="24">
        <f>IFERROR(__xludf.DUMMYFUNCTION("""COMPUTED_VALUE"""),8.0)</f>
        <v>8</v>
      </c>
      <c r="D2764" s="24"/>
      <c r="F2764" s="23">
        <f>IFERROR(__xludf.DUMMYFUNCTION("""COMPUTED_VALUE"""),44846.86349905093)</f>
        <v>44846.8635</v>
      </c>
      <c r="G2764" s="24" t="str">
        <f>IFERROR(__xludf.DUMMYFUNCTION("""COMPUTED_VALUE"""),"Dee Satterfield Richards")</f>
        <v>Dee Satterfield Richards</v>
      </c>
      <c r="H2764" s="24">
        <f>IFERROR(__xludf.DUMMYFUNCTION("""COMPUTED_VALUE"""),20.0)</f>
        <v>20</v>
      </c>
      <c r="I2764" s="24" t="str">
        <f>IFERROR(__xludf.DUMMYFUNCTION("""COMPUTED_VALUE"""),"Regular (up to 20lbs)")</f>
        <v>Regular (up to 20lbs)</v>
      </c>
    </row>
    <row r="2765">
      <c r="A2765" s="23">
        <f>IFERROR(__xludf.DUMMYFUNCTION("""COMPUTED_VALUE"""),44772.0)</f>
        <v>44772</v>
      </c>
      <c r="B2765" s="24" t="str">
        <f>IFERROR(__xludf.DUMMYFUNCTION("""COMPUTED_VALUE"""),"Gilda")</f>
        <v>Gilda</v>
      </c>
      <c r="C2765" s="24">
        <f>IFERROR(__xludf.DUMMYFUNCTION("""COMPUTED_VALUE"""),17.0)</f>
        <v>17</v>
      </c>
      <c r="D2765" s="24"/>
      <c r="F2765" s="23">
        <f>IFERROR(__xludf.DUMMYFUNCTION("""COMPUTED_VALUE"""),44846.86383216435)</f>
        <v>44846.86383</v>
      </c>
      <c r="G2765" s="24" t="str">
        <f>IFERROR(__xludf.DUMMYFUNCTION("""COMPUTED_VALUE""")," Dee Satterfield Richards")</f>
        <v> Dee Satterfield Richards</v>
      </c>
      <c r="H2765" s="24">
        <f>IFERROR(__xludf.DUMMYFUNCTION("""COMPUTED_VALUE"""),15.0)</f>
        <v>15</v>
      </c>
      <c r="I2765" s="24" t="str">
        <f>IFERROR(__xludf.DUMMYFUNCTION("""COMPUTED_VALUE"""),"Damage/expired/extra")</f>
        <v>Damage/expired/extra</v>
      </c>
    </row>
    <row r="2766">
      <c r="A2766" s="23">
        <f>IFERROR(__xludf.DUMMYFUNCTION("""COMPUTED_VALUE"""),44772.0)</f>
        <v>44772</v>
      </c>
      <c r="B2766" s="24" t="str">
        <f>IFERROR(__xludf.DUMMYFUNCTION("""COMPUTED_VALUE"""),"Clarice")</f>
        <v>Clarice</v>
      </c>
      <c r="C2766" s="24">
        <f>IFERROR(__xludf.DUMMYFUNCTION("""COMPUTED_VALUE"""),40.0)</f>
        <v>40</v>
      </c>
      <c r="D2766" s="24"/>
      <c r="F2766" s="23">
        <f>IFERROR(__xludf.DUMMYFUNCTION("""COMPUTED_VALUE"""),44846.872638773144)</f>
        <v>44846.87264</v>
      </c>
      <c r="G2766" s="24" t="str">
        <f>IFERROR(__xludf.DUMMYFUNCTION("""COMPUTED_VALUE"""),"Luke mayhew ")</f>
        <v>Luke mayhew </v>
      </c>
      <c r="H2766" s="24">
        <f>IFERROR(__xludf.DUMMYFUNCTION("""COMPUTED_VALUE"""),10.0)</f>
        <v>10</v>
      </c>
      <c r="I2766" s="24" t="str">
        <f>IFERROR(__xludf.DUMMYFUNCTION("""COMPUTED_VALUE"""),"Damage/expired/extra")</f>
        <v>Damage/expired/extra</v>
      </c>
    </row>
    <row r="2767">
      <c r="A2767" s="23">
        <f>IFERROR(__xludf.DUMMYFUNCTION("""COMPUTED_VALUE"""),44772.695657523145)</f>
        <v>44772.69566</v>
      </c>
      <c r="B2767" s="24" t="str">
        <f>IFERROR(__xludf.DUMMYFUNCTION("""COMPUTED_VALUE"""),"Gabriela")</f>
        <v>Gabriela</v>
      </c>
      <c r="C2767" s="24">
        <f>IFERROR(__xludf.DUMMYFUNCTION("""COMPUTED_VALUE"""),19.0)</f>
        <v>19</v>
      </c>
      <c r="D2767" s="24"/>
      <c r="F2767" s="23">
        <f>IFERROR(__xludf.DUMMYFUNCTION("""COMPUTED_VALUE"""),44847.0)</f>
        <v>44847</v>
      </c>
      <c r="G2767" s="24" t="str">
        <f>IFERROR(__xludf.DUMMYFUNCTION("""COMPUTED_VALUE"""),"Melissa Thomas")</f>
        <v>Melissa Thomas</v>
      </c>
      <c r="H2767" s="24">
        <f>IFERROR(__xludf.DUMMYFUNCTION("""COMPUTED_VALUE"""),20.0)</f>
        <v>20</v>
      </c>
      <c r="I2767" s="24" t="str">
        <f>IFERROR(__xludf.DUMMYFUNCTION("""COMPUTED_VALUE"""),"Regular (up to 20lbs)")</f>
        <v>Regular (up to 20lbs)</v>
      </c>
    </row>
    <row r="2768">
      <c r="A2768" s="23">
        <f>IFERROR(__xludf.DUMMYFUNCTION("""COMPUTED_VALUE"""),44772.0)</f>
        <v>44772</v>
      </c>
      <c r="B2768" s="24" t="str">
        <f>IFERROR(__xludf.DUMMYFUNCTION("""COMPUTED_VALUE"""),"Gabriela")</f>
        <v>Gabriela</v>
      </c>
      <c r="C2768" s="24">
        <f>IFERROR(__xludf.DUMMYFUNCTION("""COMPUTED_VALUE"""),7.0)</f>
        <v>7</v>
      </c>
      <c r="D2768" s="24"/>
      <c r="F2768" s="23">
        <f>IFERROR(__xludf.DUMMYFUNCTION("""COMPUTED_VALUE"""),44847.0)</f>
        <v>44847</v>
      </c>
      <c r="G2768" s="24" t="str">
        <f>IFERROR(__xludf.DUMMYFUNCTION("""COMPUTED_VALUE"""),"Melissa Thomas")</f>
        <v>Melissa Thomas</v>
      </c>
      <c r="H2768" s="24">
        <f>IFERROR(__xludf.DUMMYFUNCTION("""COMPUTED_VALUE"""),20.0)</f>
        <v>20</v>
      </c>
      <c r="I2768" s="24" t="str">
        <f>IFERROR(__xludf.DUMMYFUNCTION("""COMPUTED_VALUE"""),"Damage/expired/extra")</f>
        <v>Damage/expired/extra</v>
      </c>
    </row>
    <row r="2769">
      <c r="A2769" s="23">
        <f>IFERROR(__xludf.DUMMYFUNCTION("""COMPUTED_VALUE"""),44772.70205893519)</f>
        <v>44772.70206</v>
      </c>
      <c r="B2769" s="24" t="str">
        <f>IFERROR(__xludf.DUMMYFUNCTION("""COMPUTED_VALUE"""),"Rilynn")</f>
        <v>Rilynn</v>
      </c>
      <c r="C2769" s="24">
        <f>IFERROR(__xludf.DUMMYFUNCTION("""COMPUTED_VALUE"""),21.0)</f>
        <v>21</v>
      </c>
      <c r="D2769" s="24"/>
      <c r="F2769" s="23">
        <f>IFERROR(__xludf.DUMMYFUNCTION("""COMPUTED_VALUE"""),44847.0)</f>
        <v>44847</v>
      </c>
      <c r="G2769" s="24" t="str">
        <f>IFERROR(__xludf.DUMMYFUNCTION("""COMPUTED_VALUE"""),"Nathaniel McClean")</f>
        <v>Nathaniel McClean</v>
      </c>
      <c r="H2769" s="24">
        <f>IFERROR(__xludf.DUMMYFUNCTION("""COMPUTED_VALUE"""),19.0)</f>
        <v>19</v>
      </c>
      <c r="I2769" s="24" t="str">
        <f>IFERROR(__xludf.DUMMYFUNCTION("""COMPUTED_VALUE"""),"Regular (up to 20lbs)")</f>
        <v>Regular (up to 20lbs)</v>
      </c>
    </row>
    <row r="2770">
      <c r="A2770" s="23">
        <f>IFERROR(__xludf.DUMMYFUNCTION("""COMPUTED_VALUE"""),44772.0)</f>
        <v>44772</v>
      </c>
      <c r="B2770" s="24" t="str">
        <f>IFERROR(__xludf.DUMMYFUNCTION("""COMPUTED_VALUE"""),"Rilynn")</f>
        <v>Rilynn</v>
      </c>
      <c r="C2770" s="24">
        <f>IFERROR(__xludf.DUMMYFUNCTION("""COMPUTED_VALUE"""),3.0)</f>
        <v>3</v>
      </c>
      <c r="D2770" s="24"/>
      <c r="F2770" s="23">
        <f>IFERROR(__xludf.DUMMYFUNCTION("""COMPUTED_VALUE"""),44847.0)</f>
        <v>44847</v>
      </c>
      <c r="G2770" s="24" t="str">
        <f>IFERROR(__xludf.DUMMYFUNCTION("""COMPUTED_VALUE"""),"Nathaniel McClean")</f>
        <v>Nathaniel McClean</v>
      </c>
      <c r="H2770" s="24">
        <f>IFERROR(__xludf.DUMMYFUNCTION("""COMPUTED_VALUE"""),5.0)</f>
        <v>5</v>
      </c>
      <c r="I2770" s="24" t="str">
        <f>IFERROR(__xludf.DUMMYFUNCTION("""COMPUTED_VALUE"""),"Damage/expired/extra")</f>
        <v>Damage/expired/extra</v>
      </c>
    </row>
    <row r="2771">
      <c r="A2771" s="23">
        <f>IFERROR(__xludf.DUMMYFUNCTION("""COMPUTED_VALUE"""),44772.70230526621)</f>
        <v>44772.70231</v>
      </c>
      <c r="B2771" s="24" t="str">
        <f>IFERROR(__xludf.DUMMYFUNCTION("""COMPUTED_VALUE"""),"Tyrese")</f>
        <v>Tyrese</v>
      </c>
      <c r="C2771" s="24">
        <f>IFERROR(__xludf.DUMMYFUNCTION("""COMPUTED_VALUE"""),19.0)</f>
        <v>19</v>
      </c>
      <c r="D2771" s="24"/>
      <c r="F2771" s="23">
        <f>IFERROR(__xludf.DUMMYFUNCTION("""COMPUTED_VALUE"""),44847.6929562963)</f>
        <v>44847.69296</v>
      </c>
      <c r="G2771" s="24" t="str">
        <f>IFERROR(__xludf.DUMMYFUNCTION("""COMPUTED_VALUE"""),"Bertille")</f>
        <v>Bertille</v>
      </c>
      <c r="H2771" s="24">
        <f>IFERROR(__xludf.DUMMYFUNCTION("""COMPUTED_VALUE"""),10.0)</f>
        <v>10</v>
      </c>
      <c r="I2771" s="24" t="str">
        <f>IFERROR(__xludf.DUMMYFUNCTION("""COMPUTED_VALUE"""),"Regular (up to 20lbs)")</f>
        <v>Regular (up to 20lbs)</v>
      </c>
    </row>
    <row r="2772">
      <c r="A2772" s="23">
        <f>IFERROR(__xludf.DUMMYFUNCTION("""COMPUTED_VALUE"""),44772.70496222222)</f>
        <v>44772.70496</v>
      </c>
      <c r="B2772" s="24" t="str">
        <f>IFERROR(__xludf.DUMMYFUNCTION("""COMPUTED_VALUE"""),"Beverly Pinn")</f>
        <v>Beverly Pinn</v>
      </c>
      <c r="C2772" s="24">
        <f>IFERROR(__xludf.DUMMYFUNCTION("""COMPUTED_VALUE"""),19.0)</f>
        <v>19</v>
      </c>
      <c r="D2772" s="24"/>
      <c r="F2772" s="23">
        <f>IFERROR(__xludf.DUMMYFUNCTION("""COMPUTED_VALUE"""),44847.69345210648)</f>
        <v>44847.69345</v>
      </c>
      <c r="G2772" s="24" t="str">
        <f>IFERROR(__xludf.DUMMYFUNCTION("""COMPUTED_VALUE"""),"Bertille")</f>
        <v>Bertille</v>
      </c>
      <c r="H2772" s="24">
        <f>IFERROR(__xludf.DUMMYFUNCTION("""COMPUTED_VALUE"""),4.0)</f>
        <v>4</v>
      </c>
      <c r="I2772" s="24" t="str">
        <f>IFERROR(__xludf.DUMMYFUNCTION("""COMPUTED_VALUE"""),"Damage/expired/extra")</f>
        <v>Damage/expired/extra</v>
      </c>
    </row>
    <row r="2773">
      <c r="A2773" s="23">
        <f>IFERROR(__xludf.DUMMYFUNCTION("""COMPUTED_VALUE"""),44772.72031684028)</f>
        <v>44772.72032</v>
      </c>
      <c r="B2773" s="24" t="str">
        <f>IFERROR(__xludf.DUMMYFUNCTION("""COMPUTED_VALUE"""),"Dean Chien")</f>
        <v>Dean Chien</v>
      </c>
      <c r="C2773" s="24">
        <f>IFERROR(__xludf.DUMMYFUNCTION("""COMPUTED_VALUE"""),20.0)</f>
        <v>20</v>
      </c>
      <c r="D2773" s="24"/>
      <c r="F2773" s="23">
        <f>IFERROR(__xludf.DUMMYFUNCTION("""COMPUTED_VALUE"""),44847.69435827546)</f>
        <v>44847.69436</v>
      </c>
      <c r="G2773" s="24" t="str">
        <f>IFERROR(__xludf.DUMMYFUNCTION("""COMPUTED_VALUE"""),"Norma")</f>
        <v>Norma</v>
      </c>
      <c r="H2773" s="24">
        <f>IFERROR(__xludf.DUMMYFUNCTION("""COMPUTED_VALUE"""),17.0)</f>
        <v>17</v>
      </c>
      <c r="I2773" s="24" t="str">
        <f>IFERROR(__xludf.DUMMYFUNCTION("""COMPUTED_VALUE"""),"Regular (up to 20lbs)")</f>
        <v>Regular (up to 20lbs)</v>
      </c>
    </row>
    <row r="2774">
      <c r="A2774" s="23">
        <f>IFERROR(__xludf.DUMMYFUNCTION("""COMPUTED_VALUE"""),44772.0)</f>
        <v>44772</v>
      </c>
      <c r="B2774" s="24" t="str">
        <f>IFERROR(__xludf.DUMMYFUNCTION("""COMPUTED_VALUE"""),"Dean Chien")</f>
        <v>Dean Chien</v>
      </c>
      <c r="C2774" s="24">
        <f>IFERROR(__xludf.DUMMYFUNCTION("""COMPUTED_VALUE"""),7.0)</f>
        <v>7</v>
      </c>
      <c r="D2774" s="24"/>
      <c r="F2774" s="23">
        <f>IFERROR(__xludf.DUMMYFUNCTION("""COMPUTED_VALUE"""),44847.694678125)</f>
        <v>44847.69468</v>
      </c>
      <c r="G2774" s="24" t="str">
        <f>IFERROR(__xludf.DUMMYFUNCTION("""COMPUTED_VALUE"""),"Norma")</f>
        <v>Norma</v>
      </c>
      <c r="H2774" s="24">
        <f>IFERROR(__xludf.DUMMYFUNCTION("""COMPUTED_VALUE"""),4.0)</f>
        <v>4</v>
      </c>
      <c r="I2774" s="24" t="str">
        <f>IFERROR(__xludf.DUMMYFUNCTION("""COMPUTED_VALUE"""),"Damage/expired/extra")</f>
        <v>Damage/expired/extra</v>
      </c>
    </row>
    <row r="2775">
      <c r="A2775" s="23">
        <f>IFERROR(__xludf.DUMMYFUNCTION("""COMPUTED_VALUE"""),44773.0)</f>
        <v>44773</v>
      </c>
      <c r="B2775" s="24" t="str">
        <f>IFERROR(__xludf.DUMMYFUNCTION("""COMPUTED_VALUE"""),"Marci")</f>
        <v>Marci</v>
      </c>
      <c r="C2775" s="24">
        <f>IFERROR(__xludf.DUMMYFUNCTION("""COMPUTED_VALUE"""),18.0)</f>
        <v>18</v>
      </c>
      <c r="D2775" s="24"/>
      <c r="F2775" s="23">
        <f>IFERROR(__xludf.DUMMYFUNCTION("""COMPUTED_VALUE"""),44847.83851945602)</f>
        <v>44847.83852</v>
      </c>
      <c r="G2775" s="24" t="str">
        <f>IFERROR(__xludf.DUMMYFUNCTION("""COMPUTED_VALUE"""),"Adeola Sulaiman ")</f>
        <v>Adeola Sulaiman </v>
      </c>
      <c r="H2775" s="24">
        <f>IFERROR(__xludf.DUMMYFUNCTION("""COMPUTED_VALUE"""),20.0)</f>
        <v>20</v>
      </c>
      <c r="I2775" s="24" t="str">
        <f>IFERROR(__xludf.DUMMYFUNCTION("""COMPUTED_VALUE"""),"Regular (up to 20lbs)")</f>
        <v>Regular (up to 20lbs)</v>
      </c>
    </row>
    <row r="2776">
      <c r="A2776" s="23">
        <f>IFERROR(__xludf.DUMMYFUNCTION("""COMPUTED_VALUE"""),44773.0)</f>
        <v>44773</v>
      </c>
      <c r="B2776" s="24" t="str">
        <f>IFERROR(__xludf.DUMMYFUNCTION("""COMPUTED_VALUE"""),"Marci")</f>
        <v>Marci</v>
      </c>
      <c r="C2776" s="24">
        <f>IFERROR(__xludf.DUMMYFUNCTION("""COMPUTED_VALUE"""),58.0)</f>
        <v>58</v>
      </c>
      <c r="D2776" s="24"/>
      <c r="F2776" s="23">
        <f>IFERROR(__xludf.DUMMYFUNCTION("""COMPUTED_VALUE"""),44847.83867498842)</f>
        <v>44847.83867</v>
      </c>
      <c r="G2776" s="24" t="str">
        <f>IFERROR(__xludf.DUMMYFUNCTION("""COMPUTED_VALUE"""),"adeola sulaiman")</f>
        <v>adeola sulaiman</v>
      </c>
      <c r="H2776" s="24">
        <f>IFERROR(__xludf.DUMMYFUNCTION("""COMPUTED_VALUE"""),3.0)</f>
        <v>3</v>
      </c>
      <c r="I2776" s="24" t="str">
        <f>IFERROR(__xludf.DUMMYFUNCTION("""COMPUTED_VALUE"""),"Damage/expired/extra")</f>
        <v>Damage/expired/extra</v>
      </c>
    </row>
    <row r="2777">
      <c r="A2777" s="23">
        <f>IFERROR(__xludf.DUMMYFUNCTION("""COMPUTED_VALUE"""),44773.0)</f>
        <v>44773</v>
      </c>
      <c r="B2777" s="24" t="str">
        <f>IFERROR(__xludf.DUMMYFUNCTION("""COMPUTED_VALUE"""),"Travis James")</f>
        <v>Travis James</v>
      </c>
      <c r="C2777" s="24">
        <f>IFERROR(__xludf.DUMMYFUNCTION("""COMPUTED_VALUE"""),20.0)</f>
        <v>20</v>
      </c>
      <c r="D2777" s="24"/>
      <c r="F2777" s="23">
        <f>IFERROR(__xludf.DUMMYFUNCTION("""COMPUTED_VALUE"""),44847.84021746528)</f>
        <v>44847.84022</v>
      </c>
      <c r="G2777" s="24" t="str">
        <f>IFERROR(__xludf.DUMMYFUNCTION("""COMPUTED_VALUE"""),"Sheneil")</f>
        <v>Sheneil</v>
      </c>
      <c r="H2777" s="24">
        <f>IFERROR(__xludf.DUMMYFUNCTION("""COMPUTED_VALUE"""),19.0)</f>
        <v>19</v>
      </c>
      <c r="I2777" s="24" t="str">
        <f>IFERROR(__xludf.DUMMYFUNCTION("""COMPUTED_VALUE"""),"Regular (up to 20lbs)")</f>
        <v>Regular (up to 20lbs)</v>
      </c>
    </row>
    <row r="2778">
      <c r="A2778" s="23">
        <f>IFERROR(__xludf.DUMMYFUNCTION("""COMPUTED_VALUE"""),44773.0)</f>
        <v>44773</v>
      </c>
      <c r="B2778" s="24" t="str">
        <f>IFERROR(__xludf.DUMMYFUNCTION("""COMPUTED_VALUE"""),"Travis James")</f>
        <v>Travis James</v>
      </c>
      <c r="C2778" s="24">
        <f>IFERROR(__xludf.DUMMYFUNCTION("""COMPUTED_VALUE"""),3.0)</f>
        <v>3</v>
      </c>
      <c r="D2778" s="24"/>
      <c r="F2778" s="23">
        <f>IFERROR(__xludf.DUMMYFUNCTION("""COMPUTED_VALUE"""),44847.84032633102)</f>
        <v>44847.84033</v>
      </c>
      <c r="G2778" s="24" t="str">
        <f>IFERROR(__xludf.DUMMYFUNCTION("""COMPUTED_VALUE"""),"Sheneil")</f>
        <v>Sheneil</v>
      </c>
      <c r="H2778" s="24">
        <f>IFERROR(__xludf.DUMMYFUNCTION("""COMPUTED_VALUE"""),4.0)</f>
        <v>4</v>
      </c>
      <c r="I2778" s="24" t="str">
        <f>IFERROR(__xludf.DUMMYFUNCTION("""COMPUTED_VALUE"""),"Damage/expired/extra")</f>
        <v>Damage/expired/extra</v>
      </c>
    </row>
    <row r="2779">
      <c r="A2779" s="23">
        <f>IFERROR(__xludf.DUMMYFUNCTION("""COMPUTED_VALUE"""),44773.67739443287)</f>
        <v>44773.67739</v>
      </c>
      <c r="B2779" s="24" t="str">
        <f>IFERROR(__xludf.DUMMYFUNCTION("""COMPUTED_VALUE"""),"Anna Nicosia")</f>
        <v>Anna Nicosia</v>
      </c>
      <c r="C2779" s="24">
        <f>IFERROR(__xludf.DUMMYFUNCTION("""COMPUTED_VALUE"""),19.0)</f>
        <v>19</v>
      </c>
      <c r="D2779" s="24"/>
      <c r="F2779" s="23">
        <f>IFERROR(__xludf.DUMMYFUNCTION("""COMPUTED_VALUE"""),44848.0)</f>
        <v>44848</v>
      </c>
      <c r="G2779" s="24" t="str">
        <f>IFERROR(__xludf.DUMMYFUNCTION("""COMPUTED_VALUE"""),"Theresa Columbus")</f>
        <v>Theresa Columbus</v>
      </c>
      <c r="H2779" s="24">
        <f>IFERROR(__xludf.DUMMYFUNCTION("""COMPUTED_VALUE"""),20.0)</f>
        <v>20</v>
      </c>
      <c r="I2779" s="24" t="str">
        <f>IFERROR(__xludf.DUMMYFUNCTION("""COMPUTED_VALUE"""),"Regular (up to 20lbs)")</f>
        <v>Regular (up to 20lbs)</v>
      </c>
    </row>
    <row r="2780">
      <c r="A2780" s="23">
        <f>IFERROR(__xludf.DUMMYFUNCTION("""COMPUTED_VALUE"""),44773.678084652776)</f>
        <v>44773.67808</v>
      </c>
      <c r="B2780" s="24" t="str">
        <f>IFERROR(__xludf.DUMMYFUNCTION("""COMPUTED_VALUE"""),"Evan El-Halawani")</f>
        <v>Evan El-Halawani</v>
      </c>
      <c r="C2780" s="24">
        <f>IFERROR(__xludf.DUMMYFUNCTION("""COMPUTED_VALUE"""),19.0)</f>
        <v>19</v>
      </c>
      <c r="D2780" s="24"/>
      <c r="F2780" s="23">
        <f>IFERROR(__xludf.DUMMYFUNCTION("""COMPUTED_VALUE"""),44848.0)</f>
        <v>44848</v>
      </c>
      <c r="G2780" s="24" t="str">
        <f>IFERROR(__xludf.DUMMYFUNCTION("""COMPUTED_VALUE"""),"Theresa Columbus")</f>
        <v>Theresa Columbus</v>
      </c>
      <c r="H2780" s="24">
        <f>IFERROR(__xludf.DUMMYFUNCTION("""COMPUTED_VALUE"""),8.0)</f>
        <v>8</v>
      </c>
      <c r="I2780" s="24" t="str">
        <f>IFERROR(__xludf.DUMMYFUNCTION("""COMPUTED_VALUE"""),"Damage/expired/extra")</f>
        <v>Damage/expired/extra</v>
      </c>
    </row>
    <row r="2781">
      <c r="A2781" s="23">
        <f>IFERROR(__xludf.DUMMYFUNCTION("""COMPUTED_VALUE"""),44773.67812806713)</f>
        <v>44773.67813</v>
      </c>
      <c r="B2781" s="24" t="str">
        <f>IFERROR(__xludf.DUMMYFUNCTION("""COMPUTED_VALUE"""),"Kaneesha ")</f>
        <v>Kaneesha </v>
      </c>
      <c r="C2781" s="24">
        <f>IFERROR(__xludf.DUMMYFUNCTION("""COMPUTED_VALUE"""),10.0)</f>
        <v>10</v>
      </c>
      <c r="D2781" s="24"/>
      <c r="F2781" s="23">
        <f>IFERROR(__xludf.DUMMYFUNCTION("""COMPUTED_VALUE"""),44848.56415273148)</f>
        <v>44848.56415</v>
      </c>
      <c r="G2781" s="24" t="str">
        <f>IFERROR(__xludf.DUMMYFUNCTION("""COMPUTED_VALUE"""),"Claire")</f>
        <v>Claire</v>
      </c>
      <c r="H2781" s="24">
        <f>IFERROR(__xludf.DUMMYFUNCTION("""COMPUTED_VALUE"""),240.0)</f>
        <v>240</v>
      </c>
      <c r="I2781" s="24" t="str">
        <f>IFERROR(__xludf.DUMMYFUNCTION("""COMPUTED_VALUE"""),"Whitebox")</f>
        <v>Whitebox</v>
      </c>
    </row>
    <row r="2782">
      <c r="A2782" s="23">
        <f>IFERROR(__xludf.DUMMYFUNCTION("""COMPUTED_VALUE"""),44773.678318356484)</f>
        <v>44773.67832</v>
      </c>
      <c r="B2782" s="24" t="str">
        <f>IFERROR(__xludf.DUMMYFUNCTION("""COMPUTED_VALUE"""),"Kaneesha (extra)")</f>
        <v>Kaneesha (extra)</v>
      </c>
      <c r="C2782" s="24">
        <f>IFERROR(__xludf.DUMMYFUNCTION("""COMPUTED_VALUE"""),25.0)</f>
        <v>25</v>
      </c>
      <c r="D2782" s="24"/>
      <c r="F2782" s="23">
        <f>IFERROR(__xludf.DUMMYFUNCTION("""COMPUTED_VALUE"""),44848.56442078704)</f>
        <v>44848.56442</v>
      </c>
      <c r="G2782" s="24" t="str">
        <f>IFERROR(__xludf.DUMMYFUNCTION("""COMPUTED_VALUE"""),"Claire")</f>
        <v>Claire</v>
      </c>
      <c r="H2782" s="24">
        <f>IFERROR(__xludf.DUMMYFUNCTION("""COMPUTED_VALUE"""),184.0)</f>
        <v>184</v>
      </c>
      <c r="I2782" s="24" t="str">
        <f>IFERROR(__xludf.DUMMYFUNCTION("""COMPUTED_VALUE"""),"Whitebox")</f>
        <v>Whitebox</v>
      </c>
    </row>
    <row r="2783">
      <c r="A2783" s="23">
        <f>IFERROR(__xludf.DUMMYFUNCTION("""COMPUTED_VALUE"""),44773.719847280096)</f>
        <v>44773.71985</v>
      </c>
      <c r="B2783" s="24" t="str">
        <f>IFERROR(__xludf.DUMMYFUNCTION("""COMPUTED_VALUE"""),"Zoe")</f>
        <v>Zoe</v>
      </c>
      <c r="C2783" s="24">
        <f>IFERROR(__xludf.DUMMYFUNCTION("""COMPUTED_VALUE"""),22.0)</f>
        <v>22</v>
      </c>
      <c r="D2783" s="24"/>
      <c r="F2783" s="23">
        <f>IFERROR(__xludf.DUMMYFUNCTION("""COMPUTED_VALUE"""),44848.56461527778)</f>
        <v>44848.56462</v>
      </c>
      <c r="G2783" s="24" t="str">
        <f>IFERROR(__xludf.DUMMYFUNCTION("""COMPUTED_VALUE"""),"Claire")</f>
        <v>Claire</v>
      </c>
      <c r="H2783" s="24">
        <f>IFERROR(__xludf.DUMMYFUNCTION("""COMPUTED_VALUE"""),222.0)</f>
        <v>222</v>
      </c>
      <c r="I2783" s="24" t="str">
        <f>IFERROR(__xludf.DUMMYFUNCTION("""COMPUTED_VALUE"""),"Whitebox")</f>
        <v>Whitebox</v>
      </c>
    </row>
    <row r="2784">
      <c r="A2784" s="23">
        <f>IFERROR(__xludf.DUMMYFUNCTION("""COMPUTED_VALUE"""),44775.0)</f>
        <v>44775</v>
      </c>
      <c r="B2784" s="24" t="str">
        <f>IFERROR(__xludf.DUMMYFUNCTION("""COMPUTED_VALUE"""),"Erline")</f>
        <v>Erline</v>
      </c>
      <c r="C2784" s="24">
        <f>IFERROR(__xludf.DUMMYFUNCTION("""COMPUTED_VALUE"""),20.0)</f>
        <v>20</v>
      </c>
      <c r="D2784" s="24"/>
      <c r="F2784" s="23">
        <f>IFERROR(__xludf.DUMMYFUNCTION("""COMPUTED_VALUE"""),44848.564809930554)</f>
        <v>44848.56481</v>
      </c>
      <c r="G2784" s="24" t="str">
        <f>IFERROR(__xludf.DUMMYFUNCTION("""COMPUTED_VALUE"""),"Claire")</f>
        <v>Claire</v>
      </c>
      <c r="H2784" s="24">
        <f>IFERROR(__xludf.DUMMYFUNCTION("""COMPUTED_VALUE"""),215.0)</f>
        <v>215</v>
      </c>
      <c r="I2784" s="24" t="str">
        <f>IFERROR(__xludf.DUMMYFUNCTION("""COMPUTED_VALUE"""),"Whitebox")</f>
        <v>Whitebox</v>
      </c>
    </row>
    <row r="2785">
      <c r="A2785" s="23">
        <f>IFERROR(__xludf.DUMMYFUNCTION("""COMPUTED_VALUE"""),44775.0)</f>
        <v>44775</v>
      </c>
      <c r="B2785" s="24" t="str">
        <f>IFERROR(__xludf.DUMMYFUNCTION("""COMPUTED_VALUE"""),"Erline")</f>
        <v>Erline</v>
      </c>
      <c r="C2785" s="24">
        <f>IFERROR(__xludf.DUMMYFUNCTION("""COMPUTED_VALUE"""),30.0)</f>
        <v>30</v>
      </c>
      <c r="D2785" s="24"/>
      <c r="F2785" s="23">
        <f>IFERROR(__xludf.DUMMYFUNCTION("""COMPUTED_VALUE"""),44848.56501032408)</f>
        <v>44848.56501</v>
      </c>
      <c r="G2785" s="24" t="str">
        <f>IFERROR(__xludf.DUMMYFUNCTION("""COMPUTED_VALUE"""),"Claire")</f>
        <v>Claire</v>
      </c>
      <c r="H2785" s="24">
        <f>IFERROR(__xludf.DUMMYFUNCTION("""COMPUTED_VALUE"""),206.0)</f>
        <v>206</v>
      </c>
      <c r="I2785" s="24" t="str">
        <f>IFERROR(__xludf.DUMMYFUNCTION("""COMPUTED_VALUE"""),"Whitebox")</f>
        <v>Whitebox</v>
      </c>
    </row>
    <row r="2786">
      <c r="A2786" s="23">
        <f>IFERROR(__xludf.DUMMYFUNCTION("""COMPUTED_VALUE"""),44775.0)</f>
        <v>44775</v>
      </c>
      <c r="B2786" s="24" t="str">
        <f>IFERROR(__xludf.DUMMYFUNCTION("""COMPUTED_VALUE"""),"Debra Davis")</f>
        <v>Debra Davis</v>
      </c>
      <c r="C2786" s="24">
        <f>IFERROR(__xludf.DUMMYFUNCTION("""COMPUTED_VALUE"""),17.0)</f>
        <v>17</v>
      </c>
      <c r="D2786" s="24"/>
      <c r="F2786" s="23">
        <f>IFERROR(__xludf.DUMMYFUNCTION("""COMPUTED_VALUE"""),44848.565176944445)</f>
        <v>44848.56518</v>
      </c>
      <c r="G2786" s="24" t="str">
        <f>IFERROR(__xludf.DUMMYFUNCTION("""COMPUTED_VALUE"""),"Claire")</f>
        <v>Claire</v>
      </c>
      <c r="H2786" s="24">
        <f>IFERROR(__xludf.DUMMYFUNCTION("""COMPUTED_VALUE"""),233.0)</f>
        <v>233</v>
      </c>
      <c r="I2786" s="24" t="str">
        <f>IFERROR(__xludf.DUMMYFUNCTION("""COMPUTED_VALUE"""),"Whitebox")</f>
        <v>Whitebox</v>
      </c>
    </row>
    <row r="2787">
      <c r="A2787" s="23">
        <f>IFERROR(__xludf.DUMMYFUNCTION("""COMPUTED_VALUE"""),44775.695775057866)</f>
        <v>44775.69578</v>
      </c>
      <c r="B2787" s="24" t="str">
        <f>IFERROR(__xludf.DUMMYFUNCTION("""COMPUTED_VALUE"""),"Kaneesha ")</f>
        <v>Kaneesha </v>
      </c>
      <c r="C2787" s="24">
        <f>IFERROR(__xludf.DUMMYFUNCTION("""COMPUTED_VALUE"""),19.0)</f>
        <v>19</v>
      </c>
      <c r="D2787" s="24"/>
      <c r="F2787" s="23">
        <f>IFERROR(__xludf.DUMMYFUNCTION("""COMPUTED_VALUE"""),44848.565398032406)</f>
        <v>44848.5654</v>
      </c>
      <c r="G2787" s="24" t="str">
        <f>IFERROR(__xludf.DUMMYFUNCTION("""COMPUTED_VALUE"""),"Claire")</f>
        <v>Claire</v>
      </c>
      <c r="H2787" s="24">
        <f>IFERROR(__xludf.DUMMYFUNCTION("""COMPUTED_VALUE"""),217.0)</f>
        <v>217</v>
      </c>
      <c r="I2787" s="24" t="str">
        <f>IFERROR(__xludf.DUMMYFUNCTION("""COMPUTED_VALUE"""),"Whitebox")</f>
        <v>Whitebox</v>
      </c>
    </row>
    <row r="2788">
      <c r="A2788" s="23">
        <f>IFERROR(__xludf.DUMMYFUNCTION("""COMPUTED_VALUE"""),44775.69661540509)</f>
        <v>44775.69662</v>
      </c>
      <c r="B2788" s="24" t="str">
        <f>IFERROR(__xludf.DUMMYFUNCTION("""COMPUTED_VALUE"""),"Kaneesha (extra)")</f>
        <v>Kaneesha (extra)</v>
      </c>
      <c r="C2788" s="24">
        <f>IFERROR(__xludf.DUMMYFUNCTION("""COMPUTED_VALUE"""),12.0)</f>
        <v>12</v>
      </c>
      <c r="D2788" s="24"/>
      <c r="F2788" s="23">
        <f>IFERROR(__xludf.DUMMYFUNCTION("""COMPUTED_VALUE"""),44848.565654178245)</f>
        <v>44848.56565</v>
      </c>
      <c r="G2788" s="24" t="str">
        <f>IFERROR(__xludf.DUMMYFUNCTION("""COMPUTED_VALUE"""),"Claire")</f>
        <v>Claire</v>
      </c>
      <c r="H2788" s="24">
        <f>IFERROR(__xludf.DUMMYFUNCTION("""COMPUTED_VALUE"""),226.0)</f>
        <v>226</v>
      </c>
      <c r="I2788" s="24" t="str">
        <f>IFERROR(__xludf.DUMMYFUNCTION("""COMPUTED_VALUE"""),"Whitebox")</f>
        <v>Whitebox</v>
      </c>
    </row>
    <row r="2789">
      <c r="A2789" s="23">
        <f>IFERROR(__xludf.DUMMYFUNCTION("""COMPUTED_VALUE"""),44775.69966167824)</f>
        <v>44775.69966</v>
      </c>
      <c r="B2789" s="24" t="str">
        <f>IFERROR(__xludf.DUMMYFUNCTION("""COMPUTED_VALUE"""),"Jan Kleinman")</f>
        <v>Jan Kleinman</v>
      </c>
      <c r="C2789" s="24">
        <f>IFERROR(__xludf.DUMMYFUNCTION("""COMPUTED_VALUE"""),19.0)</f>
        <v>19</v>
      </c>
      <c r="D2789" s="24"/>
      <c r="F2789" s="23">
        <f>IFERROR(__xludf.DUMMYFUNCTION("""COMPUTED_VALUE"""),44848.56583392361)</f>
        <v>44848.56583</v>
      </c>
      <c r="G2789" s="24" t="str">
        <f>IFERROR(__xludf.DUMMYFUNCTION("""COMPUTED_VALUE"""),"Claire")</f>
        <v>Claire</v>
      </c>
      <c r="H2789" s="24">
        <f>IFERROR(__xludf.DUMMYFUNCTION("""COMPUTED_VALUE"""),262.0)</f>
        <v>262</v>
      </c>
      <c r="I2789" s="24" t="str">
        <f>IFERROR(__xludf.DUMMYFUNCTION("""COMPUTED_VALUE"""),"Whitebox")</f>
        <v>Whitebox</v>
      </c>
    </row>
    <row r="2790">
      <c r="A2790" s="23">
        <f>IFERROR(__xludf.DUMMYFUNCTION("""COMPUTED_VALUE"""),44775.0)</f>
        <v>44775</v>
      </c>
      <c r="B2790" s="24" t="str">
        <f>IFERROR(__xludf.DUMMYFUNCTION("""COMPUTED_VALUE"""),"Jan Kleinman")</f>
        <v>Jan Kleinman</v>
      </c>
      <c r="C2790" s="24">
        <f>IFERROR(__xludf.DUMMYFUNCTION("""COMPUTED_VALUE"""),31.0)</f>
        <v>31</v>
      </c>
      <c r="D2790" s="24"/>
      <c r="F2790" s="23">
        <f>IFERROR(__xludf.DUMMYFUNCTION("""COMPUTED_VALUE"""),44848.56601722222)</f>
        <v>44848.56602</v>
      </c>
      <c r="G2790" s="24" t="str">
        <f>IFERROR(__xludf.DUMMYFUNCTION("""COMPUTED_VALUE"""),"Claire")</f>
        <v>Claire</v>
      </c>
      <c r="H2790" s="24">
        <f>IFERROR(__xludf.DUMMYFUNCTION("""COMPUTED_VALUE"""),149.0)</f>
        <v>149</v>
      </c>
      <c r="I2790" s="24" t="str">
        <f>IFERROR(__xludf.DUMMYFUNCTION("""COMPUTED_VALUE"""),"Whitebox")</f>
        <v>Whitebox</v>
      </c>
    </row>
    <row r="2791">
      <c r="A2791" s="23">
        <f>IFERROR(__xludf.DUMMYFUNCTION("""COMPUTED_VALUE"""),44775.70107771991)</f>
        <v>44775.70108</v>
      </c>
      <c r="B2791" s="24" t="str">
        <f>IFERROR(__xludf.DUMMYFUNCTION("""COMPUTED_VALUE"""),"Beverly Pinn")</f>
        <v>Beverly Pinn</v>
      </c>
      <c r="C2791" s="24">
        <f>IFERROR(__xludf.DUMMYFUNCTION("""COMPUTED_VALUE"""),17.0)</f>
        <v>17</v>
      </c>
      <c r="D2791" s="24"/>
      <c r="F2791" s="23">
        <f>IFERROR(__xludf.DUMMYFUNCTION("""COMPUTED_VALUE"""),44848.56620003472)</f>
        <v>44848.5662</v>
      </c>
      <c r="G2791" s="24" t="str">
        <f>IFERROR(__xludf.DUMMYFUNCTION("""COMPUTED_VALUE"""),"Claire")</f>
        <v>Claire</v>
      </c>
      <c r="H2791" s="24">
        <f>IFERROR(__xludf.DUMMYFUNCTION("""COMPUTED_VALUE"""),151.0)</f>
        <v>151</v>
      </c>
      <c r="I2791" s="24" t="str">
        <f>IFERROR(__xludf.DUMMYFUNCTION("""COMPUTED_VALUE"""),"Whitebox")</f>
        <v>Whitebox</v>
      </c>
    </row>
    <row r="2792">
      <c r="A2792" s="23">
        <f>IFERROR(__xludf.DUMMYFUNCTION("""COMPUTED_VALUE"""),44775.70138530093)</f>
        <v>44775.70139</v>
      </c>
      <c r="B2792" s="24" t="str">
        <f>IFERROR(__xludf.DUMMYFUNCTION("""COMPUTED_VALUE"""),"Beverly Pinn")</f>
        <v>Beverly Pinn</v>
      </c>
      <c r="C2792" s="24">
        <f>IFERROR(__xludf.DUMMYFUNCTION("""COMPUTED_VALUE"""),23.0)</f>
        <v>23</v>
      </c>
      <c r="D2792" s="24"/>
      <c r="F2792" s="23">
        <f>IFERROR(__xludf.DUMMYFUNCTION("""COMPUTED_VALUE"""),44848.66986260416)</f>
        <v>44848.66986</v>
      </c>
      <c r="G2792" s="24" t="str">
        <f>IFERROR(__xludf.DUMMYFUNCTION("""COMPUTED_VALUE"""),"Claire")</f>
        <v>Claire</v>
      </c>
      <c r="H2792" s="24">
        <f>IFERROR(__xludf.DUMMYFUNCTION("""COMPUTED_VALUE"""),241.0)</f>
        <v>241</v>
      </c>
      <c r="I2792" s="24" t="str">
        <f>IFERROR(__xludf.DUMMYFUNCTION("""COMPUTED_VALUE"""),"Snacks")</f>
        <v>Snacks</v>
      </c>
    </row>
    <row r="2793">
      <c r="A2793" s="23">
        <f>IFERROR(__xludf.DUMMYFUNCTION("""COMPUTED_VALUE"""),44776.0)</f>
        <v>44776</v>
      </c>
      <c r="B2793" s="24" t="str">
        <f>IFERROR(__xludf.DUMMYFUNCTION("""COMPUTED_VALUE"""),"Juanita C")</f>
        <v>Juanita C</v>
      </c>
      <c r="C2793" s="24">
        <f>IFERROR(__xludf.DUMMYFUNCTION("""COMPUTED_VALUE"""),2.0)</f>
        <v>2</v>
      </c>
      <c r="D2793" s="24"/>
      <c r="F2793" s="23">
        <f>IFERROR(__xludf.DUMMYFUNCTION("""COMPUTED_VALUE"""),44848.670316620366)</f>
        <v>44848.67032</v>
      </c>
      <c r="G2793" s="24" t="str">
        <f>IFERROR(__xludf.DUMMYFUNCTION("""COMPUTED_VALUE"""),"Claire")</f>
        <v>Claire</v>
      </c>
      <c r="H2793" s="24">
        <f>IFERROR(__xludf.DUMMYFUNCTION("""COMPUTED_VALUE"""),412.0)</f>
        <v>412</v>
      </c>
      <c r="I2793" s="24" t="str">
        <f>IFERROR(__xludf.DUMMYFUNCTION("""COMPUTED_VALUE"""),"Assorted Dry")</f>
        <v>Assorted Dry</v>
      </c>
    </row>
    <row r="2794">
      <c r="A2794" s="23">
        <f>IFERROR(__xludf.DUMMYFUNCTION("""COMPUTED_VALUE"""),44776.0)</f>
        <v>44776</v>
      </c>
      <c r="B2794" s="24" t="str">
        <f>IFERROR(__xludf.DUMMYFUNCTION("""COMPUTED_VALUE"""),"Karen Moore")</f>
        <v>Karen Moore</v>
      </c>
      <c r="C2794" s="24">
        <f>IFERROR(__xludf.DUMMYFUNCTION("""COMPUTED_VALUE"""),10.0)</f>
        <v>10</v>
      </c>
      <c r="D2794" s="24"/>
      <c r="F2794" s="23">
        <f>IFERROR(__xludf.DUMMYFUNCTION("""COMPUTED_VALUE"""),44848.67066082176)</f>
        <v>44848.67066</v>
      </c>
      <c r="G2794" s="24" t="str">
        <f>IFERROR(__xludf.DUMMYFUNCTION("""COMPUTED_VALUE"""),"Claire")</f>
        <v>Claire</v>
      </c>
      <c r="H2794" s="24">
        <f>IFERROR(__xludf.DUMMYFUNCTION("""COMPUTED_VALUE"""),1520.0)</f>
        <v>1520</v>
      </c>
      <c r="I2794" s="24" t="str">
        <f>IFERROR(__xludf.DUMMYFUNCTION("""COMPUTED_VALUE"""),"Produce")</f>
        <v>Produce</v>
      </c>
    </row>
    <row r="2795">
      <c r="A2795" s="23">
        <f>IFERROR(__xludf.DUMMYFUNCTION("""COMPUTED_VALUE"""),44776.0)</f>
        <v>44776</v>
      </c>
      <c r="B2795" s="24" t="str">
        <f>IFERROR(__xludf.DUMMYFUNCTION("""COMPUTED_VALUE"""),"Karen Moore")</f>
        <v>Karen Moore</v>
      </c>
      <c r="C2795" s="24">
        <f>IFERROR(__xludf.DUMMYFUNCTION("""COMPUTED_VALUE"""),12.0)</f>
        <v>12</v>
      </c>
      <c r="D2795" s="24"/>
      <c r="F2795" s="23">
        <f>IFERROR(__xludf.DUMMYFUNCTION("""COMPUTED_VALUE"""),44848.670975995374)</f>
        <v>44848.67098</v>
      </c>
      <c r="G2795" s="24" t="str">
        <f>IFERROR(__xludf.DUMMYFUNCTION("""COMPUTED_VALUE"""),"Claire")</f>
        <v>Claire</v>
      </c>
      <c r="H2795" s="24">
        <f>IFERROR(__xludf.DUMMYFUNCTION("""COMPUTED_VALUE"""),269.0)</f>
        <v>269</v>
      </c>
      <c r="I2795" s="24" t="str">
        <f>IFERROR(__xludf.DUMMYFUNCTION("""COMPUTED_VALUE"""),"Produce")</f>
        <v>Produce</v>
      </c>
    </row>
    <row r="2796">
      <c r="A2796" s="23">
        <f>IFERROR(__xludf.DUMMYFUNCTION("""COMPUTED_VALUE"""),44776.0)</f>
        <v>44776</v>
      </c>
      <c r="B2796" s="24" t="str">
        <f>IFERROR(__xludf.DUMMYFUNCTION("""COMPUTED_VALUE"""),"Aurora Dustin")</f>
        <v>Aurora Dustin</v>
      </c>
      <c r="C2796" s="24">
        <f>IFERROR(__xludf.DUMMYFUNCTION("""COMPUTED_VALUE"""),10.0)</f>
        <v>10</v>
      </c>
      <c r="D2796" s="24"/>
      <c r="F2796" s="23">
        <f>IFERROR(__xludf.DUMMYFUNCTION("""COMPUTED_VALUE"""),44848.671321747686)</f>
        <v>44848.67132</v>
      </c>
      <c r="G2796" s="24" t="str">
        <f>IFERROR(__xludf.DUMMYFUNCTION("""COMPUTED_VALUE"""),"Claire")</f>
        <v>Claire</v>
      </c>
      <c r="H2796" s="24">
        <f>IFERROR(__xludf.DUMMYFUNCTION("""COMPUTED_VALUE"""),520.0)</f>
        <v>520</v>
      </c>
      <c r="I2796" s="24" t="str">
        <f>IFERROR(__xludf.DUMMYFUNCTION("""COMPUTED_VALUE"""),"Produce")</f>
        <v>Produce</v>
      </c>
    </row>
    <row r="2797">
      <c r="A2797" s="23">
        <f>IFERROR(__xludf.DUMMYFUNCTION("""COMPUTED_VALUE"""),44776.0)</f>
        <v>44776</v>
      </c>
      <c r="B2797" s="24" t="str">
        <f>IFERROR(__xludf.DUMMYFUNCTION("""COMPUTED_VALUE"""),"Aurora Dustin")</f>
        <v>Aurora Dustin</v>
      </c>
      <c r="C2797" s="24">
        <f>IFERROR(__xludf.DUMMYFUNCTION("""COMPUTED_VALUE"""),13.0)</f>
        <v>13</v>
      </c>
      <c r="D2797" s="24"/>
      <c r="F2797" s="23">
        <f>IFERROR(__xludf.DUMMYFUNCTION("""COMPUTED_VALUE"""),44848.67164375001)</f>
        <v>44848.67164</v>
      </c>
      <c r="G2797" s="24" t="str">
        <f>IFERROR(__xludf.DUMMYFUNCTION("""COMPUTED_VALUE"""),"Claire")</f>
        <v>Claire</v>
      </c>
      <c r="H2797" s="24">
        <f>IFERROR(__xludf.DUMMYFUNCTION("""COMPUTED_VALUE"""),100.0)</f>
        <v>100</v>
      </c>
      <c r="I2797" s="24" t="str">
        <f>IFERROR(__xludf.DUMMYFUNCTION("""COMPUTED_VALUE"""),"Assorted Dry")</f>
        <v>Assorted Dry</v>
      </c>
    </row>
    <row r="2798">
      <c r="A2798" s="23">
        <f>IFERROR(__xludf.DUMMYFUNCTION("""COMPUTED_VALUE"""),44776.0)</f>
        <v>44776</v>
      </c>
      <c r="B2798" s="24" t="str">
        <f>IFERROR(__xludf.DUMMYFUNCTION("""COMPUTED_VALUE"""),"Daniel Huff")</f>
        <v>Daniel Huff</v>
      </c>
      <c r="C2798" s="24">
        <f>IFERROR(__xludf.DUMMYFUNCTION("""COMPUTED_VALUE"""),20.0)</f>
        <v>20</v>
      </c>
      <c r="D2798" s="24"/>
      <c r="F2798" s="23">
        <f>IFERROR(__xludf.DUMMYFUNCTION("""COMPUTED_VALUE"""),44848.67197425926)</f>
        <v>44848.67197</v>
      </c>
      <c r="G2798" s="24" t="str">
        <f>IFERROR(__xludf.DUMMYFUNCTION("""COMPUTED_VALUE"""),"Claire")</f>
        <v>Claire</v>
      </c>
      <c r="H2798" s="24">
        <f>IFERROR(__xludf.DUMMYFUNCTION("""COMPUTED_VALUE"""),489.0)</f>
        <v>489</v>
      </c>
      <c r="I2798" s="24" t="str">
        <f>IFERROR(__xludf.DUMMYFUNCTION("""COMPUTED_VALUE"""),"Produce")</f>
        <v>Produce</v>
      </c>
    </row>
    <row r="2799">
      <c r="A2799" s="23">
        <f>IFERROR(__xludf.DUMMYFUNCTION("""COMPUTED_VALUE"""),44776.0)</f>
        <v>44776</v>
      </c>
      <c r="B2799" s="24" t="str">
        <f>IFERROR(__xludf.DUMMYFUNCTION("""COMPUTED_VALUE"""),"Daniel Huff")</f>
        <v>Daniel Huff</v>
      </c>
      <c r="C2799" s="24">
        <f>IFERROR(__xludf.DUMMYFUNCTION("""COMPUTED_VALUE"""),11.0)</f>
        <v>11</v>
      </c>
      <c r="D2799" s="24"/>
      <c r="F2799" s="23">
        <f>IFERROR(__xludf.DUMMYFUNCTION("""COMPUTED_VALUE"""),44848.67227313658)</f>
        <v>44848.67227</v>
      </c>
      <c r="G2799" s="24" t="str">
        <f>IFERROR(__xludf.DUMMYFUNCTION("""COMPUTED_VALUE"""),"Claire")</f>
        <v>Claire</v>
      </c>
      <c r="H2799" s="24">
        <f>IFERROR(__xludf.DUMMYFUNCTION("""COMPUTED_VALUE"""),114.0)</f>
        <v>114</v>
      </c>
      <c r="I2799" s="24" t="str">
        <f>IFERROR(__xludf.DUMMYFUNCTION("""COMPUTED_VALUE"""),"Assorted Dry")</f>
        <v>Assorted Dry</v>
      </c>
    </row>
    <row r="2800">
      <c r="A2800" s="23">
        <f>IFERROR(__xludf.DUMMYFUNCTION("""COMPUTED_VALUE"""),44776.0)</f>
        <v>44776</v>
      </c>
      <c r="B2800" s="24" t="str">
        <f>IFERROR(__xludf.DUMMYFUNCTION("""COMPUTED_VALUE"""),"Darcil Gangoo")</f>
        <v>Darcil Gangoo</v>
      </c>
      <c r="C2800" s="24">
        <f>IFERROR(__xludf.DUMMYFUNCTION("""COMPUTED_VALUE"""),7.0)</f>
        <v>7</v>
      </c>
      <c r="D2800" s="24"/>
      <c r="F2800" s="23">
        <f>IFERROR(__xludf.DUMMYFUNCTION("""COMPUTED_VALUE"""),44848.67253460648)</f>
        <v>44848.67253</v>
      </c>
      <c r="G2800" s="24" t="str">
        <f>IFERROR(__xludf.DUMMYFUNCTION("""COMPUTED_VALUE"""),"Claire")</f>
        <v>Claire</v>
      </c>
      <c r="H2800" s="24">
        <f>IFERROR(__xludf.DUMMYFUNCTION("""COMPUTED_VALUE"""),392.0)</f>
        <v>392</v>
      </c>
      <c r="I2800" s="24" t="str">
        <f>IFERROR(__xludf.DUMMYFUNCTION("""COMPUTED_VALUE"""),"Assorted Dry")</f>
        <v>Assorted Dry</v>
      </c>
    </row>
    <row r="2801">
      <c r="A2801" s="23">
        <f>IFERROR(__xludf.DUMMYFUNCTION("""COMPUTED_VALUE"""),44776.0)</f>
        <v>44776</v>
      </c>
      <c r="B2801" s="24" t="str">
        <f>IFERROR(__xludf.DUMMYFUNCTION("""COMPUTED_VALUE"""),"Darcil Gangoo")</f>
        <v>Darcil Gangoo</v>
      </c>
      <c r="C2801" s="24">
        <f>IFERROR(__xludf.DUMMYFUNCTION("""COMPUTED_VALUE"""),1.0)</f>
        <v>1</v>
      </c>
      <c r="D2801" s="24"/>
      <c r="F2801" s="23">
        <f>IFERROR(__xludf.DUMMYFUNCTION("""COMPUTED_VALUE"""),44848.679477592596)</f>
        <v>44848.67948</v>
      </c>
      <c r="G2801" s="24" t="str">
        <f>IFERROR(__xludf.DUMMYFUNCTION("""COMPUTED_VALUE"""),"Claire")</f>
        <v>Claire</v>
      </c>
      <c r="H2801" s="24">
        <f>IFERROR(__xludf.DUMMYFUNCTION("""COMPUTED_VALUE"""),659.0)</f>
        <v>659</v>
      </c>
      <c r="I2801" s="24" t="str">
        <f>IFERROR(__xludf.DUMMYFUNCTION("""COMPUTED_VALUE"""),"Drinks [Dry]")</f>
        <v>Drinks [Dry]</v>
      </c>
    </row>
    <row r="2802">
      <c r="A2802" s="23">
        <f>IFERROR(__xludf.DUMMYFUNCTION("""COMPUTED_VALUE"""),44776.0)</f>
        <v>44776</v>
      </c>
      <c r="B2802" s="24" t="str">
        <f>IFERROR(__xludf.DUMMYFUNCTION("""COMPUTED_VALUE"""),"Melissa Thomas")</f>
        <v>Melissa Thomas</v>
      </c>
      <c r="C2802" s="24">
        <f>IFERROR(__xludf.DUMMYFUNCTION("""COMPUTED_VALUE"""),21.0)</f>
        <v>21</v>
      </c>
      <c r="D2802" s="24"/>
      <c r="F2802" s="23">
        <f>IFERROR(__xludf.DUMMYFUNCTION("""COMPUTED_VALUE"""),44848.703199930555)</f>
        <v>44848.7032</v>
      </c>
      <c r="G2802" s="24" t="str">
        <f>IFERROR(__xludf.DUMMYFUNCTION("""COMPUTED_VALUE"""),"Sunita pathik")</f>
        <v>Sunita pathik</v>
      </c>
      <c r="H2802" s="24">
        <f>IFERROR(__xludf.DUMMYFUNCTION("""COMPUTED_VALUE"""),5.0)</f>
        <v>5</v>
      </c>
      <c r="I2802" s="24" t="str">
        <f>IFERROR(__xludf.DUMMYFUNCTION("""COMPUTED_VALUE"""),"Regular (up to 20lbs)")</f>
        <v>Regular (up to 20lbs)</v>
      </c>
    </row>
    <row r="2803">
      <c r="A2803" s="23">
        <f>IFERROR(__xludf.DUMMYFUNCTION("""COMPUTED_VALUE"""),44776.0)</f>
        <v>44776</v>
      </c>
      <c r="B2803" s="24" t="str">
        <f>IFERROR(__xludf.DUMMYFUNCTION("""COMPUTED_VALUE"""),"Melissa Thomas")</f>
        <v>Melissa Thomas</v>
      </c>
      <c r="C2803" s="24">
        <f>IFERROR(__xludf.DUMMYFUNCTION("""COMPUTED_VALUE"""),21.0)</f>
        <v>21</v>
      </c>
      <c r="D2803" s="24"/>
      <c r="F2803" s="23">
        <f>IFERROR(__xludf.DUMMYFUNCTION("""COMPUTED_VALUE"""),44848.703871238424)</f>
        <v>44848.70387</v>
      </c>
      <c r="G2803" s="24" t="str">
        <f>IFERROR(__xludf.DUMMYFUNCTION("""COMPUTED_VALUE"""),"Sunita pathik")</f>
        <v>Sunita pathik</v>
      </c>
      <c r="H2803" s="24">
        <f>IFERROR(__xludf.DUMMYFUNCTION("""COMPUTED_VALUE"""),108.0)</f>
        <v>108</v>
      </c>
      <c r="I2803" s="24" t="str">
        <f>IFERROR(__xludf.DUMMYFUNCTION("""COMPUTED_VALUE"""),"Assorted Fridge")</f>
        <v>Assorted Fridge</v>
      </c>
    </row>
    <row r="2804">
      <c r="A2804" s="23">
        <f>IFERROR(__xludf.DUMMYFUNCTION("""COMPUTED_VALUE"""),44776.0)</f>
        <v>44776</v>
      </c>
      <c r="B2804" s="24" t="str">
        <f>IFERROR(__xludf.DUMMYFUNCTION("""COMPUTED_VALUE"""),"Julia Buckson")</f>
        <v>Julia Buckson</v>
      </c>
      <c r="C2804" s="24">
        <f>IFERROR(__xludf.DUMMYFUNCTION("""COMPUTED_VALUE"""),19.0)</f>
        <v>19</v>
      </c>
      <c r="D2804" s="24"/>
      <c r="F2804" s="23">
        <f>IFERROR(__xludf.DUMMYFUNCTION("""COMPUTED_VALUE"""),44848.70708361111)</f>
        <v>44848.70708</v>
      </c>
      <c r="G2804" s="24" t="str">
        <f>IFERROR(__xludf.DUMMYFUNCTION("""COMPUTED_VALUE"""),"Beth Torres")</f>
        <v>Beth Torres</v>
      </c>
      <c r="H2804" s="24">
        <f>IFERROR(__xludf.DUMMYFUNCTION("""COMPUTED_VALUE"""),8.0)</f>
        <v>8</v>
      </c>
      <c r="I2804" s="24" t="str">
        <f>IFERROR(__xludf.DUMMYFUNCTION("""COMPUTED_VALUE"""),"Regular (up to 20lbs)")</f>
        <v>Regular (up to 20lbs)</v>
      </c>
    </row>
    <row r="2805">
      <c r="A2805" s="23">
        <f>IFERROR(__xludf.DUMMYFUNCTION("""COMPUTED_VALUE"""),44776.0)</f>
        <v>44776</v>
      </c>
      <c r="B2805" s="24" t="str">
        <f>IFERROR(__xludf.DUMMYFUNCTION("""COMPUTED_VALUE"""),"Julia Buckson")</f>
        <v>Julia Buckson</v>
      </c>
      <c r="C2805" s="24">
        <f>IFERROR(__xludf.DUMMYFUNCTION("""COMPUTED_VALUE"""),27.0)</f>
        <v>27</v>
      </c>
      <c r="D2805" s="24"/>
      <c r="F2805" s="23">
        <f>IFERROR(__xludf.DUMMYFUNCTION("""COMPUTED_VALUE"""),44848.70723965278)</f>
        <v>44848.70724</v>
      </c>
      <c r="G2805" s="24" t="str">
        <f>IFERROR(__xludf.DUMMYFUNCTION("""COMPUTED_VALUE"""),"Beth Torres")</f>
        <v>Beth Torres</v>
      </c>
      <c r="H2805" s="24">
        <f>IFERROR(__xludf.DUMMYFUNCTION("""COMPUTED_VALUE"""),12.0)</f>
        <v>12</v>
      </c>
      <c r="I2805" s="24" t="str">
        <f>IFERROR(__xludf.DUMMYFUNCTION("""COMPUTED_VALUE"""),"Damage/expired/extra")</f>
        <v>Damage/expired/extra</v>
      </c>
    </row>
    <row r="2806">
      <c r="A2806" s="23">
        <f>IFERROR(__xludf.DUMMYFUNCTION("""COMPUTED_VALUE"""),44776.0)</f>
        <v>44776</v>
      </c>
      <c r="B2806" s="24" t="str">
        <f>IFERROR(__xludf.DUMMYFUNCTION("""COMPUTED_VALUE"""),"Gina Privette")</f>
        <v>Gina Privette</v>
      </c>
      <c r="C2806" s="24">
        <f>IFERROR(__xludf.DUMMYFUNCTION("""COMPUTED_VALUE"""),19.0)</f>
        <v>19</v>
      </c>
      <c r="D2806" s="24"/>
      <c r="F2806" s="23">
        <f>IFERROR(__xludf.DUMMYFUNCTION("""COMPUTED_VALUE"""),44848.70936296296)</f>
        <v>44848.70936</v>
      </c>
      <c r="G2806" s="24" t="str">
        <f>IFERROR(__xludf.DUMMYFUNCTION("""COMPUTED_VALUE"""),"Juanita Chandler ")</f>
        <v>Juanita Chandler </v>
      </c>
      <c r="H2806" s="24">
        <f>IFERROR(__xludf.DUMMYFUNCTION("""COMPUTED_VALUE"""),21.0)</f>
        <v>21</v>
      </c>
      <c r="I2806" s="24" t="str">
        <f>IFERROR(__xludf.DUMMYFUNCTION("""COMPUTED_VALUE"""),"Regular (up to 20lbs)")</f>
        <v>Regular (up to 20lbs)</v>
      </c>
    </row>
    <row r="2807">
      <c r="A2807" s="23">
        <f>IFERROR(__xludf.DUMMYFUNCTION("""COMPUTED_VALUE"""),44776.0)</f>
        <v>44776</v>
      </c>
      <c r="B2807" s="24" t="str">
        <f>IFERROR(__xludf.DUMMYFUNCTION("""COMPUTED_VALUE"""),"Gina Privette")</f>
        <v>Gina Privette</v>
      </c>
      <c r="C2807" s="24">
        <f>IFERROR(__xludf.DUMMYFUNCTION("""COMPUTED_VALUE"""),24.0)</f>
        <v>24</v>
      </c>
      <c r="D2807" s="24"/>
      <c r="F2807" s="23">
        <f>IFERROR(__xludf.DUMMYFUNCTION("""COMPUTED_VALUE"""),44848.70965431713)</f>
        <v>44848.70965</v>
      </c>
      <c r="G2807" s="24" t="str">
        <f>IFERROR(__xludf.DUMMYFUNCTION("""COMPUTED_VALUE"""),"Juanita Chandler ")</f>
        <v>Juanita Chandler </v>
      </c>
      <c r="H2807" s="24">
        <f>IFERROR(__xludf.DUMMYFUNCTION("""COMPUTED_VALUE"""),5.0)</f>
        <v>5</v>
      </c>
      <c r="I2807" s="24" t="str">
        <f>IFERROR(__xludf.DUMMYFUNCTION("""COMPUTED_VALUE"""),"Damage/expired/extra")</f>
        <v>Damage/expired/extra</v>
      </c>
    </row>
    <row r="2808">
      <c r="A2808" s="23">
        <f>IFERROR(__xludf.DUMMYFUNCTION("""COMPUTED_VALUE"""),44776.0)</f>
        <v>44776</v>
      </c>
      <c r="B2808" s="24" t="str">
        <f>IFERROR(__xludf.DUMMYFUNCTION("""COMPUTED_VALUE"""),"Sharron Robinson")</f>
        <v>Sharron Robinson</v>
      </c>
      <c r="C2808" s="24">
        <f>IFERROR(__xludf.DUMMYFUNCTION("""COMPUTED_VALUE"""),20.0)</f>
        <v>20</v>
      </c>
      <c r="D2808" s="24"/>
      <c r="F2808" s="23">
        <f>IFERROR(__xludf.DUMMYFUNCTION("""COMPUTED_VALUE"""),44849.689516157414)</f>
        <v>44849.68952</v>
      </c>
      <c r="G2808" s="24" t="str">
        <f>IFERROR(__xludf.DUMMYFUNCTION("""COMPUTED_VALUE"""),"ryan jedlicka")</f>
        <v>ryan jedlicka</v>
      </c>
      <c r="H2808" s="24">
        <f>IFERROR(__xludf.DUMMYFUNCTION("""COMPUTED_VALUE"""),20.0)</f>
        <v>20</v>
      </c>
      <c r="I2808" s="24" t="str">
        <f>IFERROR(__xludf.DUMMYFUNCTION("""COMPUTED_VALUE"""),"Regular (up to 20lbs)")</f>
        <v>Regular (up to 20lbs)</v>
      </c>
    </row>
    <row r="2809">
      <c r="A2809" s="23">
        <f>IFERROR(__xludf.DUMMYFUNCTION("""COMPUTED_VALUE"""),44776.0)</f>
        <v>44776</v>
      </c>
      <c r="B2809" s="24" t="str">
        <f>IFERROR(__xludf.DUMMYFUNCTION("""COMPUTED_VALUE"""),"Sharron Robinson")</f>
        <v>Sharron Robinson</v>
      </c>
      <c r="C2809" s="24">
        <f>IFERROR(__xludf.DUMMYFUNCTION("""COMPUTED_VALUE"""),7.0)</f>
        <v>7</v>
      </c>
      <c r="D2809" s="24"/>
      <c r="F2809" s="23">
        <f>IFERROR(__xludf.DUMMYFUNCTION("""COMPUTED_VALUE"""),44849.69089521991)</f>
        <v>44849.6909</v>
      </c>
      <c r="G2809" s="24" t="str">
        <f>IFERROR(__xludf.DUMMYFUNCTION("""COMPUTED_VALUE"""),"Emily Stucke")</f>
        <v>Emily Stucke</v>
      </c>
      <c r="H2809" s="24">
        <f>IFERROR(__xludf.DUMMYFUNCTION("""COMPUTED_VALUE"""),4.0)</f>
        <v>4</v>
      </c>
      <c r="I2809" s="24" t="str">
        <f>IFERROR(__xludf.DUMMYFUNCTION("""COMPUTED_VALUE"""),"Regular (up to 20lbs)")</f>
        <v>Regular (up to 20lbs)</v>
      </c>
    </row>
    <row r="2810">
      <c r="A2810" s="23">
        <f>IFERROR(__xludf.DUMMYFUNCTION("""COMPUTED_VALUE"""),44776.55621289352)</f>
        <v>44776.55621</v>
      </c>
      <c r="B2810" s="24" t="str">
        <f>IFERROR(__xludf.DUMMYFUNCTION("""COMPUTED_VALUE"""),"Bud- Sisson st water/drinks ")</f>
        <v>Bud- Sisson st water/drinks </v>
      </c>
      <c r="C2810" s="24">
        <f>IFERROR(__xludf.DUMMYFUNCTION("""COMPUTED_VALUE"""),14.0)</f>
        <v>14</v>
      </c>
      <c r="D2810" s="24"/>
      <c r="F2810" s="23">
        <f>IFERROR(__xludf.DUMMYFUNCTION("""COMPUTED_VALUE"""),44849.691054409726)</f>
        <v>44849.69105</v>
      </c>
      <c r="G2810" s="24" t="str">
        <f>IFERROR(__xludf.DUMMYFUNCTION("""COMPUTED_VALUE"""),"Emily Stucke")</f>
        <v>Emily Stucke</v>
      </c>
      <c r="H2810" s="24">
        <f>IFERROR(__xludf.DUMMYFUNCTION("""COMPUTED_VALUE"""),2.0)</f>
        <v>2</v>
      </c>
      <c r="I2810" s="24" t="str">
        <f>IFERROR(__xludf.DUMMYFUNCTION("""COMPUTED_VALUE"""),"Damage/expired/extra")</f>
        <v>Damage/expired/extra</v>
      </c>
    </row>
    <row r="2811">
      <c r="A2811" s="23">
        <f>IFERROR(__xludf.DUMMYFUNCTION("""COMPUTED_VALUE"""),44776.57785269676)</f>
        <v>44776.57785</v>
      </c>
      <c r="B2811" s="24" t="str">
        <f>IFERROR(__xludf.DUMMYFUNCTION("""COMPUTED_VALUE"""),"Bud Stracker-personal ")</f>
        <v>Bud Stracker-personal </v>
      </c>
      <c r="C2811" s="24">
        <f>IFERROR(__xludf.DUMMYFUNCTION("""COMPUTED_VALUE"""),13.0)</f>
        <v>13</v>
      </c>
      <c r="D2811" s="24"/>
      <c r="F2811" s="23">
        <f>IFERROR(__xludf.DUMMYFUNCTION("""COMPUTED_VALUE"""),44849.69133190972)</f>
        <v>44849.69133</v>
      </c>
      <c r="G2811" s="24" t="str">
        <f>IFERROR(__xludf.DUMMYFUNCTION("""COMPUTED_VALUE"""),"Beverly Pinn")</f>
        <v>Beverly Pinn</v>
      </c>
      <c r="H2811" s="24">
        <f>IFERROR(__xludf.DUMMYFUNCTION("""COMPUTED_VALUE"""),10.0)</f>
        <v>10</v>
      </c>
      <c r="I2811" s="24" t="str">
        <f>IFERROR(__xludf.DUMMYFUNCTION("""COMPUTED_VALUE"""),"Regular (up to 20lbs)")</f>
        <v>Regular (up to 20lbs)</v>
      </c>
    </row>
    <row r="2812">
      <c r="A2812" s="23">
        <f>IFERROR(__xludf.DUMMYFUNCTION("""COMPUTED_VALUE"""),44776.7219362037)</f>
        <v>44776.72194</v>
      </c>
      <c r="B2812" s="24" t="str">
        <f>IFERROR(__xludf.DUMMYFUNCTION("""COMPUTED_VALUE"""),"Deborah Claridy ")</f>
        <v>Deborah Claridy </v>
      </c>
      <c r="C2812" s="24">
        <f>IFERROR(__xludf.DUMMYFUNCTION("""COMPUTED_VALUE"""),9.0)</f>
        <v>9</v>
      </c>
      <c r="D2812" s="24"/>
      <c r="F2812" s="23">
        <f>IFERROR(__xludf.DUMMYFUNCTION("""COMPUTED_VALUE"""),44849.69145324074)</f>
        <v>44849.69145</v>
      </c>
      <c r="G2812" s="24" t="str">
        <f>IFERROR(__xludf.DUMMYFUNCTION("""COMPUTED_VALUE"""),"Beverly Pinn")</f>
        <v>Beverly Pinn</v>
      </c>
      <c r="H2812" s="24">
        <f>IFERROR(__xludf.DUMMYFUNCTION("""COMPUTED_VALUE"""),3.0)</f>
        <v>3</v>
      </c>
      <c r="I2812" s="24" t="str">
        <f>IFERROR(__xludf.DUMMYFUNCTION("""COMPUTED_VALUE"""),"Damage/expired/extra")</f>
        <v>Damage/expired/extra</v>
      </c>
    </row>
    <row r="2813">
      <c r="A2813" s="23">
        <f>IFERROR(__xludf.DUMMYFUNCTION("""COMPUTED_VALUE"""),44776.72246870371)</f>
        <v>44776.72247</v>
      </c>
      <c r="B2813" s="24" t="str">
        <f>IFERROR(__xludf.DUMMYFUNCTION("""COMPUTED_VALUE"""),"Deborah Claridy ")</f>
        <v>Deborah Claridy </v>
      </c>
      <c r="C2813" s="24">
        <f>IFERROR(__xludf.DUMMYFUNCTION("""COMPUTED_VALUE"""),3.0)</f>
        <v>3</v>
      </c>
      <c r="D2813" s="24"/>
      <c r="F2813" s="23">
        <f>IFERROR(__xludf.DUMMYFUNCTION("""COMPUTED_VALUE"""),44849.691540057865)</f>
        <v>44849.69154</v>
      </c>
      <c r="G2813" s="24" t="str">
        <f>IFERROR(__xludf.DUMMYFUNCTION("""COMPUTED_VALUE"""),"ryan jedlicka")</f>
        <v>ryan jedlicka</v>
      </c>
      <c r="H2813" s="24">
        <f>IFERROR(__xludf.DUMMYFUNCTION("""COMPUTED_VALUE"""),6.0)</f>
        <v>6</v>
      </c>
      <c r="I2813" s="24" t="str">
        <f>IFERROR(__xludf.DUMMYFUNCTION("""COMPUTED_VALUE"""),"Damage/expired/extra")</f>
        <v>Damage/expired/extra</v>
      </c>
    </row>
    <row r="2814">
      <c r="A2814" s="23">
        <f>IFERROR(__xludf.DUMMYFUNCTION("""COMPUTED_VALUE"""),44776.85150824074)</f>
        <v>44776.85151</v>
      </c>
      <c r="B2814" s="24" t="str">
        <f>IFERROR(__xludf.DUMMYFUNCTION("""COMPUTED_VALUE"""),"Connor Gephart")</f>
        <v>Connor Gephart</v>
      </c>
      <c r="C2814" s="24">
        <f>IFERROR(__xludf.DUMMYFUNCTION("""COMPUTED_VALUE"""),12.0)</f>
        <v>12</v>
      </c>
      <c r="D2814" s="24"/>
      <c r="F2814" s="23">
        <f>IFERROR(__xludf.DUMMYFUNCTION("""COMPUTED_VALUE"""),44849.704293553244)</f>
        <v>44849.70429</v>
      </c>
      <c r="G2814" s="24" t="str">
        <f>IFERROR(__xludf.DUMMYFUNCTION("""COMPUTED_VALUE"""),"Juanita Chandler ")</f>
        <v>Juanita Chandler </v>
      </c>
      <c r="H2814" s="24">
        <f>IFERROR(__xludf.DUMMYFUNCTION("""COMPUTED_VALUE"""),6.0)</f>
        <v>6</v>
      </c>
      <c r="I2814" s="24" t="str">
        <f>IFERROR(__xludf.DUMMYFUNCTION("""COMPUTED_VALUE"""),"Regular (up to 20lbs)")</f>
        <v>Regular (up to 20lbs)</v>
      </c>
    </row>
    <row r="2815">
      <c r="A2815" s="23">
        <f>IFERROR(__xludf.DUMMYFUNCTION("""COMPUTED_VALUE"""),44776.863107418976)</f>
        <v>44776.86311</v>
      </c>
      <c r="B2815" s="24" t="str">
        <f>IFERROR(__xludf.DUMMYFUNCTION("""COMPUTED_VALUE"""),"Dee Satterfield")</f>
        <v>Dee Satterfield</v>
      </c>
      <c r="C2815" s="24">
        <f>IFERROR(__xludf.DUMMYFUNCTION("""COMPUTED_VALUE"""),20.0)</f>
        <v>20</v>
      </c>
      <c r="D2815" s="24"/>
      <c r="F2815" s="23">
        <f>IFERROR(__xludf.DUMMYFUNCTION("""COMPUTED_VALUE"""),44850.0)</f>
        <v>44850</v>
      </c>
      <c r="G2815" s="24" t="str">
        <f>IFERROR(__xludf.DUMMYFUNCTION("""COMPUTED_VALUE"""),"Claire")</f>
        <v>Claire</v>
      </c>
      <c r="H2815" s="24">
        <f>IFERROR(__xludf.DUMMYFUNCTION("""COMPUTED_VALUE"""),51.0)</f>
        <v>51</v>
      </c>
      <c r="I2815" s="24" t="str">
        <f>IFERROR(__xludf.DUMMYFUNCTION("""COMPUTED_VALUE"""),"Homewood Friends")</f>
        <v>Homewood Friends</v>
      </c>
    </row>
    <row r="2816">
      <c r="A2816" s="23">
        <f>IFERROR(__xludf.DUMMYFUNCTION("""COMPUTED_VALUE"""),44776.863597812495)</f>
        <v>44776.8636</v>
      </c>
      <c r="B2816" s="24" t="str">
        <f>IFERROR(__xludf.DUMMYFUNCTION("""COMPUTED_VALUE"""),"Dee Satterfield")</f>
        <v>Dee Satterfield</v>
      </c>
      <c r="C2816" s="24">
        <f>IFERROR(__xludf.DUMMYFUNCTION("""COMPUTED_VALUE"""),37.0)</f>
        <v>37</v>
      </c>
      <c r="D2816" s="24"/>
      <c r="F2816" s="23">
        <f>IFERROR(__xludf.DUMMYFUNCTION("""COMPUTED_VALUE"""),44850.0)</f>
        <v>44850</v>
      </c>
      <c r="G2816" s="24" t="str">
        <f>IFERROR(__xludf.DUMMYFUNCTION("""COMPUTED_VALUE"""),"Dorja")</f>
        <v>Dorja</v>
      </c>
      <c r="H2816" s="24">
        <f>IFERROR(__xludf.DUMMYFUNCTION("""COMPUTED_VALUE"""),17.0)</f>
        <v>17</v>
      </c>
      <c r="I2816" s="24" t="str">
        <f>IFERROR(__xludf.DUMMYFUNCTION("""COMPUTED_VALUE"""),"Regular (up to 20lbs)")</f>
        <v>Regular (up to 20lbs)</v>
      </c>
    </row>
    <row r="2817">
      <c r="A2817" s="23">
        <f>IFERROR(__xludf.DUMMYFUNCTION("""COMPUTED_VALUE"""),44777.0)</f>
        <v>44777</v>
      </c>
      <c r="B2817" s="24" t="str">
        <f>IFERROR(__xludf.DUMMYFUNCTION("""COMPUTED_VALUE"""),"Norma K")</f>
        <v>Norma K</v>
      </c>
      <c r="C2817" s="24">
        <f>IFERROR(__xludf.DUMMYFUNCTION("""COMPUTED_VALUE"""),27.0)</f>
        <v>27</v>
      </c>
      <c r="D2817" s="24"/>
      <c r="F2817" s="23">
        <f>IFERROR(__xludf.DUMMYFUNCTION("""COMPUTED_VALUE"""),44850.559554050924)</f>
        <v>44850.55955</v>
      </c>
      <c r="G2817" s="24" t="str">
        <f>IFERROR(__xludf.DUMMYFUNCTION("""COMPUTED_VALUE"""),"Dorja")</f>
        <v>Dorja</v>
      </c>
      <c r="H2817" s="24">
        <f>IFERROR(__xludf.DUMMYFUNCTION("""COMPUTED_VALUE"""),419.0)</f>
        <v>419</v>
      </c>
      <c r="I2817" s="24" t="str">
        <f>IFERROR(__xludf.DUMMYFUNCTION("""COMPUTED_VALUE"""),"Amazon")</f>
        <v>Amazon</v>
      </c>
    </row>
    <row r="2818">
      <c r="A2818" s="23">
        <f>IFERROR(__xludf.DUMMYFUNCTION("""COMPUTED_VALUE"""),44777.0)</f>
        <v>44777</v>
      </c>
      <c r="B2818" s="24" t="str">
        <f>IFERROR(__xludf.DUMMYFUNCTION("""COMPUTED_VALUE"""),"Hong Xue")</f>
        <v>Hong Xue</v>
      </c>
      <c r="C2818" s="24">
        <f>IFERROR(__xludf.DUMMYFUNCTION("""COMPUTED_VALUE"""),21.0)</f>
        <v>21</v>
      </c>
      <c r="D2818" s="24"/>
      <c r="F2818" s="23">
        <f>IFERROR(__xludf.DUMMYFUNCTION("""COMPUTED_VALUE"""),44850.55992731482)</f>
        <v>44850.55993</v>
      </c>
      <c r="G2818" s="24" t="str">
        <f>IFERROR(__xludf.DUMMYFUNCTION("""COMPUTED_VALUE"""),"Dorja")</f>
        <v>Dorja</v>
      </c>
      <c r="H2818" s="24">
        <f>IFERROR(__xludf.DUMMYFUNCTION("""COMPUTED_VALUE"""),755.0)</f>
        <v>755</v>
      </c>
      <c r="I2818" s="24" t="str">
        <f>IFERROR(__xludf.DUMMYFUNCTION("""COMPUTED_VALUE"""),"Amazon")</f>
        <v>Amazon</v>
      </c>
    </row>
    <row r="2819">
      <c r="A2819" s="23">
        <f>IFERROR(__xludf.DUMMYFUNCTION("""COMPUTED_VALUE"""),44777.0)</f>
        <v>44777</v>
      </c>
      <c r="B2819" s="24" t="str">
        <f>IFERROR(__xludf.DUMMYFUNCTION("""COMPUTED_VALUE"""),"Hong Xue")</f>
        <v>Hong Xue</v>
      </c>
      <c r="C2819" s="24">
        <f>IFERROR(__xludf.DUMMYFUNCTION("""COMPUTED_VALUE"""),47.0)</f>
        <v>47</v>
      </c>
      <c r="D2819" s="24"/>
      <c r="F2819" s="23">
        <f>IFERROR(__xludf.DUMMYFUNCTION("""COMPUTED_VALUE"""),44850.56246076389)</f>
        <v>44850.56246</v>
      </c>
      <c r="G2819" s="24" t="str">
        <f>IFERROR(__xludf.DUMMYFUNCTION("""COMPUTED_VALUE"""),"Dorja ")</f>
        <v>Dorja </v>
      </c>
      <c r="H2819" s="24">
        <f>IFERROR(__xludf.DUMMYFUNCTION("""COMPUTED_VALUE"""),638.0)</f>
        <v>638</v>
      </c>
      <c r="I2819" s="24" t="str">
        <f>IFERROR(__xludf.DUMMYFUNCTION("""COMPUTED_VALUE"""),"Amazon")</f>
        <v>Amazon</v>
      </c>
    </row>
    <row r="2820">
      <c r="A2820" s="23">
        <f>IFERROR(__xludf.DUMMYFUNCTION("""COMPUTED_VALUE"""),44777.0)</f>
        <v>44777</v>
      </c>
      <c r="B2820" s="24" t="str">
        <f>IFERROR(__xludf.DUMMYFUNCTION("""COMPUTED_VALUE"""),"Nathaniel McClean")</f>
        <v>Nathaniel McClean</v>
      </c>
      <c r="C2820" s="24">
        <f>IFERROR(__xludf.DUMMYFUNCTION("""COMPUTED_VALUE"""),20.0)</f>
        <v>20</v>
      </c>
      <c r="D2820" s="24"/>
      <c r="F2820" s="23">
        <f>IFERROR(__xludf.DUMMYFUNCTION("""COMPUTED_VALUE"""),44850.56442368055)</f>
        <v>44850.56442</v>
      </c>
      <c r="G2820" s="24" t="str">
        <f>IFERROR(__xludf.DUMMYFUNCTION("""COMPUTED_VALUE"""),"Dorja ")</f>
        <v>Dorja </v>
      </c>
      <c r="H2820" s="24">
        <f>IFERROR(__xludf.DUMMYFUNCTION("""COMPUTED_VALUE"""),323.0)</f>
        <v>323</v>
      </c>
      <c r="I2820" s="24" t="str">
        <f>IFERROR(__xludf.DUMMYFUNCTION("""COMPUTED_VALUE"""),"Amazon")</f>
        <v>Amazon</v>
      </c>
    </row>
    <row r="2821">
      <c r="A2821" s="23">
        <f>IFERROR(__xludf.DUMMYFUNCTION("""COMPUTED_VALUE"""),44777.0)</f>
        <v>44777</v>
      </c>
      <c r="B2821" s="24" t="str">
        <f>IFERROR(__xludf.DUMMYFUNCTION("""COMPUTED_VALUE"""),"Nathaniel McClean")</f>
        <v>Nathaniel McClean</v>
      </c>
      <c r="C2821" s="24">
        <f>IFERROR(__xludf.DUMMYFUNCTION("""COMPUTED_VALUE"""),16.0)</f>
        <v>16</v>
      </c>
      <c r="D2821" s="24"/>
      <c r="F2821" s="23">
        <f>IFERROR(__xludf.DUMMYFUNCTION("""COMPUTED_VALUE"""),44850.56642481482)</f>
        <v>44850.56642</v>
      </c>
      <c r="G2821" s="24" t="str">
        <f>IFERROR(__xludf.DUMMYFUNCTION("""COMPUTED_VALUE"""),"Dorja ")</f>
        <v>Dorja </v>
      </c>
      <c r="H2821" s="24">
        <f>IFERROR(__xludf.DUMMYFUNCTION("""COMPUTED_VALUE"""),697.0)</f>
        <v>697</v>
      </c>
      <c r="I2821" s="24" t="str">
        <f>IFERROR(__xludf.DUMMYFUNCTION("""COMPUTED_VALUE"""),"Amazon")</f>
        <v>Amazon</v>
      </c>
    </row>
    <row r="2822">
      <c r="A2822" s="23">
        <f>IFERROR(__xludf.DUMMYFUNCTION("""COMPUTED_VALUE"""),44778.0)</f>
        <v>44778</v>
      </c>
      <c r="B2822" s="24" t="str">
        <f>IFERROR(__xludf.DUMMYFUNCTION("""COMPUTED_VALUE"""),"Juanita Chandler ")</f>
        <v>Juanita Chandler </v>
      </c>
      <c r="C2822" s="24">
        <f>IFERROR(__xludf.DUMMYFUNCTION("""COMPUTED_VALUE"""),8.0)</f>
        <v>8</v>
      </c>
      <c r="D2822" s="24"/>
      <c r="F2822" s="23">
        <f>IFERROR(__xludf.DUMMYFUNCTION("""COMPUTED_VALUE"""),44850.56819111111)</f>
        <v>44850.56819</v>
      </c>
      <c r="G2822" s="24" t="str">
        <f>IFERROR(__xludf.DUMMYFUNCTION("""COMPUTED_VALUE"""),"Dorja ")</f>
        <v>Dorja </v>
      </c>
      <c r="H2822" s="24">
        <f>IFERROR(__xludf.DUMMYFUNCTION("""COMPUTED_VALUE"""),477.0)</f>
        <v>477</v>
      </c>
      <c r="I2822" s="24" t="str">
        <f>IFERROR(__xludf.DUMMYFUNCTION("""COMPUTED_VALUE"""),"Amazon")</f>
        <v>Amazon</v>
      </c>
    </row>
    <row r="2823">
      <c r="A2823" s="23">
        <f>IFERROR(__xludf.DUMMYFUNCTION("""COMPUTED_VALUE"""),44778.0)</f>
        <v>44778</v>
      </c>
      <c r="B2823" s="24" t="str">
        <f>IFERROR(__xludf.DUMMYFUNCTION("""COMPUTED_VALUE"""),"Juanita Chandler ")</f>
        <v>Juanita Chandler </v>
      </c>
      <c r="C2823" s="24">
        <f>IFERROR(__xludf.DUMMYFUNCTION("""COMPUTED_VALUE"""),12.0)</f>
        <v>12</v>
      </c>
      <c r="D2823" s="24"/>
      <c r="F2823" s="23">
        <f>IFERROR(__xludf.DUMMYFUNCTION("""COMPUTED_VALUE"""),44850.57131555556)</f>
        <v>44850.57132</v>
      </c>
      <c r="G2823" s="24" t="str">
        <f>IFERROR(__xludf.DUMMYFUNCTION("""COMPUTED_VALUE"""),"Dorja")</f>
        <v>Dorja</v>
      </c>
      <c r="H2823" s="24">
        <f>IFERROR(__xludf.DUMMYFUNCTION("""COMPUTED_VALUE"""),659.0)</f>
        <v>659</v>
      </c>
      <c r="I2823" s="24" t="str">
        <f>IFERROR(__xludf.DUMMYFUNCTION("""COMPUTED_VALUE"""),"Amazon")</f>
        <v>Amazon</v>
      </c>
    </row>
    <row r="2824">
      <c r="A2824" s="23">
        <f>IFERROR(__xludf.DUMMYFUNCTION("""COMPUTED_VALUE"""),44779.0)</f>
        <v>44779</v>
      </c>
      <c r="B2824" s="24" t="str">
        <f>IFERROR(__xludf.DUMMYFUNCTION("""COMPUTED_VALUE"""),"Denise Brown")</f>
        <v>Denise Brown</v>
      </c>
      <c r="C2824" s="24">
        <f>IFERROR(__xludf.DUMMYFUNCTION("""COMPUTED_VALUE"""),10.0)</f>
        <v>10</v>
      </c>
      <c r="D2824" s="24"/>
      <c r="F2824" s="23">
        <f>IFERROR(__xludf.DUMMYFUNCTION("""COMPUTED_VALUE"""),44850.575658333335)</f>
        <v>44850.57566</v>
      </c>
      <c r="G2824" s="24" t="str">
        <f>IFERROR(__xludf.DUMMYFUNCTION("""COMPUTED_VALUE"""),"Dorja ")</f>
        <v>Dorja </v>
      </c>
      <c r="H2824" s="24">
        <f>IFERROR(__xludf.DUMMYFUNCTION("""COMPUTED_VALUE"""),742.0)</f>
        <v>742</v>
      </c>
      <c r="I2824" s="24" t="str">
        <f>IFERROR(__xludf.DUMMYFUNCTION("""COMPUTED_VALUE"""),"Amazon")</f>
        <v>Amazon</v>
      </c>
    </row>
    <row r="2825">
      <c r="A2825" s="23">
        <f>IFERROR(__xludf.DUMMYFUNCTION("""COMPUTED_VALUE"""),44779.0)</f>
        <v>44779</v>
      </c>
      <c r="B2825" s="24" t="str">
        <f>IFERROR(__xludf.DUMMYFUNCTION("""COMPUTED_VALUE"""),"Cheryl Utsey")</f>
        <v>Cheryl Utsey</v>
      </c>
      <c r="C2825" s="24">
        <f>IFERROR(__xludf.DUMMYFUNCTION("""COMPUTED_VALUE"""),20.0)</f>
        <v>20</v>
      </c>
      <c r="D2825" s="24"/>
      <c r="F2825" s="23">
        <f>IFERROR(__xludf.DUMMYFUNCTION("""COMPUTED_VALUE"""),44850.619519629625)</f>
        <v>44850.61952</v>
      </c>
      <c r="G2825" s="24" t="str">
        <f>IFERROR(__xludf.DUMMYFUNCTION("""COMPUTED_VALUE"""),"Carla")</f>
        <v>Carla</v>
      </c>
      <c r="H2825" s="24">
        <f>IFERROR(__xludf.DUMMYFUNCTION("""COMPUTED_VALUE"""),14.0)</f>
        <v>14</v>
      </c>
      <c r="I2825" s="24" t="str">
        <f>IFERROR(__xludf.DUMMYFUNCTION("""COMPUTED_VALUE"""),"Regular (up to 20lbs)")</f>
        <v>Regular (up to 20lbs)</v>
      </c>
    </row>
    <row r="2826">
      <c r="A2826" s="23">
        <f>IFERROR(__xludf.DUMMYFUNCTION("""COMPUTED_VALUE"""),44779.712543275455)</f>
        <v>44779.71254</v>
      </c>
      <c r="B2826" s="24" t="str">
        <f>IFERROR(__xludf.DUMMYFUNCTION("""COMPUTED_VALUE"""),"Cybil Bailey")</f>
        <v>Cybil Bailey</v>
      </c>
      <c r="C2826" s="24">
        <f>IFERROR(__xludf.DUMMYFUNCTION("""COMPUTED_VALUE"""),7.0)</f>
        <v>7</v>
      </c>
      <c r="D2826" s="24"/>
      <c r="F2826" s="23">
        <f>IFERROR(__xludf.DUMMYFUNCTION("""COMPUTED_VALUE"""),44850.65384052083)</f>
        <v>44850.65384</v>
      </c>
      <c r="G2826" s="24" t="str">
        <f>IFERROR(__xludf.DUMMYFUNCTION("""COMPUTED_VALUE"""),"Dorja")</f>
        <v>Dorja</v>
      </c>
      <c r="H2826" s="24">
        <f>IFERROR(__xludf.DUMMYFUNCTION("""COMPUTED_VALUE"""),32.0)</f>
        <v>32</v>
      </c>
      <c r="I2826" s="24" t="str">
        <f>IFERROR(__xludf.DUMMYFUNCTION("""COMPUTED_VALUE"""),"Damage/expired/extra")</f>
        <v>Damage/expired/extra</v>
      </c>
    </row>
    <row r="2827">
      <c r="A2827" s="23">
        <f>IFERROR(__xludf.DUMMYFUNCTION("""COMPUTED_VALUE"""),44779.716206550926)</f>
        <v>44779.71621</v>
      </c>
      <c r="B2827" s="24" t="str">
        <f>IFERROR(__xludf.DUMMYFUNCTION("""COMPUTED_VALUE"""),"Gilda castillo huertos ")</f>
        <v>Gilda castillo huertos </v>
      </c>
      <c r="C2827" s="24">
        <f>IFERROR(__xludf.DUMMYFUNCTION("""COMPUTED_VALUE"""),15.0)</f>
        <v>15</v>
      </c>
      <c r="D2827" s="24"/>
      <c r="F2827" s="23">
        <f>IFERROR(__xludf.DUMMYFUNCTION("""COMPUTED_VALUE"""),44850.67151299769)</f>
        <v>44850.67151</v>
      </c>
      <c r="G2827" s="24" t="str">
        <f>IFERROR(__xludf.DUMMYFUNCTION("""COMPUTED_VALUE"""),"Kate Weeks")</f>
        <v>Kate Weeks</v>
      </c>
      <c r="H2827" s="24">
        <f>IFERROR(__xludf.DUMMYFUNCTION("""COMPUTED_VALUE"""),20.0)</f>
        <v>20</v>
      </c>
      <c r="I2827" s="24" t="str">
        <f>IFERROR(__xludf.DUMMYFUNCTION("""COMPUTED_VALUE"""),"Regular (up to 20lbs)")</f>
        <v>Regular (up to 20lbs)</v>
      </c>
    </row>
    <row r="2828">
      <c r="A2828" s="23">
        <f>IFERROR(__xludf.DUMMYFUNCTION("""COMPUTED_VALUE"""),44779.71623877315)</f>
        <v>44779.71624</v>
      </c>
      <c r="B2828" s="24" t="str">
        <f>IFERROR(__xludf.DUMMYFUNCTION("""COMPUTED_VALUE"""),"Angeles cortes")</f>
        <v>Angeles cortes</v>
      </c>
      <c r="C2828" s="24">
        <f>IFERROR(__xludf.DUMMYFUNCTION("""COMPUTED_VALUE"""),20.0)</f>
        <v>20</v>
      </c>
      <c r="D2828" s="24"/>
      <c r="F2828" s="23">
        <f>IFERROR(__xludf.DUMMYFUNCTION("""COMPUTED_VALUE"""),44850.672194976854)</f>
        <v>44850.67219</v>
      </c>
      <c r="G2828" s="24" t="str">
        <f>IFERROR(__xludf.DUMMYFUNCTION("""COMPUTED_VALUE"""),"Kate Weeks ")</f>
        <v>Kate Weeks </v>
      </c>
      <c r="H2828" s="24">
        <f>IFERROR(__xludf.DUMMYFUNCTION("""COMPUTED_VALUE"""),28.0)</f>
        <v>28</v>
      </c>
      <c r="I2828" s="24" t="str">
        <f>IFERROR(__xludf.DUMMYFUNCTION("""COMPUTED_VALUE"""),"Damage/expired/extra")</f>
        <v>Damage/expired/extra</v>
      </c>
    </row>
    <row r="2829">
      <c r="A2829" s="23">
        <f>IFERROR(__xludf.DUMMYFUNCTION("""COMPUTED_VALUE"""),44779.71829471065)</f>
        <v>44779.71829</v>
      </c>
      <c r="B2829" s="24" t="str">
        <f>IFERROR(__xludf.DUMMYFUNCTION("""COMPUTED_VALUE"""),"Sara B")</f>
        <v>Sara B</v>
      </c>
      <c r="C2829" s="24">
        <f>IFERROR(__xludf.DUMMYFUNCTION("""COMPUTED_VALUE"""),16.0)</f>
        <v>16</v>
      </c>
      <c r="D2829" s="24"/>
      <c r="F2829" s="23">
        <f>IFERROR(__xludf.DUMMYFUNCTION("""COMPUTED_VALUE"""),44850.672247951385)</f>
        <v>44850.67225</v>
      </c>
      <c r="G2829" s="24" t="str">
        <f>IFERROR(__xludf.DUMMYFUNCTION("""COMPUTED_VALUE"""),"Denise Rivers")</f>
        <v>Denise Rivers</v>
      </c>
      <c r="H2829" s="24">
        <f>IFERROR(__xludf.DUMMYFUNCTION("""COMPUTED_VALUE"""),17.0)</f>
        <v>17</v>
      </c>
      <c r="I2829" s="24" t="str">
        <f>IFERROR(__xludf.DUMMYFUNCTION("""COMPUTED_VALUE"""),"Regular (up to 20lbs)")</f>
        <v>Regular (up to 20lbs)</v>
      </c>
    </row>
    <row r="2830">
      <c r="A2830" s="23">
        <f>IFERROR(__xludf.DUMMYFUNCTION("""COMPUTED_VALUE"""),44779.722447870365)</f>
        <v>44779.72245</v>
      </c>
      <c r="B2830" s="24" t="str">
        <f>IFERROR(__xludf.DUMMYFUNCTION("""COMPUTED_VALUE"""),"Zach Brilliant")</f>
        <v>Zach Brilliant</v>
      </c>
      <c r="C2830" s="24">
        <f>IFERROR(__xludf.DUMMYFUNCTION("""COMPUTED_VALUE"""),19.0)</f>
        <v>19</v>
      </c>
      <c r="D2830" s="24"/>
      <c r="F2830" s="23">
        <f>IFERROR(__xludf.DUMMYFUNCTION("""COMPUTED_VALUE"""),44850.6739112963)</f>
        <v>44850.67391</v>
      </c>
      <c r="G2830" s="24" t="str">
        <f>IFERROR(__xludf.DUMMYFUNCTION("""COMPUTED_VALUE"""),"Denise Rivers")</f>
        <v>Denise Rivers</v>
      </c>
      <c r="H2830" s="24">
        <f>IFERROR(__xludf.DUMMYFUNCTION("""COMPUTED_VALUE"""),22.0)</f>
        <v>22</v>
      </c>
      <c r="I2830" s="24" t="str">
        <f>IFERROR(__xludf.DUMMYFUNCTION("""COMPUTED_VALUE"""),"Damage/expired/extra")</f>
        <v>Damage/expired/extra</v>
      </c>
    </row>
    <row r="2831">
      <c r="A2831" s="23">
        <f>IFERROR(__xludf.DUMMYFUNCTION("""COMPUTED_VALUE"""),44779.0)</f>
        <v>44779</v>
      </c>
      <c r="B2831" s="24" t="str">
        <f>IFERROR(__xludf.DUMMYFUNCTION("""COMPUTED_VALUE"""),"Zach Brilliant")</f>
        <v>Zach Brilliant</v>
      </c>
      <c r="C2831" s="24">
        <f>IFERROR(__xludf.DUMMYFUNCTION("""COMPUTED_VALUE"""),3.0)</f>
        <v>3</v>
      </c>
      <c r="D2831" s="24"/>
      <c r="F2831" s="23">
        <f>IFERROR(__xludf.DUMMYFUNCTION("""COMPUTED_VALUE"""),44850.680235081025)</f>
        <v>44850.68024</v>
      </c>
      <c r="G2831" s="24" t="str">
        <f>IFERROR(__xludf.DUMMYFUNCTION("""COMPUTED_VALUE"""),"Opeyemi ")</f>
        <v>Opeyemi </v>
      </c>
      <c r="H2831" s="24">
        <f>IFERROR(__xludf.DUMMYFUNCTION("""COMPUTED_VALUE"""),6.0)</f>
        <v>6</v>
      </c>
      <c r="I2831" s="24" t="str">
        <f>IFERROR(__xludf.DUMMYFUNCTION("""COMPUTED_VALUE"""),"Regular (up to 20lbs)")</f>
        <v>Regular (up to 20lbs)</v>
      </c>
    </row>
    <row r="2832">
      <c r="A2832" s="23">
        <f>IFERROR(__xludf.DUMMYFUNCTION("""COMPUTED_VALUE"""),44779.72325997685)</f>
        <v>44779.72326</v>
      </c>
      <c r="B2832" s="24" t="str">
        <f>IFERROR(__xludf.DUMMYFUNCTION("""COMPUTED_VALUE"""),"Beverly Pinn")</f>
        <v>Beverly Pinn</v>
      </c>
      <c r="C2832" s="24">
        <f>IFERROR(__xludf.DUMMYFUNCTION("""COMPUTED_VALUE"""),20.0)</f>
        <v>20</v>
      </c>
      <c r="D2832" s="24"/>
      <c r="F2832" s="23">
        <f>IFERROR(__xludf.DUMMYFUNCTION("""COMPUTED_VALUE"""),44850.68075998843)</f>
        <v>44850.68076</v>
      </c>
      <c r="G2832" s="24" t="str">
        <f>IFERROR(__xludf.DUMMYFUNCTION("""COMPUTED_VALUE"""),"Zoe")</f>
        <v>Zoe</v>
      </c>
      <c r="H2832" s="24">
        <f>IFERROR(__xludf.DUMMYFUNCTION("""COMPUTED_VALUE"""),17.0)</f>
        <v>17</v>
      </c>
      <c r="I2832" s="24" t="str">
        <f>IFERROR(__xludf.DUMMYFUNCTION("""COMPUTED_VALUE"""),"Regular (up to 20lbs)")</f>
        <v>Regular (up to 20lbs)</v>
      </c>
    </row>
    <row r="2833">
      <c r="A2833" s="23">
        <f>IFERROR(__xludf.DUMMYFUNCTION("""COMPUTED_VALUE"""),44779.723453969906)</f>
        <v>44779.72345</v>
      </c>
      <c r="B2833" s="24" t="str">
        <f>IFERROR(__xludf.DUMMYFUNCTION("""COMPUTED_VALUE"""),"Beverly Pinn")</f>
        <v>Beverly Pinn</v>
      </c>
      <c r="C2833" s="24">
        <f>IFERROR(__xludf.DUMMYFUNCTION("""COMPUTED_VALUE"""),5.0)</f>
        <v>5</v>
      </c>
      <c r="D2833" s="24"/>
      <c r="F2833" s="23">
        <f>IFERROR(__xludf.DUMMYFUNCTION("""COMPUTED_VALUE"""),44852.0)</f>
        <v>44852</v>
      </c>
      <c r="G2833" s="24" t="str">
        <f>IFERROR(__xludf.DUMMYFUNCTION("""COMPUTED_VALUE"""),"Claire")</f>
        <v>Claire</v>
      </c>
      <c r="H2833" s="24">
        <f>IFERROR(__xludf.DUMMYFUNCTION("""COMPUTED_VALUE"""),1049.0)</f>
        <v>1049</v>
      </c>
      <c r="I2833" s="24" t="str">
        <f>IFERROR(__xludf.DUMMYFUNCTION("""COMPUTED_VALUE"""),"Dole")</f>
        <v>Dole</v>
      </c>
    </row>
    <row r="2834">
      <c r="A2834" s="23">
        <f>IFERROR(__xludf.DUMMYFUNCTION("""COMPUTED_VALUE"""),44779.735232106475)</f>
        <v>44779.73523</v>
      </c>
      <c r="B2834" s="24" t="str">
        <f>IFERROR(__xludf.DUMMYFUNCTION("""COMPUTED_VALUE"""),"Emily ")</f>
        <v>Emily </v>
      </c>
      <c r="C2834" s="24">
        <f>IFERROR(__xludf.DUMMYFUNCTION("""COMPUTED_VALUE"""),5.0)</f>
        <v>5</v>
      </c>
      <c r="D2834" s="24"/>
      <c r="F2834" s="23">
        <f>IFERROR(__xludf.DUMMYFUNCTION("""COMPUTED_VALUE"""),44852.0)</f>
        <v>44852</v>
      </c>
      <c r="G2834" s="24" t="str">
        <f>IFERROR(__xludf.DUMMYFUNCTION("""COMPUTED_VALUE"""),"Claire")</f>
        <v>Claire</v>
      </c>
      <c r="H2834" s="24">
        <f>IFERROR(__xludf.DUMMYFUNCTION("""COMPUTED_VALUE"""),1052.0)</f>
        <v>1052</v>
      </c>
      <c r="I2834" s="24" t="str">
        <f>IFERROR(__xludf.DUMMYFUNCTION("""COMPUTED_VALUE"""),"Dole")</f>
        <v>Dole</v>
      </c>
    </row>
    <row r="2835">
      <c r="A2835" s="23">
        <f>IFERROR(__xludf.DUMMYFUNCTION("""COMPUTED_VALUE"""),44779.8717456713)</f>
        <v>44779.87175</v>
      </c>
      <c r="B2835" s="24" t="str">
        <f>IFERROR(__xludf.DUMMYFUNCTION("""COMPUTED_VALUE"""),"Luke Pitsenbarger")</f>
        <v>Luke Pitsenbarger</v>
      </c>
      <c r="C2835" s="24">
        <f>IFERROR(__xludf.DUMMYFUNCTION("""COMPUTED_VALUE"""),17.0)</f>
        <v>17</v>
      </c>
      <c r="D2835" s="24"/>
      <c r="F2835" s="23">
        <f>IFERROR(__xludf.DUMMYFUNCTION("""COMPUTED_VALUE"""),44852.0)</f>
        <v>44852</v>
      </c>
      <c r="G2835" s="24" t="str">
        <f>IFERROR(__xludf.DUMMYFUNCTION("""COMPUTED_VALUE"""),"Claire")</f>
        <v>Claire</v>
      </c>
      <c r="H2835" s="24">
        <f>IFERROR(__xludf.DUMMYFUNCTION("""COMPUTED_VALUE"""),1533.0)</f>
        <v>1533</v>
      </c>
      <c r="I2835" s="24" t="str">
        <f>IFERROR(__xludf.DUMMYFUNCTION("""COMPUTED_VALUE"""),"Dole")</f>
        <v>Dole</v>
      </c>
    </row>
    <row r="2836">
      <c r="A2836" s="23">
        <f>IFERROR(__xludf.DUMMYFUNCTION("""COMPUTED_VALUE"""),44779.0)</f>
        <v>44779</v>
      </c>
      <c r="B2836" s="24" t="str">
        <f>IFERROR(__xludf.DUMMYFUNCTION("""COMPUTED_VALUE"""),"Luke Pitsenbarger")</f>
        <v>Luke Pitsenbarger</v>
      </c>
      <c r="C2836" s="24">
        <f>IFERROR(__xludf.DUMMYFUNCTION("""COMPUTED_VALUE"""),3.0)</f>
        <v>3</v>
      </c>
      <c r="D2836" s="24"/>
      <c r="F2836" s="23">
        <f>IFERROR(__xludf.DUMMYFUNCTION("""COMPUTED_VALUE"""),44852.0)</f>
        <v>44852</v>
      </c>
      <c r="G2836" s="24" t="str">
        <f>IFERROR(__xludf.DUMMYFUNCTION("""COMPUTED_VALUE"""),"Hong Xue")</f>
        <v>Hong Xue</v>
      </c>
      <c r="H2836" s="24">
        <f>IFERROR(__xludf.DUMMYFUNCTION("""COMPUTED_VALUE"""),20.0)</f>
        <v>20</v>
      </c>
      <c r="I2836" s="24" t="str">
        <f>IFERROR(__xludf.DUMMYFUNCTION("""COMPUTED_VALUE"""),"Regular (up to 20lbs)")</f>
        <v>Regular (up to 20lbs)</v>
      </c>
    </row>
    <row r="2837">
      <c r="A2837" s="23">
        <f>IFERROR(__xludf.DUMMYFUNCTION("""COMPUTED_VALUE"""),44780.0)</f>
        <v>44780</v>
      </c>
      <c r="B2837" s="24" t="str">
        <f>IFERROR(__xludf.DUMMYFUNCTION("""COMPUTED_VALUE"""),"Marci")</f>
        <v>Marci</v>
      </c>
      <c r="C2837" s="24">
        <f>IFERROR(__xludf.DUMMYFUNCTION("""COMPUTED_VALUE"""),19.0)</f>
        <v>19</v>
      </c>
      <c r="D2837" s="24"/>
      <c r="F2837" s="23">
        <f>IFERROR(__xludf.DUMMYFUNCTION("""COMPUTED_VALUE"""),44852.0)</f>
        <v>44852</v>
      </c>
      <c r="G2837" s="24" t="str">
        <f>IFERROR(__xludf.DUMMYFUNCTION("""COMPUTED_VALUE"""),"Hong Xue")</f>
        <v>Hong Xue</v>
      </c>
      <c r="H2837" s="24">
        <f>IFERROR(__xludf.DUMMYFUNCTION("""COMPUTED_VALUE"""),9.0)</f>
        <v>9</v>
      </c>
      <c r="I2837" s="24" t="str">
        <f>IFERROR(__xludf.DUMMYFUNCTION("""COMPUTED_VALUE"""),"Damage/expired/extra")</f>
        <v>Damage/expired/extra</v>
      </c>
    </row>
    <row r="2838">
      <c r="A2838" s="23">
        <f>IFERROR(__xludf.DUMMYFUNCTION("""COMPUTED_VALUE"""),44780.0)</f>
        <v>44780</v>
      </c>
      <c r="B2838" s="24" t="str">
        <f>IFERROR(__xludf.DUMMYFUNCTION("""COMPUTED_VALUE"""),"Marci")</f>
        <v>Marci</v>
      </c>
      <c r="C2838" s="24">
        <f>IFERROR(__xludf.DUMMYFUNCTION("""COMPUTED_VALUE"""),58.0)</f>
        <v>58</v>
      </c>
      <c r="D2838" s="24"/>
      <c r="F2838" s="23">
        <f>IFERROR(__xludf.DUMMYFUNCTION("""COMPUTED_VALUE"""),44852.0)</f>
        <v>44852</v>
      </c>
      <c r="G2838" s="24" t="str">
        <f>IFERROR(__xludf.DUMMYFUNCTION("""COMPUTED_VALUE"""),"Marci")</f>
        <v>Marci</v>
      </c>
      <c r="H2838" s="24">
        <f>IFERROR(__xludf.DUMMYFUNCTION("""COMPUTED_VALUE"""),18.0)</f>
        <v>18</v>
      </c>
      <c r="I2838" s="24" t="str">
        <f>IFERROR(__xludf.DUMMYFUNCTION("""COMPUTED_VALUE"""),"Regular (up to 20lbs)")</f>
        <v>Regular (up to 20lbs)</v>
      </c>
    </row>
    <row r="2839">
      <c r="A2839" s="23">
        <f>IFERROR(__xludf.DUMMYFUNCTION("""COMPUTED_VALUE"""),44780.668288067136)</f>
        <v>44780.66829</v>
      </c>
      <c r="B2839" s="24" t="str">
        <f>IFERROR(__xludf.DUMMYFUNCTION("""COMPUTED_VALUE"""),"DeAuntae Corry")</f>
        <v>DeAuntae Corry</v>
      </c>
      <c r="C2839" s="24">
        <f>IFERROR(__xludf.DUMMYFUNCTION("""COMPUTED_VALUE"""),19.8)</f>
        <v>19.8</v>
      </c>
      <c r="D2839" s="24"/>
      <c r="F2839" s="23">
        <f>IFERROR(__xludf.DUMMYFUNCTION("""COMPUTED_VALUE"""),44852.0)</f>
        <v>44852</v>
      </c>
      <c r="G2839" s="24" t="str">
        <f>IFERROR(__xludf.DUMMYFUNCTION("""COMPUTED_VALUE"""),"Marci")</f>
        <v>Marci</v>
      </c>
      <c r="H2839" s="24">
        <f>IFERROR(__xludf.DUMMYFUNCTION("""COMPUTED_VALUE"""),52.0)</f>
        <v>52</v>
      </c>
      <c r="I2839" s="24" t="str">
        <f>IFERROR(__xludf.DUMMYFUNCTION("""COMPUTED_VALUE"""),"Damage/expired/extra")</f>
        <v>Damage/expired/extra</v>
      </c>
    </row>
    <row r="2840">
      <c r="A2840" s="23">
        <f>IFERROR(__xludf.DUMMYFUNCTION("""COMPUTED_VALUE"""),44780.66882197917)</f>
        <v>44780.66882</v>
      </c>
      <c r="B2840" s="24" t="str">
        <f>IFERROR(__xludf.DUMMYFUNCTION("""COMPUTED_VALUE"""),"Victoria (tori) ")</f>
        <v>Victoria (tori) </v>
      </c>
      <c r="C2840" s="24">
        <f>IFERROR(__xludf.DUMMYFUNCTION("""COMPUTED_VALUE"""),19.3)</f>
        <v>19.3</v>
      </c>
      <c r="D2840" s="24"/>
      <c r="F2840" s="23">
        <f>IFERROR(__xludf.DUMMYFUNCTION("""COMPUTED_VALUE"""),44852.58928748843)</f>
        <v>44852.58929</v>
      </c>
      <c r="G2840" s="24" t="str">
        <f>IFERROR(__xludf.DUMMYFUNCTION("""COMPUTED_VALUE"""),"Claire")</f>
        <v>Claire</v>
      </c>
      <c r="H2840" s="24">
        <f>IFERROR(__xludf.DUMMYFUNCTION("""COMPUTED_VALUE"""),136.0)</f>
        <v>136</v>
      </c>
      <c r="I2840" s="24" t="str">
        <f>IFERROR(__xludf.DUMMYFUNCTION("""COMPUTED_VALUE"""),"Produce")</f>
        <v>Produce</v>
      </c>
    </row>
    <row r="2841">
      <c r="A2841" s="23">
        <f>IFERROR(__xludf.DUMMYFUNCTION("""COMPUTED_VALUE"""),44780.67472028935)</f>
        <v>44780.67472</v>
      </c>
      <c r="B2841" s="24" t="str">
        <f>IFERROR(__xludf.DUMMYFUNCTION("""COMPUTED_VALUE"""),"DeAuntae")</f>
        <v>DeAuntae</v>
      </c>
      <c r="C2841" s="24">
        <f>IFERROR(__xludf.DUMMYFUNCTION("""COMPUTED_VALUE"""),14.8)</f>
        <v>14.8</v>
      </c>
      <c r="D2841" s="24"/>
      <c r="F2841" s="23">
        <f>IFERROR(__xludf.DUMMYFUNCTION("""COMPUTED_VALUE"""),44852.58952744213)</f>
        <v>44852.58953</v>
      </c>
      <c r="G2841" s="24" t="str">
        <f>IFERROR(__xludf.DUMMYFUNCTION("""COMPUTED_VALUE"""),"Claire")</f>
        <v>Claire</v>
      </c>
      <c r="H2841" s="24">
        <f>IFERROR(__xludf.DUMMYFUNCTION("""COMPUTED_VALUE"""),65.0)</f>
        <v>65</v>
      </c>
      <c r="I2841" s="24" t="str">
        <f>IFERROR(__xludf.DUMMYFUNCTION("""COMPUTED_VALUE"""),"Assorted Dry")</f>
        <v>Assorted Dry</v>
      </c>
    </row>
    <row r="2842">
      <c r="A2842" s="23">
        <f>IFERROR(__xludf.DUMMYFUNCTION("""COMPUTED_VALUE"""),44780.67504259259)</f>
        <v>44780.67504</v>
      </c>
      <c r="B2842" s="24" t="str">
        <f>IFERROR(__xludf.DUMMYFUNCTION("""COMPUTED_VALUE"""),"Tori")</f>
        <v>Tori</v>
      </c>
      <c r="C2842" s="24">
        <f>IFERROR(__xludf.DUMMYFUNCTION("""COMPUTED_VALUE"""),15.3)</f>
        <v>15.3</v>
      </c>
      <c r="D2842" s="24"/>
      <c r="F2842" s="23">
        <f>IFERROR(__xludf.DUMMYFUNCTION("""COMPUTED_VALUE"""),44852.589727129634)</f>
        <v>44852.58973</v>
      </c>
      <c r="G2842" s="24" t="str">
        <f>IFERROR(__xludf.DUMMYFUNCTION("""COMPUTED_VALUE"""),"Claire")</f>
        <v>Claire</v>
      </c>
      <c r="H2842" s="24">
        <f>IFERROR(__xludf.DUMMYFUNCTION("""COMPUTED_VALUE"""),43.0)</f>
        <v>43</v>
      </c>
      <c r="I2842" s="24" t="str">
        <f>IFERROR(__xludf.DUMMYFUNCTION("""COMPUTED_VALUE"""),"Produce")</f>
        <v>Produce</v>
      </c>
    </row>
    <row r="2843">
      <c r="A2843" s="23">
        <f>IFERROR(__xludf.DUMMYFUNCTION("""COMPUTED_VALUE"""),44780.68554813658)</f>
        <v>44780.68555</v>
      </c>
      <c r="B2843" s="24" t="str">
        <f>IFERROR(__xludf.DUMMYFUNCTION("""COMPUTED_VALUE"""),"Carla")</f>
        <v>Carla</v>
      </c>
      <c r="C2843" s="24">
        <f>IFERROR(__xludf.DUMMYFUNCTION("""COMPUTED_VALUE"""),20.0)</f>
        <v>20</v>
      </c>
      <c r="D2843" s="24"/>
      <c r="F2843" s="23">
        <f>IFERROR(__xludf.DUMMYFUNCTION("""COMPUTED_VALUE"""),44852.58998532407)</f>
        <v>44852.58999</v>
      </c>
      <c r="G2843" s="24" t="str">
        <f>IFERROR(__xludf.DUMMYFUNCTION("""COMPUTED_VALUE"""),"Claire")</f>
        <v>Claire</v>
      </c>
      <c r="H2843" s="24">
        <f>IFERROR(__xludf.DUMMYFUNCTION("""COMPUTED_VALUE"""),98.0)</f>
        <v>98</v>
      </c>
      <c r="I2843" s="24" t="str">
        <f>IFERROR(__xludf.DUMMYFUNCTION("""COMPUTED_VALUE"""),"Produce")</f>
        <v>Produce</v>
      </c>
    </row>
    <row r="2844">
      <c r="A2844" s="23">
        <f>IFERROR(__xludf.DUMMYFUNCTION("""COMPUTED_VALUE"""),44780.69975623842)</f>
        <v>44780.69976</v>
      </c>
      <c r="B2844" s="24" t="str">
        <f>IFERROR(__xludf.DUMMYFUNCTION("""COMPUTED_VALUE"""),"Opey")</f>
        <v>Opey</v>
      </c>
      <c r="C2844" s="24">
        <f>IFERROR(__xludf.DUMMYFUNCTION("""COMPUTED_VALUE"""),19.0)</f>
        <v>19</v>
      </c>
      <c r="D2844" s="24"/>
      <c r="F2844" s="23">
        <f>IFERROR(__xludf.DUMMYFUNCTION("""COMPUTED_VALUE"""),44852.5901921412)</f>
        <v>44852.59019</v>
      </c>
      <c r="G2844" s="24" t="str">
        <f>IFERROR(__xludf.DUMMYFUNCTION("""COMPUTED_VALUE"""),"Claire")</f>
        <v>Claire</v>
      </c>
      <c r="H2844" s="24">
        <f>IFERROR(__xludf.DUMMYFUNCTION("""COMPUTED_VALUE"""),16.0)</f>
        <v>16</v>
      </c>
      <c r="I2844" s="24" t="str">
        <f>IFERROR(__xludf.DUMMYFUNCTION("""COMPUTED_VALUE"""),"Produce")</f>
        <v>Produce</v>
      </c>
    </row>
    <row r="2845">
      <c r="A2845" s="23">
        <f>IFERROR(__xludf.DUMMYFUNCTION("""COMPUTED_VALUE"""),44780.7119169213)</f>
        <v>44780.71192</v>
      </c>
      <c r="B2845" s="24" t="str">
        <f>IFERROR(__xludf.DUMMYFUNCTION("""COMPUTED_VALUE"""),"Zoe")</f>
        <v>Zoe</v>
      </c>
      <c r="C2845" s="24">
        <f>IFERROR(__xludf.DUMMYFUNCTION("""COMPUTED_VALUE"""),20.0)</f>
        <v>20</v>
      </c>
      <c r="D2845" s="24"/>
      <c r="F2845" s="23">
        <f>IFERROR(__xludf.DUMMYFUNCTION("""COMPUTED_VALUE"""),44852.59040013889)</f>
        <v>44852.5904</v>
      </c>
      <c r="G2845" s="24" t="str">
        <f>IFERROR(__xludf.DUMMYFUNCTION("""COMPUTED_VALUE"""),"Claire")</f>
        <v>Claire</v>
      </c>
      <c r="H2845" s="24">
        <f>IFERROR(__xludf.DUMMYFUNCTION("""COMPUTED_VALUE"""),82.0)</f>
        <v>82</v>
      </c>
      <c r="I2845" s="24" t="str">
        <f>IFERROR(__xludf.DUMMYFUNCTION("""COMPUTED_VALUE"""),"Produce")</f>
        <v>Produce</v>
      </c>
    </row>
    <row r="2846">
      <c r="A2846" s="23">
        <f>IFERROR(__xludf.DUMMYFUNCTION("""COMPUTED_VALUE"""),44780.92136032408)</f>
        <v>44780.92136</v>
      </c>
      <c r="B2846" s="24" t="str">
        <f>IFERROR(__xludf.DUMMYFUNCTION("""COMPUTED_VALUE"""),"Dorja ")</f>
        <v>Dorja </v>
      </c>
      <c r="C2846" s="24"/>
      <c r="D2846" s="24"/>
      <c r="F2846" s="23">
        <f>IFERROR(__xludf.DUMMYFUNCTION("""COMPUTED_VALUE"""),44852.60700498842)</f>
        <v>44852.607</v>
      </c>
      <c r="G2846" s="24" t="str">
        <f>IFERROR(__xludf.DUMMYFUNCTION("""COMPUTED_VALUE"""),"Claire")</f>
        <v>Claire</v>
      </c>
      <c r="H2846" s="24">
        <f>IFERROR(__xludf.DUMMYFUNCTION("""COMPUTED_VALUE"""),279.0)</f>
        <v>279</v>
      </c>
      <c r="I2846" s="24" t="str">
        <f>IFERROR(__xludf.DUMMYFUNCTION("""COMPUTED_VALUE"""),"Hand sanitizer ")</f>
        <v>Hand sanitizer </v>
      </c>
    </row>
    <row r="2847">
      <c r="A2847" s="23">
        <f>IFERROR(__xludf.DUMMYFUNCTION("""COMPUTED_VALUE"""),44780.92153262731)</f>
        <v>44780.92153</v>
      </c>
      <c r="B2847" s="24" t="str">
        <f>IFERROR(__xludf.DUMMYFUNCTION("""COMPUTED_VALUE"""),"Dorja ")</f>
        <v>Dorja </v>
      </c>
      <c r="C2847" s="24"/>
      <c r="D2847" s="24"/>
      <c r="F2847" s="23">
        <f>IFERROR(__xludf.DUMMYFUNCTION("""COMPUTED_VALUE"""),44852.60724020834)</f>
        <v>44852.60724</v>
      </c>
      <c r="G2847" s="24" t="str">
        <f>IFERROR(__xludf.DUMMYFUNCTION("""COMPUTED_VALUE"""),"Claire")</f>
        <v>Claire</v>
      </c>
      <c r="H2847" s="24">
        <f>IFERROR(__xludf.DUMMYFUNCTION("""COMPUTED_VALUE"""),656.0)</f>
        <v>656</v>
      </c>
      <c r="I2847" s="24" t="str">
        <f>IFERROR(__xludf.DUMMYFUNCTION("""COMPUTED_VALUE"""),"Drinks [Dry]")</f>
        <v>Drinks [Dry]</v>
      </c>
    </row>
    <row r="2848">
      <c r="A2848" s="23">
        <f>IFERROR(__xludf.DUMMYFUNCTION("""COMPUTED_VALUE"""),44780.92169738426)</f>
        <v>44780.9217</v>
      </c>
      <c r="B2848" s="24" t="str">
        <f>IFERROR(__xludf.DUMMYFUNCTION("""COMPUTED_VALUE"""),"Dorja ")</f>
        <v>Dorja </v>
      </c>
      <c r="C2848" s="24">
        <f>IFERROR(__xludf.DUMMYFUNCTION("""COMPUTED_VALUE"""),18.0)</f>
        <v>18</v>
      </c>
      <c r="D2848" s="24"/>
      <c r="F2848" s="23">
        <f>IFERROR(__xludf.DUMMYFUNCTION("""COMPUTED_VALUE"""),44852.607507395835)</f>
        <v>44852.60751</v>
      </c>
      <c r="G2848" s="24" t="str">
        <f>IFERROR(__xludf.DUMMYFUNCTION("""COMPUTED_VALUE"""),"Claire")</f>
        <v>Claire</v>
      </c>
      <c r="H2848" s="24">
        <f>IFERROR(__xludf.DUMMYFUNCTION("""COMPUTED_VALUE"""),382.0)</f>
        <v>382</v>
      </c>
      <c r="I2848" s="24" t="str">
        <f>IFERROR(__xludf.DUMMYFUNCTION("""COMPUTED_VALUE"""),"Produce")</f>
        <v>Produce</v>
      </c>
    </row>
    <row r="2849">
      <c r="A2849" s="23">
        <f>IFERROR(__xludf.DUMMYFUNCTION("""COMPUTED_VALUE"""),44783.0)</f>
        <v>44783</v>
      </c>
      <c r="B2849" s="24" t="str">
        <f>IFERROR(__xludf.DUMMYFUNCTION("""COMPUTED_VALUE"""),"Marilyn Okine")</f>
        <v>Marilyn Okine</v>
      </c>
      <c r="C2849" s="24">
        <f>IFERROR(__xludf.DUMMYFUNCTION("""COMPUTED_VALUE"""),20.0)</f>
        <v>20</v>
      </c>
      <c r="D2849" s="24"/>
      <c r="F2849" s="23">
        <f>IFERROR(__xludf.DUMMYFUNCTION("""COMPUTED_VALUE"""),44852.60786289352)</f>
        <v>44852.60786</v>
      </c>
      <c r="G2849" s="24" t="str">
        <f>IFERROR(__xludf.DUMMYFUNCTION("""COMPUTED_VALUE"""),"Claire")</f>
        <v>Claire</v>
      </c>
      <c r="H2849" s="24">
        <f>IFERROR(__xludf.DUMMYFUNCTION("""COMPUTED_VALUE"""),410.0)</f>
        <v>410</v>
      </c>
      <c r="I2849" s="24" t="str">
        <f>IFERROR(__xludf.DUMMYFUNCTION("""COMPUTED_VALUE"""),"Produce")</f>
        <v>Produce</v>
      </c>
    </row>
    <row r="2850">
      <c r="A2850" s="23">
        <f>IFERROR(__xludf.DUMMYFUNCTION("""COMPUTED_VALUE"""),44783.0)</f>
        <v>44783</v>
      </c>
      <c r="B2850" s="24" t="str">
        <f>IFERROR(__xludf.DUMMYFUNCTION("""COMPUTED_VALUE"""),"Imani Armour")</f>
        <v>Imani Armour</v>
      </c>
      <c r="C2850" s="24">
        <f>IFERROR(__xludf.DUMMYFUNCTION("""COMPUTED_VALUE"""),20.0)</f>
        <v>20</v>
      </c>
      <c r="D2850" s="24"/>
      <c r="F2850" s="23">
        <f>IFERROR(__xludf.DUMMYFUNCTION("""COMPUTED_VALUE"""),44852.608079791666)</f>
        <v>44852.60808</v>
      </c>
      <c r="G2850" s="24" t="str">
        <f>IFERROR(__xludf.DUMMYFUNCTION("""COMPUTED_VALUE"""),"Claire")</f>
        <v>Claire</v>
      </c>
      <c r="H2850" s="24">
        <f>IFERROR(__xludf.DUMMYFUNCTION("""COMPUTED_VALUE"""),190.0)</f>
        <v>190</v>
      </c>
      <c r="I2850" s="24" t="str">
        <f>IFERROR(__xludf.DUMMYFUNCTION("""COMPUTED_VALUE"""),"Produce")</f>
        <v>Produce</v>
      </c>
    </row>
    <row r="2851">
      <c r="A2851" s="23">
        <f>IFERROR(__xludf.DUMMYFUNCTION("""COMPUTED_VALUE"""),44783.0)</f>
        <v>44783</v>
      </c>
      <c r="B2851" s="24" t="str">
        <f>IFERROR(__xludf.DUMMYFUNCTION("""COMPUTED_VALUE"""),"Imani Armour")</f>
        <v>Imani Armour</v>
      </c>
      <c r="C2851" s="24">
        <f>IFERROR(__xludf.DUMMYFUNCTION("""COMPUTED_VALUE"""),6.0)</f>
        <v>6</v>
      </c>
      <c r="D2851" s="24"/>
      <c r="F2851" s="23">
        <f>IFERROR(__xludf.DUMMYFUNCTION("""COMPUTED_VALUE"""),44852.608293136575)</f>
        <v>44852.60829</v>
      </c>
      <c r="G2851" s="24" t="str">
        <f>IFERROR(__xludf.DUMMYFUNCTION("""COMPUTED_VALUE"""),"Claire")</f>
        <v>Claire</v>
      </c>
      <c r="H2851" s="24">
        <f>IFERROR(__xludf.DUMMYFUNCTION("""COMPUTED_VALUE"""),131.0)</f>
        <v>131</v>
      </c>
      <c r="I2851" s="24" t="str">
        <f>IFERROR(__xludf.DUMMYFUNCTION("""COMPUTED_VALUE"""),"Assorted Dry")</f>
        <v>Assorted Dry</v>
      </c>
    </row>
    <row r="2852">
      <c r="A2852" s="23">
        <f>IFERROR(__xludf.DUMMYFUNCTION("""COMPUTED_VALUE"""),44783.0)</f>
        <v>44783</v>
      </c>
      <c r="B2852" s="24" t="str">
        <f>IFERROR(__xludf.DUMMYFUNCTION("""COMPUTED_VALUE"""),"Juanita C")</f>
        <v>Juanita C</v>
      </c>
      <c r="C2852" s="24">
        <f>IFERROR(__xludf.DUMMYFUNCTION("""COMPUTED_VALUE"""),16.0)</f>
        <v>16</v>
      </c>
      <c r="D2852" s="24"/>
      <c r="F2852" s="23">
        <f>IFERROR(__xludf.DUMMYFUNCTION("""COMPUTED_VALUE"""),44852.60858585648)</f>
        <v>44852.60859</v>
      </c>
      <c r="G2852" s="24" t="str">
        <f>IFERROR(__xludf.DUMMYFUNCTION("""COMPUTED_VALUE"""),"Claire")</f>
        <v>Claire</v>
      </c>
      <c r="H2852" s="24">
        <f>IFERROR(__xludf.DUMMYFUNCTION("""COMPUTED_VALUE"""),183.0)</f>
        <v>183</v>
      </c>
      <c r="I2852" s="24" t="str">
        <f>IFERROR(__xludf.DUMMYFUNCTION("""COMPUTED_VALUE"""),"Snacks")</f>
        <v>Snacks</v>
      </c>
    </row>
    <row r="2853">
      <c r="A2853" s="23">
        <f>IFERROR(__xludf.DUMMYFUNCTION("""COMPUTED_VALUE"""),44783.0)</f>
        <v>44783</v>
      </c>
      <c r="B2853" s="24" t="str">
        <f>IFERROR(__xludf.DUMMYFUNCTION("""COMPUTED_VALUE"""),"Treston Codrington")</f>
        <v>Treston Codrington</v>
      </c>
      <c r="C2853" s="24">
        <f>IFERROR(__xludf.DUMMYFUNCTION("""COMPUTED_VALUE"""),19.0)</f>
        <v>19</v>
      </c>
      <c r="D2853" s="24"/>
      <c r="F2853" s="23">
        <f>IFERROR(__xludf.DUMMYFUNCTION("""COMPUTED_VALUE"""),44852.60880983796)</f>
        <v>44852.60881</v>
      </c>
      <c r="G2853" s="24" t="str">
        <f>IFERROR(__xludf.DUMMYFUNCTION("""COMPUTED_VALUE"""),"Claire")</f>
        <v>Claire</v>
      </c>
      <c r="H2853" s="24">
        <f>IFERROR(__xludf.DUMMYFUNCTION("""COMPUTED_VALUE"""),143.0)</f>
        <v>143</v>
      </c>
      <c r="I2853" s="24" t="str">
        <f>IFERROR(__xludf.DUMMYFUNCTION("""COMPUTED_VALUE"""),"Assorted Dry")</f>
        <v>Assorted Dry</v>
      </c>
    </row>
    <row r="2854">
      <c r="A2854" s="23">
        <f>IFERROR(__xludf.DUMMYFUNCTION("""COMPUTED_VALUE"""),44783.0)</f>
        <v>44783</v>
      </c>
      <c r="B2854" s="24" t="str">
        <f>IFERROR(__xludf.DUMMYFUNCTION("""COMPUTED_VALUE"""),"Monah Perry")</f>
        <v>Monah Perry</v>
      </c>
      <c r="C2854" s="24">
        <f>IFERROR(__xludf.DUMMYFUNCTION("""COMPUTED_VALUE"""),20.0)</f>
        <v>20</v>
      </c>
      <c r="D2854" s="24"/>
      <c r="F2854" s="23">
        <f>IFERROR(__xludf.DUMMYFUNCTION("""COMPUTED_VALUE"""),44852.60909003472)</f>
        <v>44852.60909</v>
      </c>
      <c r="G2854" s="24" t="str">
        <f>IFERROR(__xludf.DUMMYFUNCTION("""COMPUTED_VALUE"""),"Claire")</f>
        <v>Claire</v>
      </c>
      <c r="H2854" s="24">
        <f>IFERROR(__xludf.DUMMYFUNCTION("""COMPUTED_VALUE"""),154.0)</f>
        <v>154</v>
      </c>
      <c r="I2854" s="24" t="str">
        <f>IFERROR(__xludf.DUMMYFUNCTION("""COMPUTED_VALUE"""),"Assorted Fridge")</f>
        <v>Assorted Fridge</v>
      </c>
    </row>
    <row r="2855">
      <c r="A2855" s="23">
        <f>IFERROR(__xludf.DUMMYFUNCTION("""COMPUTED_VALUE"""),44783.0)</f>
        <v>44783</v>
      </c>
      <c r="B2855" s="24" t="str">
        <f>IFERROR(__xludf.DUMMYFUNCTION("""COMPUTED_VALUE"""),"Monah Perry")</f>
        <v>Monah Perry</v>
      </c>
      <c r="C2855" s="24">
        <f>IFERROR(__xludf.DUMMYFUNCTION("""COMPUTED_VALUE"""),56.0)</f>
        <v>56</v>
      </c>
      <c r="D2855" s="24"/>
      <c r="F2855" s="23">
        <f>IFERROR(__xludf.DUMMYFUNCTION("""COMPUTED_VALUE"""),44852.60926528936)</f>
        <v>44852.60927</v>
      </c>
      <c r="G2855" s="24" t="str">
        <f>IFERROR(__xludf.DUMMYFUNCTION("""COMPUTED_VALUE"""),"Claire")</f>
        <v>Claire</v>
      </c>
      <c r="H2855" s="24">
        <f>IFERROR(__xludf.DUMMYFUNCTION("""COMPUTED_VALUE"""),71.0)</f>
        <v>71</v>
      </c>
      <c r="I2855" s="24" t="str">
        <f>IFERROR(__xludf.DUMMYFUNCTION("""COMPUTED_VALUE"""),"Assorted Dry")</f>
        <v>Assorted Dry</v>
      </c>
    </row>
    <row r="2856">
      <c r="A2856" s="23">
        <f>IFERROR(__xludf.DUMMYFUNCTION("""COMPUTED_VALUE"""),44783.0)</f>
        <v>44783</v>
      </c>
      <c r="B2856" s="24" t="str">
        <f>IFERROR(__xludf.DUMMYFUNCTION("""COMPUTED_VALUE"""),"Marci")</f>
        <v>Marci</v>
      </c>
      <c r="C2856" s="24">
        <f>IFERROR(__xludf.DUMMYFUNCTION("""COMPUTED_VALUE"""),20.0)</f>
        <v>20</v>
      </c>
      <c r="D2856" s="24"/>
      <c r="F2856" s="23">
        <f>IFERROR(__xludf.DUMMYFUNCTION("""COMPUTED_VALUE"""),44852.70148350695)</f>
        <v>44852.70148</v>
      </c>
      <c r="G2856" s="24" t="str">
        <f>IFERROR(__xludf.DUMMYFUNCTION("""COMPUTED_VALUE"""),"Romaine Bouldin ")</f>
        <v>Romaine Bouldin </v>
      </c>
      <c r="H2856" s="24">
        <f>IFERROR(__xludf.DUMMYFUNCTION("""COMPUTED_VALUE"""),15.0)</f>
        <v>15</v>
      </c>
      <c r="I2856" s="24" t="str">
        <f>IFERROR(__xludf.DUMMYFUNCTION("""COMPUTED_VALUE"""),"Regular (up to 20lbs)")</f>
        <v>Regular (up to 20lbs)</v>
      </c>
    </row>
    <row r="2857">
      <c r="A2857" s="23">
        <f>IFERROR(__xludf.DUMMYFUNCTION("""COMPUTED_VALUE"""),44783.0)</f>
        <v>44783</v>
      </c>
      <c r="B2857" s="24" t="str">
        <f>IFERROR(__xludf.DUMMYFUNCTION("""COMPUTED_VALUE"""),"Marci")</f>
        <v>Marci</v>
      </c>
      <c r="C2857" s="24">
        <f>IFERROR(__xludf.DUMMYFUNCTION("""COMPUTED_VALUE"""),45.0)</f>
        <v>45</v>
      </c>
      <c r="D2857" s="24"/>
      <c r="F2857" s="23">
        <f>IFERROR(__xludf.DUMMYFUNCTION("""COMPUTED_VALUE"""),44852.70173565972)</f>
        <v>44852.70174</v>
      </c>
      <c r="G2857" s="24" t="str">
        <f>IFERROR(__xludf.DUMMYFUNCTION("""COMPUTED_VALUE"""),"Romaine Bouldin ")</f>
        <v>Romaine Bouldin </v>
      </c>
      <c r="H2857" s="24">
        <f>IFERROR(__xludf.DUMMYFUNCTION("""COMPUTED_VALUE"""),3.0)</f>
        <v>3</v>
      </c>
      <c r="I2857" s="24" t="str">
        <f>IFERROR(__xludf.DUMMYFUNCTION("""COMPUTED_VALUE"""),"Damage/expired/extra")</f>
        <v>Damage/expired/extra</v>
      </c>
    </row>
    <row r="2858">
      <c r="A2858" s="23">
        <f>IFERROR(__xludf.DUMMYFUNCTION("""COMPUTED_VALUE"""),44783.57415128472)</f>
        <v>44783.57415</v>
      </c>
      <c r="B2858" s="24" t="str">
        <f>IFERROR(__xludf.DUMMYFUNCTION("""COMPUTED_VALUE"""),"Bud sisson st DPW drinks")</f>
        <v>Bud sisson st DPW drinks</v>
      </c>
      <c r="C2858" s="24">
        <f>IFERROR(__xludf.DUMMYFUNCTION("""COMPUTED_VALUE"""),25.0)</f>
        <v>25</v>
      </c>
      <c r="D2858" s="24"/>
      <c r="F2858" s="23">
        <f>IFERROR(__xludf.DUMMYFUNCTION("""COMPUTED_VALUE"""),44852.7075037963)</f>
        <v>44852.7075</v>
      </c>
      <c r="G2858" s="24" t="str">
        <f>IFERROR(__xludf.DUMMYFUNCTION("""COMPUTED_VALUE"""),"Anna West")</f>
        <v>Anna West</v>
      </c>
      <c r="H2858" s="24">
        <f>IFERROR(__xludf.DUMMYFUNCTION("""COMPUTED_VALUE"""),20.0)</f>
        <v>20</v>
      </c>
      <c r="I2858" s="24" t="str">
        <f>IFERROR(__xludf.DUMMYFUNCTION("""COMPUTED_VALUE"""),"Regular (up to 20lbs)")</f>
        <v>Regular (up to 20lbs)</v>
      </c>
    </row>
    <row r="2859">
      <c r="A2859" s="23">
        <f>IFERROR(__xludf.DUMMYFUNCTION("""COMPUTED_VALUE"""),44783.705770636574)</f>
        <v>44783.70577</v>
      </c>
      <c r="B2859" s="24" t="str">
        <f>IFERROR(__xludf.DUMMYFUNCTION("""COMPUTED_VALUE"""),"Debra Davis")</f>
        <v>Debra Davis</v>
      </c>
      <c r="C2859" s="24">
        <f>IFERROR(__xludf.DUMMYFUNCTION("""COMPUTED_VALUE"""),20.0)</f>
        <v>20</v>
      </c>
      <c r="D2859" s="24"/>
      <c r="F2859" s="23">
        <f>IFERROR(__xludf.DUMMYFUNCTION("""COMPUTED_VALUE"""),44852.70763524305)</f>
        <v>44852.70764</v>
      </c>
      <c r="G2859" s="24" t="str">
        <f>IFERROR(__xludf.DUMMYFUNCTION("""COMPUTED_VALUE"""),"Anna West")</f>
        <v>Anna West</v>
      </c>
      <c r="H2859" s="24">
        <f>IFERROR(__xludf.DUMMYFUNCTION("""COMPUTED_VALUE"""),12.0)</f>
        <v>12</v>
      </c>
      <c r="I2859" s="24" t="str">
        <f>IFERROR(__xludf.DUMMYFUNCTION("""COMPUTED_VALUE"""),"Damage/expired/extra")</f>
        <v>Damage/expired/extra</v>
      </c>
    </row>
    <row r="2860">
      <c r="A2860" s="23">
        <f>IFERROR(__xludf.DUMMYFUNCTION("""COMPUTED_VALUE"""),44783.736197384256)</f>
        <v>44783.7362</v>
      </c>
      <c r="B2860" s="24" t="str">
        <f>IFERROR(__xludf.DUMMYFUNCTION("""COMPUTED_VALUE"""),"Karen")</f>
        <v>Karen</v>
      </c>
      <c r="C2860" s="24">
        <f>IFERROR(__xludf.DUMMYFUNCTION("""COMPUTED_VALUE"""),17.0)</f>
        <v>17</v>
      </c>
      <c r="D2860" s="24"/>
      <c r="F2860" s="23">
        <f>IFERROR(__xludf.DUMMYFUNCTION("""COMPUTED_VALUE"""),44852.707771851856)</f>
        <v>44852.70777</v>
      </c>
      <c r="G2860" s="24" t="str">
        <f>IFERROR(__xludf.DUMMYFUNCTION("""COMPUTED_VALUE"""),"Dorja ")</f>
        <v>Dorja </v>
      </c>
      <c r="H2860" s="24">
        <f>IFERROR(__xludf.DUMMYFUNCTION("""COMPUTED_VALUE"""),14.0)</f>
        <v>14</v>
      </c>
      <c r="I2860" s="24" t="str">
        <f>IFERROR(__xludf.DUMMYFUNCTION("""COMPUTED_VALUE"""),"Regular (up to 20lbs)")</f>
        <v>Regular (up to 20lbs)</v>
      </c>
    </row>
    <row r="2861">
      <c r="A2861" s="23">
        <f>IFERROR(__xludf.DUMMYFUNCTION("""COMPUTED_VALUE"""),44783.736371770836)</f>
        <v>44783.73637</v>
      </c>
      <c r="B2861" s="24" t="str">
        <f>IFERROR(__xludf.DUMMYFUNCTION("""COMPUTED_VALUE"""),"Karen")</f>
        <v>Karen</v>
      </c>
      <c r="C2861" s="24">
        <f>IFERROR(__xludf.DUMMYFUNCTION("""COMPUTED_VALUE"""),24.0)</f>
        <v>24</v>
      </c>
      <c r="D2861" s="24"/>
      <c r="F2861" s="23">
        <f>IFERROR(__xludf.DUMMYFUNCTION("""COMPUTED_VALUE"""),44852.70791971065)</f>
        <v>44852.70792</v>
      </c>
      <c r="G2861" s="24" t="str">
        <f>IFERROR(__xludf.DUMMYFUNCTION("""COMPUTED_VALUE"""),"Dorja ")</f>
        <v>Dorja </v>
      </c>
      <c r="H2861" s="24">
        <f>IFERROR(__xludf.DUMMYFUNCTION("""COMPUTED_VALUE"""),18.0)</f>
        <v>18</v>
      </c>
      <c r="I2861" s="24" t="str">
        <f>IFERROR(__xludf.DUMMYFUNCTION("""COMPUTED_VALUE"""),"Damage/expired/extra")</f>
        <v>Damage/expired/extra</v>
      </c>
    </row>
    <row r="2862">
      <c r="A2862" s="23">
        <f>IFERROR(__xludf.DUMMYFUNCTION("""COMPUTED_VALUE"""),44784.696412453704)</f>
        <v>44784.69641</v>
      </c>
      <c r="B2862" s="24" t="str">
        <f>IFERROR(__xludf.DUMMYFUNCTION("""COMPUTED_VALUE"""),"DeAuntae Corry")</f>
        <v>DeAuntae Corry</v>
      </c>
      <c r="C2862" s="24">
        <f>IFERROR(__xludf.DUMMYFUNCTION("""COMPUTED_VALUE"""),20.0)</f>
        <v>20</v>
      </c>
      <c r="D2862" s="24"/>
      <c r="F2862" s="23">
        <f>IFERROR(__xludf.DUMMYFUNCTION("""COMPUTED_VALUE"""),44852.70816274305)</f>
        <v>44852.70816</v>
      </c>
      <c r="G2862" s="24" t="str">
        <f>IFERROR(__xludf.DUMMYFUNCTION("""COMPUTED_VALUE"""),"Kaneesha ")</f>
        <v>Kaneesha </v>
      </c>
      <c r="H2862" s="24">
        <f>IFERROR(__xludf.DUMMYFUNCTION("""COMPUTED_VALUE"""),20.0)</f>
        <v>20</v>
      </c>
      <c r="I2862" s="24" t="str">
        <f>IFERROR(__xludf.DUMMYFUNCTION("""COMPUTED_VALUE"""),"Regular (up to 20lbs)")</f>
        <v>Regular (up to 20lbs)</v>
      </c>
    </row>
    <row r="2863">
      <c r="A2863" s="23">
        <f>IFERROR(__xludf.DUMMYFUNCTION("""COMPUTED_VALUE"""),44784.697981053236)</f>
        <v>44784.69798</v>
      </c>
      <c r="B2863" s="24" t="str">
        <f>IFERROR(__xludf.DUMMYFUNCTION("""COMPUTED_VALUE"""),"DeAuntae ")</f>
        <v>DeAuntae </v>
      </c>
      <c r="C2863" s="24">
        <f>IFERROR(__xludf.DUMMYFUNCTION("""COMPUTED_VALUE"""),16.0)</f>
        <v>16</v>
      </c>
      <c r="D2863" s="24"/>
      <c r="F2863" s="23">
        <f>IFERROR(__xludf.DUMMYFUNCTION("""COMPUTED_VALUE"""),44852.70833578703)</f>
        <v>44852.70834</v>
      </c>
      <c r="G2863" s="24" t="str">
        <f>IFERROR(__xludf.DUMMYFUNCTION("""COMPUTED_VALUE"""),"Kaneesha")</f>
        <v>Kaneesha</v>
      </c>
      <c r="H2863" s="24">
        <f>IFERROR(__xludf.DUMMYFUNCTION("""COMPUTED_VALUE"""),17.0)</f>
        <v>17</v>
      </c>
      <c r="I2863" s="24" t="str">
        <f>IFERROR(__xludf.DUMMYFUNCTION("""COMPUTED_VALUE"""),"Damage/expired/extra")</f>
        <v>Damage/expired/extra</v>
      </c>
    </row>
    <row r="2864">
      <c r="A2864" s="23">
        <f>IFERROR(__xludf.DUMMYFUNCTION("""COMPUTED_VALUE"""),44784.710093090274)</f>
        <v>44784.71009</v>
      </c>
      <c r="B2864" s="24" t="str">
        <f>IFERROR(__xludf.DUMMYFUNCTION("""COMPUTED_VALUE"""),"Norma Kriger")</f>
        <v>Norma Kriger</v>
      </c>
      <c r="C2864" s="24">
        <f>IFERROR(__xludf.DUMMYFUNCTION("""COMPUTED_VALUE"""),16.0)</f>
        <v>16</v>
      </c>
      <c r="D2864" s="24"/>
      <c r="F2864" s="23">
        <f>IFERROR(__xludf.DUMMYFUNCTION("""COMPUTED_VALUE"""),44852.709509155095)</f>
        <v>44852.70951</v>
      </c>
      <c r="G2864" s="24" t="str">
        <f>IFERROR(__xludf.DUMMYFUNCTION("""COMPUTED_VALUE"""),"Beverly Pinn")</f>
        <v>Beverly Pinn</v>
      </c>
      <c r="H2864" s="24">
        <f>IFERROR(__xludf.DUMMYFUNCTION("""COMPUTED_VALUE"""),18.0)</f>
        <v>18</v>
      </c>
      <c r="I2864" s="24" t="str">
        <f>IFERROR(__xludf.DUMMYFUNCTION("""COMPUTED_VALUE"""),"Regular (up to 20lbs)")</f>
        <v>Regular (up to 20lbs)</v>
      </c>
    </row>
    <row r="2865">
      <c r="A2865" s="23">
        <f>IFERROR(__xludf.DUMMYFUNCTION("""COMPUTED_VALUE"""),44784.0)</f>
        <v>44784</v>
      </c>
      <c r="B2865" s="24" t="str">
        <f>IFERROR(__xludf.DUMMYFUNCTION("""COMPUTED_VALUE"""),"Denise Brown")</f>
        <v>Denise Brown</v>
      </c>
      <c r="C2865" s="24">
        <f>IFERROR(__xludf.DUMMYFUNCTION("""COMPUTED_VALUE"""),18.0)</f>
        <v>18</v>
      </c>
      <c r="D2865" s="24"/>
      <c r="F2865" s="23">
        <f>IFERROR(__xludf.DUMMYFUNCTION("""COMPUTED_VALUE"""),44852.70968515047)</f>
        <v>44852.70969</v>
      </c>
      <c r="G2865" s="24" t="str">
        <f>IFERROR(__xludf.DUMMYFUNCTION("""COMPUTED_VALUE"""),"Beverly Pinn")</f>
        <v>Beverly Pinn</v>
      </c>
      <c r="H2865" s="24">
        <f>IFERROR(__xludf.DUMMYFUNCTION("""COMPUTED_VALUE"""),26.0)</f>
        <v>26</v>
      </c>
      <c r="I2865" s="24" t="str">
        <f>IFERROR(__xludf.DUMMYFUNCTION("""COMPUTED_VALUE"""),"Damage/expired/extra")</f>
        <v>Damage/expired/extra</v>
      </c>
    </row>
    <row r="2866">
      <c r="A2866" s="23">
        <f>IFERROR(__xludf.DUMMYFUNCTION("""COMPUTED_VALUE"""),44784.0)</f>
        <v>44784</v>
      </c>
      <c r="B2866" s="24" t="str">
        <f>IFERROR(__xludf.DUMMYFUNCTION("""COMPUTED_VALUE"""),"Hong Xue")</f>
        <v>Hong Xue</v>
      </c>
      <c r="C2866" s="24">
        <f>IFERROR(__xludf.DUMMYFUNCTION("""COMPUTED_VALUE"""),20.0)</f>
        <v>20</v>
      </c>
      <c r="D2866" s="24"/>
      <c r="F2866" s="23">
        <f>IFERROR(__xludf.DUMMYFUNCTION("""COMPUTED_VALUE"""),44852.711289733794)</f>
        <v>44852.71129</v>
      </c>
      <c r="G2866" s="24" t="str">
        <f>IFERROR(__xludf.DUMMYFUNCTION("""COMPUTED_VALUE"""),"Beverly Graham ")</f>
        <v>Beverly Graham </v>
      </c>
      <c r="H2866" s="24">
        <f>IFERROR(__xludf.DUMMYFUNCTION("""COMPUTED_VALUE"""),13.0)</f>
        <v>13</v>
      </c>
      <c r="I2866" s="24" t="str">
        <f>IFERROR(__xludf.DUMMYFUNCTION("""COMPUTED_VALUE"""),"Regular (up to 20lbs)")</f>
        <v>Regular (up to 20lbs)</v>
      </c>
    </row>
    <row r="2867">
      <c r="A2867" s="23">
        <f>IFERROR(__xludf.DUMMYFUNCTION("""COMPUTED_VALUE"""),44784.0)</f>
        <v>44784</v>
      </c>
      <c r="B2867" s="24" t="str">
        <f>IFERROR(__xludf.DUMMYFUNCTION("""COMPUTED_VALUE"""),"Hong Xue")</f>
        <v>Hong Xue</v>
      </c>
      <c r="C2867" s="24">
        <f>IFERROR(__xludf.DUMMYFUNCTION("""COMPUTED_VALUE"""),22.0)</f>
        <v>22</v>
      </c>
      <c r="D2867" s="24"/>
      <c r="F2867" s="23">
        <f>IFERROR(__xludf.DUMMYFUNCTION("""COMPUTED_VALUE"""),44852.71236328704)</f>
        <v>44852.71236</v>
      </c>
      <c r="G2867" s="24" t="str">
        <f>IFERROR(__xludf.DUMMYFUNCTION("""COMPUTED_VALUE"""),"Beverly  Graham ")</f>
        <v>Beverly  Graham </v>
      </c>
      <c r="H2867" s="24">
        <f>IFERROR(__xludf.DUMMYFUNCTION("""COMPUTED_VALUE"""),6.0)</f>
        <v>6</v>
      </c>
      <c r="I2867" s="24" t="str">
        <f>IFERROR(__xludf.DUMMYFUNCTION("""COMPUTED_VALUE"""),"Damage/expired/extra")</f>
        <v>Damage/expired/extra</v>
      </c>
    </row>
    <row r="2868">
      <c r="A2868" s="23">
        <f>IFERROR(__xludf.DUMMYFUNCTION("""COMPUTED_VALUE"""),44784.0)</f>
        <v>44784</v>
      </c>
      <c r="B2868" s="24" t="str">
        <f>IFERROR(__xludf.DUMMYFUNCTION("""COMPUTED_VALUE"""),"Sheneil Black")</f>
        <v>Sheneil Black</v>
      </c>
      <c r="C2868" s="24">
        <f>IFERROR(__xludf.DUMMYFUNCTION("""COMPUTED_VALUE"""),19.0)</f>
        <v>19</v>
      </c>
      <c r="D2868" s="24"/>
      <c r="F2868" s="23">
        <f>IFERROR(__xludf.DUMMYFUNCTION("""COMPUTED_VALUE"""),44852.71623857639)</f>
        <v>44852.71624</v>
      </c>
      <c r="G2868" s="24" t="str">
        <f>IFERROR(__xludf.DUMMYFUNCTION("""COMPUTED_VALUE"""),"Jean")</f>
        <v>Jean</v>
      </c>
      <c r="H2868" s="24">
        <f>IFERROR(__xludf.DUMMYFUNCTION("""COMPUTED_VALUE"""),15.0)</f>
        <v>15</v>
      </c>
      <c r="I2868" s="24" t="str">
        <f>IFERROR(__xludf.DUMMYFUNCTION("""COMPUTED_VALUE"""),"Regular (up to 20lbs)")</f>
        <v>Regular (up to 20lbs)</v>
      </c>
    </row>
    <row r="2869">
      <c r="A2869" s="23">
        <f>IFERROR(__xludf.DUMMYFUNCTION("""COMPUTED_VALUE"""),44784.0)</f>
        <v>44784</v>
      </c>
      <c r="B2869" s="24" t="str">
        <f>IFERROR(__xludf.DUMMYFUNCTION("""COMPUTED_VALUE"""),"Sheneil Black")</f>
        <v>Sheneil Black</v>
      </c>
      <c r="C2869" s="24">
        <f>IFERROR(__xludf.DUMMYFUNCTION("""COMPUTED_VALUE"""),1.0)</f>
        <v>1</v>
      </c>
      <c r="D2869" s="24"/>
      <c r="F2869" s="23">
        <f>IFERROR(__xludf.DUMMYFUNCTION("""COMPUTED_VALUE"""),44852.71652303241)</f>
        <v>44852.71652</v>
      </c>
      <c r="G2869" s="24" t="str">
        <f>IFERROR(__xludf.DUMMYFUNCTION("""COMPUTED_VALUE"""),"Jean")</f>
        <v>Jean</v>
      </c>
      <c r="H2869" s="24">
        <f>IFERROR(__xludf.DUMMYFUNCTION("""COMPUTED_VALUE"""),28.0)</f>
        <v>28</v>
      </c>
      <c r="I2869" s="24" t="str">
        <f>IFERROR(__xludf.DUMMYFUNCTION("""COMPUTED_VALUE"""),"Damage/expired/extra")</f>
        <v>Damage/expired/extra</v>
      </c>
    </row>
    <row r="2870">
      <c r="A2870" s="23">
        <f>IFERROR(__xludf.DUMMYFUNCTION("""COMPUTED_VALUE"""),44784.0)</f>
        <v>44784</v>
      </c>
      <c r="B2870" s="24" t="str">
        <f>IFERROR(__xludf.DUMMYFUNCTION("""COMPUTED_VALUE"""),"Zach Spencer")</f>
        <v>Zach Spencer</v>
      </c>
      <c r="C2870" s="24">
        <f>IFERROR(__xludf.DUMMYFUNCTION("""COMPUTED_VALUE"""),20.0)</f>
        <v>20</v>
      </c>
      <c r="D2870" s="24"/>
      <c r="F2870" s="23">
        <f>IFERROR(__xludf.DUMMYFUNCTION("""COMPUTED_VALUE"""),44852.7381181713)</f>
        <v>44852.73812</v>
      </c>
      <c r="G2870" s="24" t="str">
        <f>IFERROR(__xludf.DUMMYFUNCTION("""COMPUTED_VALUE"""),"Claire")</f>
        <v>Claire</v>
      </c>
      <c r="H2870" s="24">
        <f>IFERROR(__xludf.DUMMYFUNCTION("""COMPUTED_VALUE"""),1363.0)</f>
        <v>1363</v>
      </c>
      <c r="I2870" s="24" t="str">
        <f>IFERROR(__xludf.DUMMYFUNCTION("""COMPUTED_VALUE"""),"First Fruits Farm")</f>
        <v>First Fruits Farm</v>
      </c>
    </row>
    <row r="2871">
      <c r="A2871" s="23">
        <f>IFERROR(__xludf.DUMMYFUNCTION("""COMPUTED_VALUE"""),44784.0)</f>
        <v>44784</v>
      </c>
      <c r="B2871" s="24" t="str">
        <f>IFERROR(__xludf.DUMMYFUNCTION("""COMPUTED_VALUE"""),"Zach Spencer")</f>
        <v>Zach Spencer</v>
      </c>
      <c r="C2871" s="24">
        <f>IFERROR(__xludf.DUMMYFUNCTION("""COMPUTED_VALUE"""),2.0)</f>
        <v>2</v>
      </c>
      <c r="D2871" s="24"/>
      <c r="F2871" s="23">
        <f>IFERROR(__xludf.DUMMYFUNCTION("""COMPUTED_VALUE"""),44852.73841358796)</f>
        <v>44852.73841</v>
      </c>
      <c r="G2871" s="24" t="str">
        <f>IFERROR(__xludf.DUMMYFUNCTION("""COMPUTED_VALUE"""),"Claire")</f>
        <v>Claire</v>
      </c>
      <c r="H2871" s="24">
        <f>IFERROR(__xludf.DUMMYFUNCTION("""COMPUTED_VALUE"""),238.0)</f>
        <v>238</v>
      </c>
      <c r="I2871" s="24" t="str">
        <f>IFERROR(__xludf.DUMMYFUNCTION("""COMPUTED_VALUE"""),"First Fruits Farm")</f>
        <v>First Fruits Farm</v>
      </c>
    </row>
    <row r="2872">
      <c r="A2872" s="23">
        <f>IFERROR(__xludf.DUMMYFUNCTION("""COMPUTED_VALUE"""),44784.0)</f>
        <v>44784</v>
      </c>
      <c r="B2872" s="24" t="str">
        <f>IFERROR(__xludf.DUMMYFUNCTION("""COMPUTED_VALUE"""),"Monah Perry")</f>
        <v>Monah Perry</v>
      </c>
      <c r="C2872" s="24">
        <f>IFERROR(__xludf.DUMMYFUNCTION("""COMPUTED_VALUE"""),20.0)</f>
        <v>20</v>
      </c>
      <c r="D2872" s="24"/>
      <c r="F2872" s="23">
        <f>IFERROR(__xludf.DUMMYFUNCTION("""COMPUTED_VALUE"""),44852.73867034722)</f>
        <v>44852.73867</v>
      </c>
      <c r="G2872" s="24" t="str">
        <f>IFERROR(__xludf.DUMMYFUNCTION("""COMPUTED_VALUE"""),"Claire")</f>
        <v>Claire</v>
      </c>
      <c r="H2872" s="24">
        <f>IFERROR(__xludf.DUMMYFUNCTION("""COMPUTED_VALUE"""),175.0)</f>
        <v>175</v>
      </c>
      <c r="I2872" s="24" t="str">
        <f>IFERROR(__xludf.DUMMYFUNCTION("""COMPUTED_VALUE"""),"First Fruits Farm")</f>
        <v>First Fruits Farm</v>
      </c>
    </row>
    <row r="2873">
      <c r="A2873" s="23">
        <f>IFERROR(__xludf.DUMMYFUNCTION("""COMPUTED_VALUE"""),44784.0)</f>
        <v>44784</v>
      </c>
      <c r="B2873" s="24" t="str">
        <f>IFERROR(__xludf.DUMMYFUNCTION("""COMPUTED_VALUE"""),"Monah Perry")</f>
        <v>Monah Perry</v>
      </c>
      <c r="C2873" s="24">
        <f>IFERROR(__xludf.DUMMYFUNCTION("""COMPUTED_VALUE"""),20.0)</f>
        <v>20</v>
      </c>
      <c r="D2873" s="24"/>
      <c r="F2873" s="23">
        <f>IFERROR(__xludf.DUMMYFUNCTION("""COMPUTED_VALUE"""),44852.7390724537)</f>
        <v>44852.73907</v>
      </c>
      <c r="G2873" s="24" t="str">
        <f>IFERROR(__xludf.DUMMYFUNCTION("""COMPUTED_VALUE"""),"Claire")</f>
        <v>Claire</v>
      </c>
      <c r="H2873" s="24">
        <f>IFERROR(__xludf.DUMMYFUNCTION("""COMPUTED_VALUE"""),739.0)</f>
        <v>739</v>
      </c>
      <c r="I2873" s="24" t="str">
        <f>IFERROR(__xludf.DUMMYFUNCTION("""COMPUTED_VALUE"""),"First Fruits Farm")</f>
        <v>First Fruits Farm</v>
      </c>
    </row>
    <row r="2874">
      <c r="A2874" s="23">
        <f>IFERROR(__xludf.DUMMYFUNCTION("""COMPUTED_VALUE"""),44785.0)</f>
        <v>44785</v>
      </c>
      <c r="B2874" s="24" t="str">
        <f>IFERROR(__xludf.DUMMYFUNCTION("""COMPUTED_VALUE"""),"Juanita C")</f>
        <v>Juanita C</v>
      </c>
      <c r="C2874" s="24">
        <f>IFERROR(__xludf.DUMMYFUNCTION("""COMPUTED_VALUE"""),13.0)</f>
        <v>13</v>
      </c>
      <c r="D2874" s="24"/>
      <c r="F2874" s="23">
        <f>IFERROR(__xludf.DUMMYFUNCTION("""COMPUTED_VALUE"""),44852.7395284838)</f>
        <v>44852.73953</v>
      </c>
      <c r="G2874" s="24" t="str">
        <f>IFERROR(__xludf.DUMMYFUNCTION("""COMPUTED_VALUE"""),"Claire")</f>
        <v>Claire</v>
      </c>
      <c r="H2874" s="24">
        <f>IFERROR(__xludf.DUMMYFUNCTION("""COMPUTED_VALUE"""),729.0)</f>
        <v>729</v>
      </c>
      <c r="I2874" s="24" t="str">
        <f>IFERROR(__xludf.DUMMYFUNCTION("""COMPUTED_VALUE"""),"First Fruits Farm")</f>
        <v>First Fruits Farm</v>
      </c>
    </row>
    <row r="2875">
      <c r="A2875" s="23">
        <f>IFERROR(__xludf.DUMMYFUNCTION("""COMPUTED_VALUE"""),44785.0)</f>
        <v>44785</v>
      </c>
      <c r="B2875" s="24" t="str">
        <f>IFERROR(__xludf.DUMMYFUNCTION("""COMPUTED_VALUE"""),"Juanita C")</f>
        <v>Juanita C</v>
      </c>
      <c r="C2875" s="24">
        <f>IFERROR(__xludf.DUMMYFUNCTION("""COMPUTED_VALUE"""),8.0)</f>
        <v>8</v>
      </c>
      <c r="D2875" s="24"/>
      <c r="F2875" s="23">
        <f>IFERROR(__xludf.DUMMYFUNCTION("""COMPUTED_VALUE"""),44852.74525648148)</f>
        <v>44852.74526</v>
      </c>
      <c r="G2875" s="24" t="str">
        <f>IFERROR(__xludf.DUMMYFUNCTION("""COMPUTED_VALUE"""),"Claire")</f>
        <v>Claire</v>
      </c>
      <c r="H2875" s="24">
        <f>IFERROR(__xludf.DUMMYFUNCTION("""COMPUTED_VALUE"""),1052.0)</f>
        <v>1052</v>
      </c>
      <c r="I2875" s="24" t="str">
        <f>IFERROR(__xludf.DUMMYFUNCTION("""COMPUTED_VALUE"""),"Dole")</f>
        <v>Dole</v>
      </c>
    </row>
    <row r="2876">
      <c r="A2876" s="23">
        <f>IFERROR(__xludf.DUMMYFUNCTION("""COMPUTED_VALUE"""),44785.0)</f>
        <v>44785</v>
      </c>
      <c r="B2876" s="24" t="str">
        <f>IFERROR(__xludf.DUMMYFUNCTION("""COMPUTED_VALUE"""),"Monah Perry")</f>
        <v>Monah Perry</v>
      </c>
      <c r="C2876" s="24">
        <f>IFERROR(__xludf.DUMMYFUNCTION("""COMPUTED_VALUE"""),20.0)</f>
        <v>20</v>
      </c>
      <c r="D2876" s="24"/>
      <c r="F2876" s="23">
        <f>IFERROR(__xludf.DUMMYFUNCTION("""COMPUTED_VALUE"""),44852.74585409722)</f>
        <v>44852.74585</v>
      </c>
      <c r="G2876" s="24" t="str">
        <f>IFERROR(__xludf.DUMMYFUNCTION("""COMPUTED_VALUE"""),"Claire")</f>
        <v>Claire</v>
      </c>
      <c r="H2876" s="24">
        <f>IFERROR(__xludf.DUMMYFUNCTION("""COMPUTED_VALUE"""),1053.0)</f>
        <v>1053</v>
      </c>
      <c r="I2876" s="24" t="str">
        <f>IFERROR(__xludf.DUMMYFUNCTION("""COMPUTED_VALUE"""),"Dole")</f>
        <v>Dole</v>
      </c>
    </row>
    <row r="2877">
      <c r="A2877" s="23">
        <f>IFERROR(__xludf.DUMMYFUNCTION("""COMPUTED_VALUE"""),44785.0)</f>
        <v>44785</v>
      </c>
      <c r="B2877" s="24" t="str">
        <f>IFERROR(__xludf.DUMMYFUNCTION("""COMPUTED_VALUE"""),"Monah Perry")</f>
        <v>Monah Perry</v>
      </c>
      <c r="C2877" s="24">
        <f>IFERROR(__xludf.DUMMYFUNCTION("""COMPUTED_VALUE"""),35.0)</f>
        <v>35</v>
      </c>
      <c r="D2877" s="24"/>
      <c r="F2877" s="23">
        <f>IFERROR(__xludf.DUMMYFUNCTION("""COMPUTED_VALUE"""),44852.74614736111)</f>
        <v>44852.74615</v>
      </c>
      <c r="G2877" s="24" t="str">
        <f>IFERROR(__xludf.DUMMYFUNCTION("""COMPUTED_VALUE"""),"Claire")</f>
        <v>Claire</v>
      </c>
      <c r="H2877" s="24">
        <f>IFERROR(__xludf.DUMMYFUNCTION("""COMPUTED_VALUE"""),1054.0)</f>
        <v>1054</v>
      </c>
      <c r="I2877" s="24" t="str">
        <f>IFERROR(__xludf.DUMMYFUNCTION("""COMPUTED_VALUE"""),"Dole")</f>
        <v>Dole</v>
      </c>
    </row>
    <row r="2878">
      <c r="A2878" s="23">
        <f>IFERROR(__xludf.DUMMYFUNCTION("""COMPUTED_VALUE"""),44785.0)</f>
        <v>44785</v>
      </c>
      <c r="B2878" s="24" t="str">
        <f>IFERROR(__xludf.DUMMYFUNCTION("""COMPUTED_VALUE"""),"Lynette c")</f>
        <v>Lynette c</v>
      </c>
      <c r="C2878" s="24">
        <f>IFERROR(__xludf.DUMMYFUNCTION("""COMPUTED_VALUE"""),20.0)</f>
        <v>20</v>
      </c>
      <c r="D2878" s="24"/>
      <c r="F2878" s="23">
        <f>IFERROR(__xludf.DUMMYFUNCTION("""COMPUTED_VALUE"""),44852.746433796296)</f>
        <v>44852.74643</v>
      </c>
      <c r="G2878" s="24" t="str">
        <f>IFERROR(__xludf.DUMMYFUNCTION("""COMPUTED_VALUE"""),"Claire")</f>
        <v>Claire</v>
      </c>
      <c r="H2878" s="24">
        <f>IFERROR(__xludf.DUMMYFUNCTION("""COMPUTED_VALUE"""),1055.0)</f>
        <v>1055</v>
      </c>
      <c r="I2878" s="24" t="str">
        <f>IFERROR(__xludf.DUMMYFUNCTION("""COMPUTED_VALUE"""),"Dole")</f>
        <v>Dole</v>
      </c>
    </row>
    <row r="2879">
      <c r="A2879" s="23">
        <f>IFERROR(__xludf.DUMMYFUNCTION("""COMPUTED_VALUE"""),44785.0)</f>
        <v>44785</v>
      </c>
      <c r="B2879" s="24" t="str">
        <f>IFERROR(__xludf.DUMMYFUNCTION("""COMPUTED_VALUE"""),"Lynette c")</f>
        <v>Lynette c</v>
      </c>
      <c r="C2879" s="24">
        <f>IFERROR(__xludf.DUMMYFUNCTION("""COMPUTED_VALUE"""),26.0)</f>
        <v>26</v>
      </c>
      <c r="D2879" s="24"/>
      <c r="F2879" s="23">
        <f>IFERROR(__xludf.DUMMYFUNCTION("""COMPUTED_VALUE"""),44852.749756516205)</f>
        <v>44852.74976</v>
      </c>
      <c r="G2879" s="24" t="str">
        <f>IFERROR(__xludf.DUMMYFUNCTION("""COMPUTED_VALUE"""),"Claire")</f>
        <v>Claire</v>
      </c>
      <c r="H2879" s="24">
        <f>IFERROR(__xludf.DUMMYFUNCTION("""COMPUTED_VALUE"""),932.0)</f>
        <v>932</v>
      </c>
      <c r="I2879" s="24" t="str">
        <f>IFERROR(__xludf.DUMMYFUNCTION("""COMPUTED_VALUE"""),"Dole")</f>
        <v>Dole</v>
      </c>
    </row>
    <row r="2880">
      <c r="A2880" s="23">
        <f>IFERROR(__xludf.DUMMYFUNCTION("""COMPUTED_VALUE"""),44785.70463865741)</f>
        <v>44785.70464</v>
      </c>
      <c r="B2880" s="24" t="str">
        <f>IFERROR(__xludf.DUMMYFUNCTION("""COMPUTED_VALUE"""),"Sunita pathik")</f>
        <v>Sunita pathik</v>
      </c>
      <c r="C2880" s="24">
        <f>IFERROR(__xludf.DUMMYFUNCTION("""COMPUTED_VALUE"""),8.0)</f>
        <v>8</v>
      </c>
      <c r="D2880" s="24"/>
      <c r="F2880" s="23">
        <f>IFERROR(__xludf.DUMMYFUNCTION("""COMPUTED_VALUE"""),44852.75010805556)</f>
        <v>44852.75011</v>
      </c>
      <c r="G2880" s="24" t="str">
        <f>IFERROR(__xludf.DUMMYFUNCTION("""COMPUTED_VALUE"""),"Claire")</f>
        <v>Claire</v>
      </c>
      <c r="H2880" s="24">
        <f>IFERROR(__xludf.DUMMYFUNCTION("""COMPUTED_VALUE"""),1134.0)</f>
        <v>1134</v>
      </c>
      <c r="I2880" s="24" t="str">
        <f>IFERROR(__xludf.DUMMYFUNCTION("""COMPUTED_VALUE"""),"Dole")</f>
        <v>Dole</v>
      </c>
    </row>
    <row r="2881">
      <c r="A2881" s="23">
        <f>IFERROR(__xludf.DUMMYFUNCTION("""COMPUTED_VALUE"""),44785.707003344905)</f>
        <v>44785.707</v>
      </c>
      <c r="B2881" s="24" t="str">
        <f>IFERROR(__xludf.DUMMYFUNCTION("""COMPUTED_VALUE"""),"Beth Torres")</f>
        <v>Beth Torres</v>
      </c>
      <c r="C2881" s="24">
        <f>IFERROR(__xludf.DUMMYFUNCTION("""COMPUTED_VALUE"""),20.0)</f>
        <v>20</v>
      </c>
      <c r="D2881" s="24"/>
      <c r="F2881" s="23">
        <f>IFERROR(__xludf.DUMMYFUNCTION("""COMPUTED_VALUE"""),44852.750412037036)</f>
        <v>44852.75041</v>
      </c>
      <c r="G2881" s="24" t="str">
        <f>IFERROR(__xludf.DUMMYFUNCTION("""COMPUTED_VALUE"""),"Claire")</f>
        <v>Claire</v>
      </c>
      <c r="H2881" s="24">
        <f>IFERROR(__xludf.DUMMYFUNCTION("""COMPUTED_VALUE"""),838.0)</f>
        <v>838</v>
      </c>
      <c r="I2881" s="24" t="str">
        <f>IFERROR(__xludf.DUMMYFUNCTION("""COMPUTED_VALUE"""),"Dole")</f>
        <v>Dole</v>
      </c>
    </row>
    <row r="2882">
      <c r="A2882" s="23">
        <f>IFERROR(__xludf.DUMMYFUNCTION("""COMPUTED_VALUE"""),44785.70713714121)</f>
        <v>44785.70714</v>
      </c>
      <c r="B2882" s="24" t="str">
        <f>IFERROR(__xludf.DUMMYFUNCTION("""COMPUTED_VALUE"""),"Beth Torres")</f>
        <v>Beth Torres</v>
      </c>
      <c r="C2882" s="24">
        <f>IFERROR(__xludf.DUMMYFUNCTION("""COMPUTED_VALUE"""),25.0)</f>
        <v>25</v>
      </c>
      <c r="D2882" s="24"/>
      <c r="F2882" s="23">
        <f>IFERROR(__xludf.DUMMYFUNCTION("""COMPUTED_VALUE"""),44852.7507325463)</f>
        <v>44852.75073</v>
      </c>
      <c r="G2882" s="24" t="str">
        <f>IFERROR(__xludf.DUMMYFUNCTION("""COMPUTED_VALUE"""),"Claire")</f>
        <v>Claire</v>
      </c>
      <c r="H2882" s="24">
        <f>IFERROR(__xludf.DUMMYFUNCTION("""COMPUTED_VALUE"""),1147.0)</f>
        <v>1147</v>
      </c>
      <c r="I2882" s="24" t="str">
        <f>IFERROR(__xludf.DUMMYFUNCTION("""COMPUTED_VALUE"""),"Dole")</f>
        <v>Dole</v>
      </c>
    </row>
    <row r="2883">
      <c r="A2883" s="23">
        <f>IFERROR(__xludf.DUMMYFUNCTION("""COMPUTED_VALUE"""),44785.71514706018)</f>
        <v>44785.71515</v>
      </c>
      <c r="B2883" s="24" t="str">
        <f>IFERROR(__xludf.DUMMYFUNCTION("""COMPUTED_VALUE"""),"Jean")</f>
        <v>Jean</v>
      </c>
      <c r="C2883" s="24">
        <f>IFERROR(__xludf.DUMMYFUNCTION("""COMPUTED_VALUE"""),14.0)</f>
        <v>14</v>
      </c>
      <c r="D2883" s="24"/>
      <c r="F2883" s="23">
        <f>IFERROR(__xludf.DUMMYFUNCTION("""COMPUTED_VALUE"""),44852.751042268515)</f>
        <v>44852.75104</v>
      </c>
      <c r="G2883" s="24" t="str">
        <f>IFERROR(__xludf.DUMMYFUNCTION("""COMPUTED_VALUE"""),"Claire")</f>
        <v>Claire</v>
      </c>
      <c r="H2883" s="24">
        <f>IFERROR(__xludf.DUMMYFUNCTION("""COMPUTED_VALUE"""),1056.0)</f>
        <v>1056</v>
      </c>
      <c r="I2883" s="24" t="str">
        <f>IFERROR(__xludf.DUMMYFUNCTION("""COMPUTED_VALUE"""),"Dole")</f>
        <v>Dole</v>
      </c>
    </row>
    <row r="2884">
      <c r="A2884" s="23">
        <f>IFERROR(__xludf.DUMMYFUNCTION("""COMPUTED_VALUE"""),44785.715466817135)</f>
        <v>44785.71547</v>
      </c>
      <c r="B2884" s="24" t="str">
        <f>IFERROR(__xludf.DUMMYFUNCTION("""COMPUTED_VALUE"""),"Jean")</f>
        <v>Jean</v>
      </c>
      <c r="C2884" s="24">
        <f>IFERROR(__xludf.DUMMYFUNCTION("""COMPUTED_VALUE"""),43.0)</f>
        <v>43</v>
      </c>
      <c r="D2884" s="24"/>
      <c r="F2884" s="23">
        <f>IFERROR(__xludf.DUMMYFUNCTION("""COMPUTED_VALUE"""),44852.75135225694)</f>
        <v>44852.75135</v>
      </c>
      <c r="G2884" s="24" t="str">
        <f>IFERROR(__xludf.DUMMYFUNCTION("""COMPUTED_VALUE"""),"Claire")</f>
        <v>Claire</v>
      </c>
      <c r="H2884" s="24">
        <f>IFERROR(__xludf.DUMMYFUNCTION("""COMPUTED_VALUE"""),1140.0)</f>
        <v>1140</v>
      </c>
      <c r="I2884" s="24" t="str">
        <f>IFERROR(__xludf.DUMMYFUNCTION("""COMPUTED_VALUE"""),"Dole")</f>
        <v>Dole</v>
      </c>
    </row>
    <row r="2885">
      <c r="A2885" s="23">
        <f>IFERROR(__xludf.DUMMYFUNCTION("""COMPUTED_VALUE"""),44786.0)</f>
        <v>44786</v>
      </c>
      <c r="B2885" s="24" t="str">
        <f>IFERROR(__xludf.DUMMYFUNCTION("""COMPUTED_VALUE"""),"Denise Brown")</f>
        <v>Denise Brown</v>
      </c>
      <c r="C2885" s="24">
        <f>IFERROR(__xludf.DUMMYFUNCTION("""COMPUTED_VALUE"""),15.0)</f>
        <v>15</v>
      </c>
      <c r="D2885" s="24"/>
      <c r="F2885" s="23">
        <f>IFERROR(__xludf.DUMMYFUNCTION("""COMPUTED_VALUE"""),44852.75163017361)</f>
        <v>44852.75163</v>
      </c>
      <c r="G2885" s="24" t="str">
        <f>IFERROR(__xludf.DUMMYFUNCTION("""COMPUTED_VALUE"""),"Claire")</f>
        <v>Claire</v>
      </c>
      <c r="H2885" s="24">
        <f>IFERROR(__xludf.DUMMYFUNCTION("""COMPUTED_VALUE"""),822.0)</f>
        <v>822</v>
      </c>
      <c r="I2885" s="24" t="str">
        <f>IFERROR(__xludf.DUMMYFUNCTION("""COMPUTED_VALUE"""),"Dole")</f>
        <v>Dole</v>
      </c>
    </row>
    <row r="2886">
      <c r="A2886" s="23">
        <f>IFERROR(__xludf.DUMMYFUNCTION("""COMPUTED_VALUE"""),44786.0)</f>
        <v>44786</v>
      </c>
      <c r="B2886" s="24" t="str">
        <f>IFERROR(__xludf.DUMMYFUNCTION("""COMPUTED_VALUE"""),"Barbara Jordan")</f>
        <v>Barbara Jordan</v>
      </c>
      <c r="C2886" s="24">
        <f>IFERROR(__xludf.DUMMYFUNCTION("""COMPUTED_VALUE"""),8.0)</f>
        <v>8</v>
      </c>
      <c r="D2886" s="24"/>
      <c r="F2886" s="23">
        <f>IFERROR(__xludf.DUMMYFUNCTION("""COMPUTED_VALUE"""),44852.75508322917)</f>
        <v>44852.75508</v>
      </c>
      <c r="G2886" s="24" t="str">
        <f>IFERROR(__xludf.DUMMYFUNCTION("""COMPUTED_VALUE"""),"Claire")</f>
        <v>Claire</v>
      </c>
      <c r="H2886" s="24">
        <f>IFERROR(__xludf.DUMMYFUNCTION("""COMPUTED_VALUE"""),1158.0)</f>
        <v>1158</v>
      </c>
      <c r="I2886" s="24" t="str">
        <f>IFERROR(__xludf.DUMMYFUNCTION("""COMPUTED_VALUE"""),"Dole")</f>
        <v>Dole</v>
      </c>
    </row>
    <row r="2887">
      <c r="A2887" s="23">
        <f>IFERROR(__xludf.DUMMYFUNCTION("""COMPUTED_VALUE"""),44786.0)</f>
        <v>44786</v>
      </c>
      <c r="B2887" s="24" t="str">
        <f>IFERROR(__xludf.DUMMYFUNCTION("""COMPUTED_VALUE"""),"Janet Lomax")</f>
        <v>Janet Lomax</v>
      </c>
      <c r="C2887" s="24">
        <f>IFERROR(__xludf.DUMMYFUNCTION("""COMPUTED_VALUE"""),20.0)</f>
        <v>20</v>
      </c>
      <c r="D2887" s="24"/>
      <c r="F2887" s="23">
        <f>IFERROR(__xludf.DUMMYFUNCTION("""COMPUTED_VALUE"""),44852.75545056713)</f>
        <v>44852.75545</v>
      </c>
      <c r="G2887" s="24" t="str">
        <f>IFERROR(__xludf.DUMMYFUNCTION("""COMPUTED_VALUE"""),"Claire")</f>
        <v>Claire</v>
      </c>
      <c r="H2887" s="24">
        <f>IFERROR(__xludf.DUMMYFUNCTION("""COMPUTED_VALUE"""),1050.0)</f>
        <v>1050</v>
      </c>
      <c r="I2887" s="24" t="str">
        <f>IFERROR(__xludf.DUMMYFUNCTION("""COMPUTED_VALUE"""),"Dole")</f>
        <v>Dole</v>
      </c>
    </row>
    <row r="2888">
      <c r="A2888" s="23">
        <f>IFERROR(__xludf.DUMMYFUNCTION("""COMPUTED_VALUE"""),44786.0)</f>
        <v>44786</v>
      </c>
      <c r="B2888" s="24" t="str">
        <f>IFERROR(__xludf.DUMMYFUNCTION("""COMPUTED_VALUE"""),"Janet Lomax")</f>
        <v>Janet Lomax</v>
      </c>
      <c r="C2888" s="24">
        <f>IFERROR(__xludf.DUMMYFUNCTION("""COMPUTED_VALUE"""),1.0)</f>
        <v>1</v>
      </c>
      <c r="D2888" s="24"/>
      <c r="F2888" s="23">
        <f>IFERROR(__xludf.DUMMYFUNCTION("""COMPUTED_VALUE"""),44852.7558122801)</f>
        <v>44852.75581</v>
      </c>
      <c r="G2888" s="24" t="str">
        <f>IFERROR(__xludf.DUMMYFUNCTION("""COMPUTED_VALUE"""),"Claire ")</f>
        <v>Claire </v>
      </c>
      <c r="H2888" s="24">
        <f>IFERROR(__xludf.DUMMYFUNCTION("""COMPUTED_VALUE"""),954.0)</f>
        <v>954</v>
      </c>
      <c r="I2888" s="24" t="str">
        <f>IFERROR(__xludf.DUMMYFUNCTION("""COMPUTED_VALUE"""),"Dole")</f>
        <v>Dole</v>
      </c>
    </row>
    <row r="2889">
      <c r="A2889" s="23">
        <f>IFERROR(__xludf.DUMMYFUNCTION("""COMPUTED_VALUE"""),44786.0)</f>
        <v>44786</v>
      </c>
      <c r="B2889" s="24" t="str">
        <f>IFERROR(__xludf.DUMMYFUNCTION("""COMPUTED_VALUE"""),"Juanita C")</f>
        <v>Juanita C</v>
      </c>
      <c r="C2889" s="24">
        <f>IFERROR(__xludf.DUMMYFUNCTION("""COMPUTED_VALUE"""),8.0)</f>
        <v>8</v>
      </c>
      <c r="D2889" s="24"/>
      <c r="F2889" s="23">
        <f>IFERROR(__xludf.DUMMYFUNCTION("""COMPUTED_VALUE"""),44852.7570871875)</f>
        <v>44852.75709</v>
      </c>
      <c r="G2889" s="24" t="str">
        <f>IFERROR(__xludf.DUMMYFUNCTION("""COMPUTED_VALUE"""),"Claire ")</f>
        <v>Claire </v>
      </c>
      <c r="H2889" s="24">
        <f>IFERROR(__xludf.DUMMYFUNCTION("""COMPUTED_VALUE"""),1148.0)</f>
        <v>1148</v>
      </c>
      <c r="I2889" s="24" t="str">
        <f>IFERROR(__xludf.DUMMYFUNCTION("""COMPUTED_VALUE"""),"Dole")</f>
        <v>Dole</v>
      </c>
    </row>
    <row r="2890">
      <c r="A2890" s="23">
        <f>IFERROR(__xludf.DUMMYFUNCTION("""COMPUTED_VALUE"""),44786.0)</f>
        <v>44786</v>
      </c>
      <c r="B2890" s="24" t="str">
        <f>IFERROR(__xludf.DUMMYFUNCTION("""COMPUTED_VALUE"""),"Cheryl Utsey")</f>
        <v>Cheryl Utsey</v>
      </c>
      <c r="C2890" s="24">
        <f>IFERROR(__xludf.DUMMYFUNCTION("""COMPUTED_VALUE"""),20.0)</f>
        <v>20</v>
      </c>
      <c r="D2890" s="24"/>
      <c r="F2890" s="23">
        <f>IFERROR(__xludf.DUMMYFUNCTION("""COMPUTED_VALUE"""),44852.759227372684)</f>
        <v>44852.75923</v>
      </c>
      <c r="G2890" s="24" t="str">
        <f>IFERROR(__xludf.DUMMYFUNCTION("""COMPUTED_VALUE"""),"Claire ")</f>
        <v>Claire </v>
      </c>
      <c r="H2890" s="24">
        <f>IFERROR(__xludf.DUMMYFUNCTION("""COMPUTED_VALUE"""),1050.0)</f>
        <v>1050</v>
      </c>
      <c r="I2890" s="24" t="str">
        <f>IFERROR(__xludf.DUMMYFUNCTION("""COMPUTED_VALUE"""),"Dole")</f>
        <v>Dole</v>
      </c>
    </row>
    <row r="2891">
      <c r="A2891" s="23">
        <f>IFERROR(__xludf.DUMMYFUNCTION("""COMPUTED_VALUE"""),44786.0)</f>
        <v>44786</v>
      </c>
      <c r="B2891" s="24" t="str">
        <f>IFERROR(__xludf.DUMMYFUNCTION("""COMPUTED_VALUE"""),"Cheryl Utsey")</f>
        <v>Cheryl Utsey</v>
      </c>
      <c r="C2891" s="24">
        <f>IFERROR(__xludf.DUMMYFUNCTION("""COMPUTED_VALUE"""),3.0)</f>
        <v>3</v>
      </c>
      <c r="D2891" s="24"/>
      <c r="F2891" s="23">
        <f>IFERROR(__xludf.DUMMYFUNCTION("""COMPUTED_VALUE"""),44852.7597086574)</f>
        <v>44852.75971</v>
      </c>
      <c r="G2891" s="24" t="str">
        <f>IFERROR(__xludf.DUMMYFUNCTION("""COMPUTED_VALUE"""),"Claire")</f>
        <v>Claire</v>
      </c>
      <c r="H2891" s="24">
        <f>IFERROR(__xludf.DUMMYFUNCTION("""COMPUTED_VALUE"""),1917.0)</f>
        <v>1917</v>
      </c>
      <c r="I2891" s="24" t="str">
        <f>IFERROR(__xludf.DUMMYFUNCTION("""COMPUTED_VALUE"""),"Dole")</f>
        <v>Dole</v>
      </c>
    </row>
    <row r="2892">
      <c r="A2892" s="23">
        <f>IFERROR(__xludf.DUMMYFUNCTION("""COMPUTED_VALUE"""),44786.0)</f>
        <v>44786</v>
      </c>
      <c r="B2892" s="24" t="str">
        <f>IFERROR(__xludf.DUMMYFUNCTION("""COMPUTED_VALUE"""),"Emily Engelbrecht")</f>
        <v>Emily Engelbrecht</v>
      </c>
      <c r="C2892" s="24">
        <f>IFERROR(__xludf.DUMMYFUNCTION("""COMPUTED_VALUE"""),8.0)</f>
        <v>8</v>
      </c>
      <c r="D2892" s="24"/>
      <c r="F2892" s="23">
        <f>IFERROR(__xludf.DUMMYFUNCTION("""COMPUTED_VALUE"""),44852.76564287036)</f>
        <v>44852.76564</v>
      </c>
      <c r="G2892" s="24" t="str">
        <f>IFERROR(__xludf.DUMMYFUNCTION("""COMPUTED_VALUE"""),"Claire")</f>
        <v>Claire</v>
      </c>
      <c r="H2892" s="24">
        <f>IFERROR(__xludf.DUMMYFUNCTION("""COMPUTED_VALUE"""),2177.0)</f>
        <v>2177</v>
      </c>
      <c r="I2892" s="24" t="str">
        <f>IFERROR(__xludf.DUMMYFUNCTION("""COMPUTED_VALUE"""),"Dole")</f>
        <v>Dole</v>
      </c>
    </row>
    <row r="2893">
      <c r="A2893" s="23">
        <f>IFERROR(__xludf.DUMMYFUNCTION("""COMPUTED_VALUE"""),44786.0)</f>
        <v>44786</v>
      </c>
      <c r="B2893" s="24" t="str">
        <f>IFERROR(__xludf.DUMMYFUNCTION("""COMPUTED_VALUE"""),"Emily Engelbrecht")</f>
        <v>Emily Engelbrecht</v>
      </c>
      <c r="C2893" s="24">
        <f>IFERROR(__xludf.DUMMYFUNCTION("""COMPUTED_VALUE"""),2.0)</f>
        <v>2</v>
      </c>
      <c r="D2893" s="24"/>
      <c r="F2893" s="23">
        <f>IFERROR(__xludf.DUMMYFUNCTION("""COMPUTED_VALUE"""),44852.7723371875)</f>
        <v>44852.77234</v>
      </c>
      <c r="G2893" s="24" t="str">
        <f>IFERROR(__xludf.DUMMYFUNCTION("""COMPUTED_VALUE"""),"Claire ")</f>
        <v>Claire </v>
      </c>
      <c r="H2893" s="24">
        <f>IFERROR(__xludf.DUMMYFUNCTION("""COMPUTED_VALUE"""),1961.0)</f>
        <v>1961</v>
      </c>
      <c r="I2893" s="24" t="str">
        <f>IFERROR(__xludf.DUMMYFUNCTION("""COMPUTED_VALUE"""),"Dole")</f>
        <v>Dole</v>
      </c>
    </row>
    <row r="2894">
      <c r="A2894" s="23">
        <f>IFERROR(__xludf.DUMMYFUNCTION("""COMPUTED_VALUE"""),44786.0)</f>
        <v>44786</v>
      </c>
      <c r="B2894" s="24" t="str">
        <f>IFERROR(__xludf.DUMMYFUNCTION("""COMPUTED_VALUE"""),"Lynette c")</f>
        <v>Lynette c</v>
      </c>
      <c r="C2894" s="24">
        <f>IFERROR(__xludf.DUMMYFUNCTION("""COMPUTED_VALUE"""),2.0)</f>
        <v>2</v>
      </c>
      <c r="D2894" s="24"/>
      <c r="F2894" s="23">
        <f>IFERROR(__xludf.DUMMYFUNCTION("""COMPUTED_VALUE"""),44852.772768437506)</f>
        <v>44852.77277</v>
      </c>
      <c r="G2894" s="24" t="str">
        <f>IFERROR(__xludf.DUMMYFUNCTION("""COMPUTED_VALUE"""),"Claire ")</f>
        <v>Claire </v>
      </c>
      <c r="H2894" s="24">
        <f>IFERROR(__xludf.DUMMYFUNCTION("""COMPUTED_VALUE"""),782.0)</f>
        <v>782</v>
      </c>
      <c r="I2894" s="24" t="str">
        <f>IFERROR(__xludf.DUMMYFUNCTION("""COMPUTED_VALUE"""),"Dole ")</f>
        <v>Dole </v>
      </c>
    </row>
    <row r="2895">
      <c r="A2895" s="23">
        <f>IFERROR(__xludf.DUMMYFUNCTION("""COMPUTED_VALUE"""),44786.68381847222)</f>
        <v>44786.68382</v>
      </c>
      <c r="B2895" s="24" t="str">
        <f>IFERROR(__xludf.DUMMYFUNCTION("""COMPUTED_VALUE"""),"nathan")</f>
        <v>nathan</v>
      </c>
      <c r="C2895" s="24">
        <f>IFERROR(__xludf.DUMMYFUNCTION("""COMPUTED_VALUE"""),19.0)</f>
        <v>19</v>
      </c>
      <c r="D2895" s="24"/>
      <c r="F2895" s="23">
        <f>IFERROR(__xludf.DUMMYFUNCTION("""COMPUTED_VALUE"""),44852.773124618056)</f>
        <v>44852.77312</v>
      </c>
      <c r="G2895" s="24" t="str">
        <f>IFERROR(__xludf.DUMMYFUNCTION("""COMPUTED_VALUE"""),"Claire ")</f>
        <v>Claire </v>
      </c>
      <c r="H2895" s="24">
        <f>IFERROR(__xludf.DUMMYFUNCTION("""COMPUTED_VALUE"""),1089.0)</f>
        <v>1089</v>
      </c>
      <c r="I2895" s="24" t="str">
        <f>IFERROR(__xludf.DUMMYFUNCTION("""COMPUTED_VALUE"""),"Dole")</f>
        <v>Dole</v>
      </c>
    </row>
    <row r="2896">
      <c r="A2896" s="23">
        <f>IFERROR(__xludf.DUMMYFUNCTION("""COMPUTED_VALUE"""),44786.68673679398)</f>
        <v>44786.68674</v>
      </c>
      <c r="B2896" s="24" t="str">
        <f>IFERROR(__xludf.DUMMYFUNCTION("""COMPUTED_VALUE"""),"Tiffany Jiang")</f>
        <v>Tiffany Jiang</v>
      </c>
      <c r="C2896" s="24">
        <f>IFERROR(__xludf.DUMMYFUNCTION("""COMPUTED_VALUE"""),13.0)</f>
        <v>13</v>
      </c>
      <c r="D2896" s="24"/>
      <c r="F2896" s="23">
        <f>IFERROR(__xludf.DUMMYFUNCTION("""COMPUTED_VALUE"""),44852.773468321764)</f>
        <v>44852.77347</v>
      </c>
      <c r="G2896" s="24" t="str">
        <f>IFERROR(__xludf.DUMMYFUNCTION("""COMPUTED_VALUE"""),"Claire ")</f>
        <v>Claire </v>
      </c>
      <c r="H2896" s="24">
        <f>IFERROR(__xludf.DUMMYFUNCTION("""COMPUTED_VALUE"""),1848.0)</f>
        <v>1848</v>
      </c>
      <c r="I2896" s="24" t="str">
        <f>IFERROR(__xludf.DUMMYFUNCTION("""COMPUTED_VALUE"""),"Dole")</f>
        <v>Dole</v>
      </c>
    </row>
    <row r="2897">
      <c r="A2897" s="23">
        <f>IFERROR(__xludf.DUMMYFUNCTION("""COMPUTED_VALUE"""),44786.68724244213)</f>
        <v>44786.68724</v>
      </c>
      <c r="B2897" s="24" t="str">
        <f>IFERROR(__xludf.DUMMYFUNCTION("""COMPUTED_VALUE"""),"Beverly Pinn")</f>
        <v>Beverly Pinn</v>
      </c>
      <c r="C2897" s="24">
        <f>IFERROR(__xludf.DUMMYFUNCTION("""COMPUTED_VALUE"""),20.0)</f>
        <v>20</v>
      </c>
      <c r="D2897" s="24"/>
      <c r="F2897" s="23">
        <f>IFERROR(__xludf.DUMMYFUNCTION("""COMPUTED_VALUE"""),44852.79950837963)</f>
        <v>44852.79951</v>
      </c>
      <c r="G2897" s="24" t="str">
        <f>IFERROR(__xludf.DUMMYFUNCTION("""COMPUTED_VALUE"""),"Claire")</f>
        <v>Claire</v>
      </c>
      <c r="H2897" s="24">
        <f>IFERROR(__xludf.DUMMYFUNCTION("""COMPUTED_VALUE"""),803.0)</f>
        <v>803</v>
      </c>
      <c r="I2897" s="24" t="str">
        <f>IFERROR(__xludf.DUMMYFUNCTION("""COMPUTED_VALUE"""),"Dole")</f>
        <v>Dole</v>
      </c>
    </row>
    <row r="2898">
      <c r="A2898" s="23">
        <f>IFERROR(__xludf.DUMMYFUNCTION("""COMPUTED_VALUE"""),44786.68743071759)</f>
        <v>44786.68743</v>
      </c>
      <c r="B2898" s="24" t="str">
        <f>IFERROR(__xludf.DUMMYFUNCTION("""COMPUTED_VALUE"""),"Beverly Pinn")</f>
        <v>Beverly Pinn</v>
      </c>
      <c r="C2898" s="24">
        <f>IFERROR(__xludf.DUMMYFUNCTION("""COMPUTED_VALUE"""),3.0)</f>
        <v>3</v>
      </c>
      <c r="D2898" s="24"/>
      <c r="F2898" s="23">
        <f>IFERROR(__xludf.DUMMYFUNCTION("""COMPUTED_VALUE"""),44852.79994063658)</f>
        <v>44852.79994</v>
      </c>
      <c r="G2898" s="24" t="str">
        <f>IFERROR(__xludf.DUMMYFUNCTION("""COMPUTED_VALUE"""),"Claire ")</f>
        <v>Claire </v>
      </c>
      <c r="H2898" s="24">
        <f>IFERROR(__xludf.DUMMYFUNCTION("""COMPUTED_VALUE"""),387.0)</f>
        <v>387</v>
      </c>
      <c r="I2898" s="24" t="str">
        <f>IFERROR(__xludf.DUMMYFUNCTION("""COMPUTED_VALUE"""),"Dole")</f>
        <v>Dole</v>
      </c>
    </row>
    <row r="2899">
      <c r="A2899" s="23">
        <f>IFERROR(__xludf.DUMMYFUNCTION("""COMPUTED_VALUE"""),44786.68763760417)</f>
        <v>44786.68764</v>
      </c>
      <c r="B2899" s="24" t="str">
        <f>IFERROR(__xludf.DUMMYFUNCTION("""COMPUTED_VALUE"""),"Emily Stucke")</f>
        <v>Emily Stucke</v>
      </c>
      <c r="C2899" s="24">
        <f>IFERROR(__xludf.DUMMYFUNCTION("""COMPUTED_VALUE"""),11.0)</f>
        <v>11</v>
      </c>
      <c r="D2899" s="24"/>
      <c r="F2899" s="23">
        <f>IFERROR(__xludf.DUMMYFUNCTION("""COMPUTED_VALUE"""),44852.80141461805)</f>
        <v>44852.80141</v>
      </c>
      <c r="G2899" s="24" t="str">
        <f>IFERROR(__xludf.DUMMYFUNCTION("""COMPUTED_VALUE"""),"Claire ")</f>
        <v>Claire </v>
      </c>
      <c r="H2899" s="24">
        <f>IFERROR(__xludf.DUMMYFUNCTION("""COMPUTED_VALUE"""),531.0)</f>
        <v>531</v>
      </c>
      <c r="I2899" s="24" t="str">
        <f>IFERROR(__xludf.DUMMYFUNCTION("""COMPUTED_VALUE"""),"Dole")</f>
        <v>Dole</v>
      </c>
    </row>
    <row r="2900">
      <c r="A2900" s="23">
        <f>IFERROR(__xludf.DUMMYFUNCTION("""COMPUTED_VALUE"""),44786.690095162034)</f>
        <v>44786.6901</v>
      </c>
      <c r="B2900" s="24" t="str">
        <f>IFERROR(__xludf.DUMMYFUNCTION("""COMPUTED_VALUE"""),"Gilda castillo ")</f>
        <v>Gilda castillo </v>
      </c>
      <c r="C2900" s="24">
        <f>IFERROR(__xludf.DUMMYFUNCTION("""COMPUTED_VALUE"""),20.0)</f>
        <v>20</v>
      </c>
      <c r="D2900" s="24"/>
      <c r="F2900" s="23">
        <f>IFERROR(__xludf.DUMMYFUNCTION("""COMPUTED_VALUE"""),44852.80210414352)</f>
        <v>44852.8021</v>
      </c>
      <c r="G2900" s="24" t="str">
        <f>IFERROR(__xludf.DUMMYFUNCTION("""COMPUTED_VALUE"""),"Claire ")</f>
        <v>Claire </v>
      </c>
      <c r="H2900" s="24">
        <f>IFERROR(__xludf.DUMMYFUNCTION("""COMPUTED_VALUE"""),1942.0)</f>
        <v>1942</v>
      </c>
      <c r="I2900" s="24" t="str">
        <f>IFERROR(__xludf.DUMMYFUNCTION("""COMPUTED_VALUE"""),"Dole ")</f>
        <v>Dole </v>
      </c>
    </row>
    <row r="2901">
      <c r="A2901" s="23">
        <f>IFERROR(__xludf.DUMMYFUNCTION("""COMPUTED_VALUE"""),44786.0)</f>
        <v>44786</v>
      </c>
      <c r="B2901" s="24" t="str">
        <f>IFERROR(__xludf.DUMMYFUNCTION("""COMPUTED_VALUE"""),"Gilda Castillo")</f>
        <v>Gilda Castillo</v>
      </c>
      <c r="C2901" s="24">
        <f>IFERROR(__xludf.DUMMYFUNCTION("""COMPUTED_VALUE"""),2.0)</f>
        <v>2</v>
      </c>
      <c r="D2901" s="24"/>
      <c r="F2901" s="23">
        <f>IFERROR(__xludf.DUMMYFUNCTION("""COMPUTED_VALUE"""),44852.80246155093)</f>
        <v>44852.80246</v>
      </c>
      <c r="G2901" s="24" t="str">
        <f>IFERROR(__xludf.DUMMYFUNCTION("""COMPUTED_VALUE"""),"Claire ")</f>
        <v>Claire </v>
      </c>
      <c r="H2901" s="24">
        <f>IFERROR(__xludf.DUMMYFUNCTION("""COMPUTED_VALUE"""),1080.0)</f>
        <v>1080</v>
      </c>
      <c r="I2901" s="24" t="str">
        <f>IFERROR(__xludf.DUMMYFUNCTION("""COMPUTED_VALUE"""),"Dole")</f>
        <v>Dole</v>
      </c>
    </row>
    <row r="2902">
      <c r="A2902" s="23">
        <f>IFERROR(__xludf.DUMMYFUNCTION("""COMPUTED_VALUE"""),44786.69075863426)</f>
        <v>44786.69076</v>
      </c>
      <c r="B2902" s="24" t="str">
        <f>IFERROR(__xludf.DUMMYFUNCTION("""COMPUTED_VALUE"""),"Angeles Cortes")</f>
        <v>Angeles Cortes</v>
      </c>
      <c r="C2902" s="24">
        <f>IFERROR(__xludf.DUMMYFUNCTION("""COMPUTED_VALUE"""),20.0)</f>
        <v>20</v>
      </c>
      <c r="D2902" s="24"/>
      <c r="F2902" s="23">
        <f>IFERROR(__xludf.DUMMYFUNCTION("""COMPUTED_VALUE"""),44852.80763091436)</f>
        <v>44852.80763</v>
      </c>
      <c r="G2902" s="24" t="str">
        <f>IFERROR(__xludf.DUMMYFUNCTION("""COMPUTED_VALUE"""),"Claire ")</f>
        <v>Claire </v>
      </c>
      <c r="H2902" s="24">
        <f>IFERROR(__xludf.DUMMYFUNCTION("""COMPUTED_VALUE"""),1510.0)</f>
        <v>1510</v>
      </c>
      <c r="I2902" s="24" t="str">
        <f>IFERROR(__xludf.DUMMYFUNCTION("""COMPUTED_VALUE"""),"Dole")</f>
        <v>Dole</v>
      </c>
    </row>
    <row r="2903">
      <c r="A2903" s="23">
        <f>IFERROR(__xludf.DUMMYFUNCTION("""COMPUTED_VALUE"""),44786.69124986111)</f>
        <v>44786.69125</v>
      </c>
      <c r="B2903" s="24" t="str">
        <f>IFERROR(__xludf.DUMMYFUNCTION("""COMPUTED_VALUE"""),"Angeles Cortes")</f>
        <v>Angeles Cortes</v>
      </c>
      <c r="C2903" s="24">
        <f>IFERROR(__xludf.DUMMYFUNCTION("""COMPUTED_VALUE"""),2.0)</f>
        <v>2</v>
      </c>
      <c r="D2903" s="24"/>
      <c r="F2903" s="23">
        <f>IFERROR(__xludf.DUMMYFUNCTION("""COMPUTED_VALUE"""),44853.0)</f>
        <v>44853</v>
      </c>
      <c r="G2903" s="24" t="str">
        <f>IFERROR(__xludf.DUMMYFUNCTION("""COMPUTED_VALUE"""),"Dee")</f>
        <v>Dee</v>
      </c>
      <c r="H2903" s="24">
        <f>IFERROR(__xludf.DUMMYFUNCTION("""COMPUTED_VALUE"""),20.0)</f>
        <v>20</v>
      </c>
      <c r="I2903" s="24" t="str">
        <f>IFERROR(__xludf.DUMMYFUNCTION("""COMPUTED_VALUE"""),"Regular (up to 20lbs)")</f>
        <v>Regular (up to 20lbs)</v>
      </c>
    </row>
    <row r="2904">
      <c r="A2904" s="23">
        <f>IFERROR(__xludf.DUMMYFUNCTION("""COMPUTED_VALUE"""),44786.699993692135)</f>
        <v>44786.69999</v>
      </c>
      <c r="B2904" s="24" t="str">
        <f>IFERROR(__xludf.DUMMYFUNCTION("""COMPUTED_VALUE"""),"Beverly Pinn")</f>
        <v>Beverly Pinn</v>
      </c>
      <c r="C2904" s="24"/>
      <c r="D2904" s="24"/>
      <c r="F2904" s="23">
        <f>IFERROR(__xludf.DUMMYFUNCTION("""COMPUTED_VALUE"""),44853.0)</f>
        <v>44853</v>
      </c>
      <c r="G2904" s="24" t="str">
        <f>IFERROR(__xludf.DUMMYFUNCTION("""COMPUTED_VALUE"""),"Dee")</f>
        <v>Dee</v>
      </c>
      <c r="H2904" s="24">
        <f>IFERROR(__xludf.DUMMYFUNCTION("""COMPUTED_VALUE"""),17.0)</f>
        <v>17</v>
      </c>
      <c r="I2904" s="24" t="str">
        <f>IFERROR(__xludf.DUMMYFUNCTION("""COMPUTED_VALUE"""),"Damage/expired/extra")</f>
        <v>Damage/expired/extra</v>
      </c>
    </row>
    <row r="2905">
      <c r="A2905" s="23">
        <f>IFERROR(__xludf.DUMMYFUNCTION("""COMPUTED_VALUE"""),44786.0)</f>
        <v>44786</v>
      </c>
      <c r="B2905" s="24" t="str">
        <f>IFERROR(__xludf.DUMMYFUNCTION("""COMPUTED_VALUE"""),"Dean Chien")</f>
        <v>Dean Chien</v>
      </c>
      <c r="C2905" s="24">
        <f>IFERROR(__xludf.DUMMYFUNCTION("""COMPUTED_VALUE"""),10.0)</f>
        <v>10</v>
      </c>
      <c r="D2905" s="24"/>
      <c r="F2905" s="23">
        <f>IFERROR(__xludf.DUMMYFUNCTION("""COMPUTED_VALUE"""),44853.0)</f>
        <v>44853</v>
      </c>
      <c r="G2905" s="24" t="str">
        <f>IFERROR(__xludf.DUMMYFUNCTION("""COMPUTED_VALUE"""),"Sharron")</f>
        <v>Sharron</v>
      </c>
      <c r="H2905" s="24">
        <f>IFERROR(__xludf.DUMMYFUNCTION("""COMPUTED_VALUE"""),16.0)</f>
        <v>16</v>
      </c>
      <c r="I2905" s="24" t="str">
        <f>IFERROR(__xludf.DUMMYFUNCTION("""COMPUTED_VALUE"""),"Regular (up to 20lbs)")</f>
        <v>Regular (up to 20lbs)</v>
      </c>
    </row>
    <row r="2906">
      <c r="A2906" s="23">
        <f>IFERROR(__xludf.DUMMYFUNCTION("""COMPUTED_VALUE"""),44786.70228979167)</f>
        <v>44786.70229</v>
      </c>
      <c r="B2906" s="24" t="str">
        <f>IFERROR(__xludf.DUMMYFUNCTION("""COMPUTED_VALUE"""),"Dean Chien")</f>
        <v>Dean Chien</v>
      </c>
      <c r="C2906" s="24">
        <f>IFERROR(__xludf.DUMMYFUNCTION("""COMPUTED_VALUE"""),19.0)</f>
        <v>19</v>
      </c>
      <c r="D2906" s="24"/>
      <c r="F2906" s="23">
        <f>IFERROR(__xludf.DUMMYFUNCTION("""COMPUTED_VALUE"""),44853.0)</f>
        <v>44853</v>
      </c>
      <c r="G2906" s="24" t="str">
        <f>IFERROR(__xludf.DUMMYFUNCTION("""COMPUTED_VALUE"""),"Sharron")</f>
        <v>Sharron</v>
      </c>
      <c r="H2906" s="24">
        <f>IFERROR(__xludf.DUMMYFUNCTION("""COMPUTED_VALUE"""),2.0)</f>
        <v>2</v>
      </c>
      <c r="I2906" s="24" t="str">
        <f>IFERROR(__xludf.DUMMYFUNCTION("""COMPUTED_VALUE"""),"Damage/expired/extra")</f>
        <v>Damage/expired/extra</v>
      </c>
    </row>
    <row r="2907">
      <c r="A2907" s="23">
        <f>IFERROR(__xludf.DUMMYFUNCTION("""COMPUTED_VALUE"""),44787.65883493055)</f>
        <v>44787.65883</v>
      </c>
      <c r="B2907" s="24" t="str">
        <f>IFERROR(__xludf.DUMMYFUNCTION("""COMPUTED_VALUE"""),"Cybil Bailey")</f>
        <v>Cybil Bailey</v>
      </c>
      <c r="C2907" s="24">
        <f>IFERROR(__xludf.DUMMYFUNCTION("""COMPUTED_VALUE"""),8.0)</f>
        <v>8</v>
      </c>
      <c r="D2907" s="24"/>
      <c r="F2907" s="23">
        <f>IFERROR(__xludf.DUMMYFUNCTION("""COMPUTED_VALUE"""),44853.0)</f>
        <v>44853</v>
      </c>
      <c r="G2907" s="24" t="str">
        <f>IFERROR(__xludf.DUMMYFUNCTION("""COMPUTED_VALUE"""),"Powerful")</f>
        <v>Powerful</v>
      </c>
      <c r="H2907" s="24">
        <f>IFERROR(__xludf.DUMMYFUNCTION("""COMPUTED_VALUE"""),18.0)</f>
        <v>18</v>
      </c>
      <c r="I2907" s="24" t="str">
        <f>IFERROR(__xludf.DUMMYFUNCTION("""COMPUTED_VALUE"""),"Regular (up to 20lbs)")</f>
        <v>Regular (up to 20lbs)</v>
      </c>
    </row>
    <row r="2908">
      <c r="A2908" s="23">
        <f>IFERROR(__xludf.DUMMYFUNCTION("""COMPUTED_VALUE"""),44787.66603539352)</f>
        <v>44787.66604</v>
      </c>
      <c r="B2908" s="24" t="str">
        <f>IFERROR(__xludf.DUMMYFUNCTION("""COMPUTED_VALUE"""),"Shaneen")</f>
        <v>Shaneen</v>
      </c>
      <c r="C2908" s="24">
        <f>IFERROR(__xludf.DUMMYFUNCTION("""COMPUTED_VALUE"""),20.0)</f>
        <v>20</v>
      </c>
      <c r="D2908" s="24"/>
      <c r="F2908" s="23">
        <f>IFERROR(__xludf.DUMMYFUNCTION("""COMPUTED_VALUE"""),44853.0)</f>
        <v>44853</v>
      </c>
      <c r="G2908" s="24" t="str">
        <f>IFERROR(__xludf.DUMMYFUNCTION("""COMPUTED_VALUE"""),"Powerful")</f>
        <v>Powerful</v>
      </c>
      <c r="H2908" s="24">
        <f>IFERROR(__xludf.DUMMYFUNCTION("""COMPUTED_VALUE"""),2.0)</f>
        <v>2</v>
      </c>
      <c r="I2908" s="24" t="str">
        <f>IFERROR(__xludf.DUMMYFUNCTION("""COMPUTED_VALUE"""),"Damage/expired/extra")</f>
        <v>Damage/expired/extra</v>
      </c>
    </row>
    <row r="2909">
      <c r="A2909" s="23">
        <f>IFERROR(__xludf.DUMMYFUNCTION("""COMPUTED_VALUE"""),44787.67020658565)</f>
        <v>44787.67021</v>
      </c>
      <c r="B2909" s="24" t="str">
        <f>IFERROR(__xludf.DUMMYFUNCTION("""COMPUTED_VALUE"""),"Gretchen Pike")</f>
        <v>Gretchen Pike</v>
      </c>
      <c r="C2909" s="24">
        <f>IFERROR(__xludf.DUMMYFUNCTION("""COMPUTED_VALUE"""),20.0)</f>
        <v>20</v>
      </c>
      <c r="D2909" s="24"/>
      <c r="F2909" s="23">
        <f>IFERROR(__xludf.DUMMYFUNCTION("""COMPUTED_VALUE"""),44853.58478452546)</f>
        <v>44853.58478</v>
      </c>
      <c r="G2909" s="24" t="str">
        <f>IFERROR(__xludf.DUMMYFUNCTION("""COMPUTED_VALUE"""),"Bud - Sisson st dpw drinks ")</f>
        <v>Bud - Sisson st dpw drinks </v>
      </c>
      <c r="H2909" s="24">
        <f>IFERROR(__xludf.DUMMYFUNCTION("""COMPUTED_VALUE"""),11.0)</f>
        <v>11</v>
      </c>
      <c r="I2909" s="24" t="str">
        <f>IFERROR(__xludf.DUMMYFUNCTION("""COMPUTED_VALUE"""),"Regular (up to 20lbs)")</f>
        <v>Regular (up to 20lbs)</v>
      </c>
    </row>
    <row r="2910">
      <c r="A2910" s="23">
        <f>IFERROR(__xludf.DUMMYFUNCTION("""COMPUTED_VALUE"""),44787.69312077546)</f>
        <v>44787.69312</v>
      </c>
      <c r="B2910" s="24" t="str">
        <f>IFERROR(__xludf.DUMMYFUNCTION("""COMPUTED_VALUE"""),"Shaneen")</f>
        <v>Shaneen</v>
      </c>
      <c r="C2910" s="24">
        <f>IFERROR(__xludf.DUMMYFUNCTION("""COMPUTED_VALUE"""),0.5)</f>
        <v>0.5</v>
      </c>
      <c r="D2910" s="24"/>
      <c r="F2910" s="23">
        <f>IFERROR(__xludf.DUMMYFUNCTION("""COMPUTED_VALUE"""),44853.584981354164)</f>
        <v>44853.58498</v>
      </c>
      <c r="G2910" s="24" t="str">
        <f>IFERROR(__xludf.DUMMYFUNCTION("""COMPUTED_VALUE"""),"Bud Stracker - personal ")</f>
        <v>Bud Stracker - personal </v>
      </c>
      <c r="H2910" s="24">
        <f>IFERROR(__xludf.DUMMYFUNCTION("""COMPUTED_VALUE"""),1.0)</f>
        <v>1</v>
      </c>
      <c r="I2910" s="24" t="str">
        <f>IFERROR(__xludf.DUMMYFUNCTION("""COMPUTED_VALUE"""),"Regular (up to 20lbs)")</f>
        <v>Regular (up to 20lbs)</v>
      </c>
    </row>
    <row r="2911">
      <c r="A2911" s="23">
        <f>IFERROR(__xludf.DUMMYFUNCTION("""COMPUTED_VALUE"""),44787.698489027774)</f>
        <v>44787.69849</v>
      </c>
      <c r="B2911" s="24" t="str">
        <f>IFERROR(__xludf.DUMMYFUNCTION("""COMPUTED_VALUE"""),"Carla")</f>
        <v>Carla</v>
      </c>
      <c r="C2911" s="24">
        <f>IFERROR(__xludf.DUMMYFUNCTION("""COMPUTED_VALUE"""),9.0)</f>
        <v>9</v>
      </c>
      <c r="D2911" s="24"/>
      <c r="F2911" s="23">
        <f>IFERROR(__xludf.DUMMYFUNCTION("""COMPUTED_VALUE"""),44853.5889436111)</f>
        <v>44853.58894</v>
      </c>
      <c r="G2911" s="24" t="str">
        <f>IFERROR(__xludf.DUMMYFUNCTION("""COMPUTED_VALUE"""),"Bud Stracker ")</f>
        <v>Bud Stracker </v>
      </c>
      <c r="H2911" s="24">
        <f>IFERROR(__xludf.DUMMYFUNCTION("""COMPUTED_VALUE"""),21.0)</f>
        <v>21</v>
      </c>
      <c r="I2911" s="24" t="str">
        <f>IFERROR(__xludf.DUMMYFUNCTION("""COMPUTED_VALUE"""),"Damage/expired/extra")</f>
        <v>Damage/expired/extra</v>
      </c>
    </row>
    <row r="2912">
      <c r="A2912" s="23">
        <f>IFERROR(__xludf.DUMMYFUNCTION("""COMPUTED_VALUE"""),44787.69891650463)</f>
        <v>44787.69892</v>
      </c>
      <c r="B2912" s="24" t="str">
        <f>IFERROR(__xludf.DUMMYFUNCTION("""COMPUTED_VALUE"""),"James w")</f>
        <v>James w</v>
      </c>
      <c r="C2912" s="24">
        <f>IFERROR(__xludf.DUMMYFUNCTION("""COMPUTED_VALUE"""),20.0)</f>
        <v>20</v>
      </c>
      <c r="D2912" s="24"/>
      <c r="F2912" s="23">
        <f>IFERROR(__xludf.DUMMYFUNCTION("""COMPUTED_VALUE"""),44853.59020402778)</f>
        <v>44853.5902</v>
      </c>
      <c r="G2912" s="24" t="str">
        <f>IFERROR(__xludf.DUMMYFUNCTION("""COMPUTED_VALUE"""),"Claire")</f>
        <v>Claire</v>
      </c>
      <c r="H2912" s="24">
        <f>IFERROR(__xludf.DUMMYFUNCTION("""COMPUTED_VALUE"""),208.0)</f>
        <v>208</v>
      </c>
      <c r="I2912" s="24" t="str">
        <f>IFERROR(__xludf.DUMMYFUNCTION("""COMPUTED_VALUE"""),"Cleaning Supplies")</f>
        <v>Cleaning Supplies</v>
      </c>
    </row>
    <row r="2913">
      <c r="A2913" s="23">
        <f>IFERROR(__xludf.DUMMYFUNCTION("""COMPUTED_VALUE"""),44787.70159653935)</f>
        <v>44787.7016</v>
      </c>
      <c r="B2913" s="24" t="str">
        <f>IFERROR(__xludf.DUMMYFUNCTION("""COMPUTED_VALUE"""),"Opey")</f>
        <v>Opey</v>
      </c>
      <c r="C2913" s="24">
        <f>IFERROR(__xludf.DUMMYFUNCTION("""COMPUTED_VALUE"""),19.0)</f>
        <v>19</v>
      </c>
      <c r="D2913" s="24"/>
      <c r="F2913" s="23">
        <f>IFERROR(__xludf.DUMMYFUNCTION("""COMPUTED_VALUE"""),44853.727750439815)</f>
        <v>44853.72775</v>
      </c>
      <c r="G2913" s="24" t="str">
        <f>IFERROR(__xludf.DUMMYFUNCTION("""COMPUTED_VALUE"""),"Luke mayhew ")</f>
        <v>Luke mayhew </v>
      </c>
      <c r="H2913" s="24">
        <f>IFERROR(__xludf.DUMMYFUNCTION("""COMPUTED_VALUE"""),20.0)</f>
        <v>20</v>
      </c>
      <c r="I2913" s="24" t="str">
        <f>IFERROR(__xludf.DUMMYFUNCTION("""COMPUTED_VALUE"""),"Regular (up to 20lbs)")</f>
        <v>Regular (up to 20lbs)</v>
      </c>
    </row>
    <row r="2914">
      <c r="A2914" s="23">
        <f>IFERROR(__xludf.DUMMYFUNCTION("""COMPUTED_VALUE"""),44787.0)</f>
        <v>44787</v>
      </c>
      <c r="B2914" s="24" t="str">
        <f>IFERROR(__xludf.DUMMYFUNCTION("""COMPUTED_VALUE"""),"Travis ")</f>
        <v>Travis </v>
      </c>
      <c r="C2914" s="24">
        <f>IFERROR(__xludf.DUMMYFUNCTION("""COMPUTED_VALUE"""),20.0)</f>
        <v>20</v>
      </c>
      <c r="D2914" s="24"/>
      <c r="F2914" s="23">
        <f>IFERROR(__xludf.DUMMYFUNCTION("""COMPUTED_VALUE"""),44853.72790332176)</f>
        <v>44853.7279</v>
      </c>
      <c r="G2914" s="24" t="str">
        <f>IFERROR(__xludf.DUMMYFUNCTION("""COMPUTED_VALUE"""),"Luke mayhew")</f>
        <v>Luke mayhew</v>
      </c>
      <c r="H2914" s="24">
        <f>IFERROR(__xludf.DUMMYFUNCTION("""COMPUTED_VALUE"""),18.0)</f>
        <v>18</v>
      </c>
      <c r="I2914" s="24" t="str">
        <f>IFERROR(__xludf.DUMMYFUNCTION("""COMPUTED_VALUE"""),"Damage/expired/extra")</f>
        <v>Damage/expired/extra</v>
      </c>
    </row>
    <row r="2915">
      <c r="A2915" s="23">
        <f>IFERROR(__xludf.DUMMYFUNCTION("""COMPUTED_VALUE"""),44787.0)</f>
        <v>44787</v>
      </c>
      <c r="B2915" s="24" t="str">
        <f>IFERROR(__xludf.DUMMYFUNCTION("""COMPUTED_VALUE"""),"Kaneesha Bailey")</f>
        <v>Kaneesha Bailey</v>
      </c>
      <c r="C2915" s="24">
        <f>IFERROR(__xludf.DUMMYFUNCTION("""COMPUTED_VALUE"""),16.0)</f>
        <v>16</v>
      </c>
      <c r="D2915" s="24"/>
      <c r="F2915" s="23">
        <f>IFERROR(__xludf.DUMMYFUNCTION("""COMPUTED_VALUE"""),44853.76404372685)</f>
        <v>44853.76404</v>
      </c>
      <c r="G2915" s="24" t="str">
        <f>IFERROR(__xludf.DUMMYFUNCTION("""COMPUTED_VALUE"""),"Karen")</f>
        <v>Karen</v>
      </c>
      <c r="H2915" s="24">
        <f>IFERROR(__xludf.DUMMYFUNCTION("""COMPUTED_VALUE"""),17.0)</f>
        <v>17</v>
      </c>
      <c r="I2915" s="24" t="str">
        <f>IFERROR(__xludf.DUMMYFUNCTION("""COMPUTED_VALUE"""),"Regular (up to 20lbs)")</f>
        <v>Regular (up to 20lbs)</v>
      </c>
    </row>
    <row r="2916">
      <c r="A2916" s="23">
        <f>IFERROR(__xludf.DUMMYFUNCTION("""COMPUTED_VALUE"""),44787.0)</f>
        <v>44787</v>
      </c>
      <c r="B2916" s="24" t="str">
        <f>IFERROR(__xludf.DUMMYFUNCTION("""COMPUTED_VALUE"""),"Kaneesha Bailey")</f>
        <v>Kaneesha Bailey</v>
      </c>
      <c r="C2916" s="24">
        <f>IFERROR(__xludf.DUMMYFUNCTION("""COMPUTED_VALUE"""),9.0)</f>
        <v>9</v>
      </c>
      <c r="D2916" s="24"/>
      <c r="F2916" s="23">
        <f>IFERROR(__xludf.DUMMYFUNCTION("""COMPUTED_VALUE"""),44853.7641746875)</f>
        <v>44853.76417</v>
      </c>
      <c r="G2916" s="24" t="str">
        <f>IFERROR(__xludf.DUMMYFUNCTION("""COMPUTED_VALUE"""),"Karen")</f>
        <v>Karen</v>
      </c>
      <c r="H2916" s="24">
        <f>IFERROR(__xludf.DUMMYFUNCTION("""COMPUTED_VALUE"""),18.0)</f>
        <v>18</v>
      </c>
      <c r="I2916" s="24" t="str">
        <f>IFERROR(__xludf.DUMMYFUNCTION("""COMPUTED_VALUE"""),"Damage/expired/extra")</f>
        <v>Damage/expired/extra</v>
      </c>
    </row>
    <row r="2917">
      <c r="A2917" s="23">
        <f>IFERROR(__xludf.DUMMYFUNCTION("""COMPUTED_VALUE"""),44787.0)</f>
        <v>44787</v>
      </c>
      <c r="B2917" s="24" t="str">
        <f>IFERROR(__xludf.DUMMYFUNCTION("""COMPUTED_VALUE"""),"Denise Wilkins")</f>
        <v>Denise Wilkins</v>
      </c>
      <c r="C2917" s="24">
        <f>IFERROR(__xludf.DUMMYFUNCTION("""COMPUTED_VALUE"""),20.0)</f>
        <v>20</v>
      </c>
      <c r="D2917" s="24"/>
      <c r="F2917" s="23">
        <f>IFERROR(__xludf.DUMMYFUNCTION("""COMPUTED_VALUE"""),44853.7726085301)</f>
        <v>44853.77261</v>
      </c>
      <c r="G2917" s="24" t="str">
        <f>IFERROR(__xludf.DUMMYFUNCTION("""COMPUTED_VALUE"""),"Juanita Chandler ")</f>
        <v>Juanita Chandler </v>
      </c>
      <c r="H2917" s="24">
        <f>IFERROR(__xludf.DUMMYFUNCTION("""COMPUTED_VALUE"""),19.0)</f>
        <v>19</v>
      </c>
      <c r="I2917" s="24" t="str">
        <f>IFERROR(__xludf.DUMMYFUNCTION("""COMPUTED_VALUE"""),"Regular (up to 20lbs)")</f>
        <v>Regular (up to 20lbs)</v>
      </c>
    </row>
    <row r="2918">
      <c r="A2918" s="23">
        <f>IFERROR(__xludf.DUMMYFUNCTION("""COMPUTED_VALUE"""),44789.0)</f>
        <v>44789</v>
      </c>
      <c r="B2918" s="24" t="str">
        <f>IFERROR(__xludf.DUMMYFUNCTION("""COMPUTED_VALUE"""),"Gretchen Pike")</f>
        <v>Gretchen Pike</v>
      </c>
      <c r="C2918" s="24">
        <f>IFERROR(__xludf.DUMMYFUNCTION("""COMPUTED_VALUE"""),20.0)</f>
        <v>20</v>
      </c>
      <c r="D2918" s="24"/>
      <c r="F2918" s="23">
        <f>IFERROR(__xludf.DUMMYFUNCTION("""COMPUTED_VALUE"""),44853.77288049769)</f>
        <v>44853.77288</v>
      </c>
      <c r="G2918" s="24" t="str">
        <f>IFERROR(__xludf.DUMMYFUNCTION("""COMPUTED_VALUE"""),"Juanita Chandler ")</f>
        <v>Juanita Chandler </v>
      </c>
      <c r="H2918" s="24">
        <f>IFERROR(__xludf.DUMMYFUNCTION("""COMPUTED_VALUE"""),14.0)</f>
        <v>14</v>
      </c>
      <c r="I2918" s="24" t="str">
        <f>IFERROR(__xludf.DUMMYFUNCTION("""COMPUTED_VALUE"""),"Damage/expired/extra")</f>
        <v>Damage/expired/extra</v>
      </c>
    </row>
    <row r="2919">
      <c r="A2919" s="23">
        <f>IFERROR(__xludf.DUMMYFUNCTION("""COMPUTED_VALUE"""),44789.0)</f>
        <v>44789</v>
      </c>
      <c r="B2919" s="24" t="str">
        <f>IFERROR(__xludf.DUMMYFUNCTION("""COMPUTED_VALUE"""),"Gretchen Pike")</f>
        <v>Gretchen Pike</v>
      </c>
      <c r="C2919" s="24">
        <f>IFERROR(__xludf.DUMMYFUNCTION("""COMPUTED_VALUE"""),4.0)</f>
        <v>4</v>
      </c>
      <c r="D2919" s="24"/>
      <c r="F2919" s="23">
        <f>IFERROR(__xludf.DUMMYFUNCTION("""COMPUTED_VALUE"""),44853.83761520833)</f>
        <v>44853.83762</v>
      </c>
      <c r="G2919" s="24" t="str">
        <f>IFERROR(__xludf.DUMMYFUNCTION("""COMPUTED_VALUE"""),"Lynnette cromer")</f>
        <v>Lynnette cromer</v>
      </c>
      <c r="H2919" s="24">
        <f>IFERROR(__xludf.DUMMYFUNCTION("""COMPUTED_VALUE"""),21.0)</f>
        <v>21</v>
      </c>
      <c r="I2919" s="24" t="str">
        <f>IFERROR(__xludf.DUMMYFUNCTION("""COMPUTED_VALUE"""),"Regular (up to 20lbs)")</f>
        <v>Regular (up to 20lbs)</v>
      </c>
    </row>
    <row r="2920">
      <c r="A2920" s="23">
        <f>IFERROR(__xludf.DUMMYFUNCTION("""COMPUTED_VALUE"""),44789.7034950463)</f>
        <v>44789.7035</v>
      </c>
      <c r="B2920" s="24" t="str">
        <f>IFERROR(__xludf.DUMMYFUNCTION("""COMPUTED_VALUE"""),"Barbara Jordan")</f>
        <v>Barbara Jordan</v>
      </c>
      <c r="C2920" s="24">
        <f>IFERROR(__xludf.DUMMYFUNCTION("""COMPUTED_VALUE"""),19.0)</f>
        <v>19</v>
      </c>
      <c r="D2920" s="24"/>
      <c r="F2920" s="23">
        <f>IFERROR(__xludf.DUMMYFUNCTION("""COMPUTED_VALUE"""),44853.83785393519)</f>
        <v>44853.83785</v>
      </c>
      <c r="G2920" s="24" t="str">
        <f>IFERROR(__xludf.DUMMYFUNCTION("""COMPUTED_VALUE"""),"Lynnette c")</f>
        <v>Lynnette c</v>
      </c>
      <c r="H2920" s="24">
        <f>IFERROR(__xludf.DUMMYFUNCTION("""COMPUTED_VALUE"""),13.0)</f>
        <v>13</v>
      </c>
      <c r="I2920" s="24" t="str">
        <f>IFERROR(__xludf.DUMMYFUNCTION("""COMPUTED_VALUE"""),"Damage/expired/extra")</f>
        <v>Damage/expired/extra</v>
      </c>
    </row>
    <row r="2921">
      <c r="A2921" s="23">
        <f>IFERROR(__xludf.DUMMYFUNCTION("""COMPUTED_VALUE"""),44790.0)</f>
        <v>44790</v>
      </c>
      <c r="B2921" s="24" t="str">
        <f>IFERROR(__xludf.DUMMYFUNCTION("""COMPUTED_VALUE"""),"Juanita Chandler ")</f>
        <v>Juanita Chandler </v>
      </c>
      <c r="C2921" s="24">
        <f>IFERROR(__xludf.DUMMYFUNCTION("""COMPUTED_VALUE"""),18.0)</f>
        <v>18</v>
      </c>
      <c r="D2921" s="24"/>
      <c r="F2921" s="23">
        <f>IFERROR(__xludf.DUMMYFUNCTION("""COMPUTED_VALUE"""),44854.0)</f>
        <v>44854</v>
      </c>
      <c r="G2921" s="24" t="str">
        <f>IFERROR(__xludf.DUMMYFUNCTION("""COMPUTED_VALUE"""),"Barbara Jordan")</f>
        <v>Barbara Jordan</v>
      </c>
      <c r="H2921" s="24">
        <f>IFERROR(__xludf.DUMMYFUNCTION("""COMPUTED_VALUE"""),12.0)</f>
        <v>12</v>
      </c>
      <c r="I2921" s="24" t="str">
        <f>IFERROR(__xludf.DUMMYFUNCTION("""COMPUTED_VALUE"""),"Regular (up to 20lbs)")</f>
        <v>Regular (up to 20lbs)</v>
      </c>
    </row>
    <row r="2922">
      <c r="A2922" s="23">
        <f>IFERROR(__xludf.DUMMYFUNCTION("""COMPUTED_VALUE"""),44790.0)</f>
        <v>44790</v>
      </c>
      <c r="B2922" s="24" t="str">
        <f>IFERROR(__xludf.DUMMYFUNCTION("""COMPUTED_VALUE"""),"Juanita Chandler ")</f>
        <v>Juanita Chandler </v>
      </c>
      <c r="C2922" s="24">
        <f>IFERROR(__xludf.DUMMYFUNCTION("""COMPUTED_VALUE"""),12.0)</f>
        <v>12</v>
      </c>
      <c r="D2922" s="24"/>
      <c r="F2922" s="23">
        <f>IFERROR(__xludf.DUMMYFUNCTION("""COMPUTED_VALUE"""),44854.0)</f>
        <v>44854</v>
      </c>
      <c r="G2922" s="24" t="str">
        <f>IFERROR(__xludf.DUMMYFUNCTION("""COMPUTED_VALUE"""),"Barbara Jordan")</f>
        <v>Barbara Jordan</v>
      </c>
      <c r="H2922" s="24">
        <f>IFERROR(__xludf.DUMMYFUNCTION("""COMPUTED_VALUE"""),3.0)</f>
        <v>3</v>
      </c>
      <c r="I2922" s="24" t="str">
        <f>IFERROR(__xludf.DUMMYFUNCTION("""COMPUTED_VALUE"""),"Damage/expired/extra")</f>
        <v>Damage/expired/extra</v>
      </c>
    </row>
    <row r="2923">
      <c r="A2923" s="23">
        <f>IFERROR(__xludf.DUMMYFUNCTION("""COMPUTED_VALUE"""),44790.0)</f>
        <v>44790</v>
      </c>
      <c r="B2923" s="24" t="str">
        <f>IFERROR(__xludf.DUMMYFUNCTION("""COMPUTED_VALUE"""),"Cheryl Utsey")</f>
        <v>Cheryl Utsey</v>
      </c>
      <c r="C2923" s="24">
        <f>IFERROR(__xludf.DUMMYFUNCTION("""COMPUTED_VALUE"""),20.0)</f>
        <v>20</v>
      </c>
      <c r="D2923" s="24"/>
      <c r="F2923" s="23">
        <f>IFERROR(__xludf.DUMMYFUNCTION("""COMPUTED_VALUE"""),44854.0)</f>
        <v>44854</v>
      </c>
      <c r="G2923" s="24" t="str">
        <f>IFERROR(__xludf.DUMMYFUNCTION("""COMPUTED_VALUE"""),"Hong Xue")</f>
        <v>Hong Xue</v>
      </c>
      <c r="H2923" s="24">
        <f>IFERROR(__xludf.DUMMYFUNCTION("""COMPUTED_VALUE"""),20.0)</f>
        <v>20</v>
      </c>
      <c r="I2923" s="24" t="str">
        <f>IFERROR(__xludf.DUMMYFUNCTION("""COMPUTED_VALUE"""),"Regular (up to 20lbs)")</f>
        <v>Regular (up to 20lbs)</v>
      </c>
    </row>
    <row r="2924">
      <c r="A2924" s="23">
        <f>IFERROR(__xludf.DUMMYFUNCTION("""COMPUTED_VALUE"""),44790.0)</f>
        <v>44790</v>
      </c>
      <c r="B2924" s="24" t="str">
        <f>IFERROR(__xludf.DUMMYFUNCTION("""COMPUTED_VALUE"""),"Cheryl Utsey")</f>
        <v>Cheryl Utsey</v>
      </c>
      <c r="C2924" s="24">
        <f>IFERROR(__xludf.DUMMYFUNCTION("""COMPUTED_VALUE"""),1.0)</f>
        <v>1</v>
      </c>
      <c r="D2924" s="24"/>
      <c r="F2924" s="23">
        <f>IFERROR(__xludf.DUMMYFUNCTION("""COMPUTED_VALUE"""),44854.0)</f>
        <v>44854</v>
      </c>
      <c r="G2924" s="24" t="str">
        <f>IFERROR(__xludf.DUMMYFUNCTION("""COMPUTED_VALUE"""),"Hong Xue")</f>
        <v>Hong Xue</v>
      </c>
      <c r="H2924" s="24">
        <f>IFERROR(__xludf.DUMMYFUNCTION("""COMPUTED_VALUE"""),8.0)</f>
        <v>8</v>
      </c>
      <c r="I2924" s="24" t="str">
        <f>IFERROR(__xludf.DUMMYFUNCTION("""COMPUTED_VALUE"""),"Damage/expired/extra")</f>
        <v>Damage/expired/extra</v>
      </c>
    </row>
    <row r="2925">
      <c r="A2925" s="23">
        <f>IFERROR(__xludf.DUMMYFUNCTION("""COMPUTED_VALUE"""),44790.0)</f>
        <v>44790</v>
      </c>
      <c r="B2925" s="24" t="str">
        <f>IFERROR(__xludf.DUMMYFUNCTION("""COMPUTED_VALUE"""),"Gina Privette")</f>
        <v>Gina Privette</v>
      </c>
      <c r="C2925" s="24">
        <f>IFERROR(__xludf.DUMMYFUNCTION("""COMPUTED_VALUE"""),20.0)</f>
        <v>20</v>
      </c>
      <c r="D2925" s="24"/>
      <c r="F2925" s="23">
        <f>IFERROR(__xludf.DUMMYFUNCTION("""COMPUTED_VALUE"""),44854.0)</f>
        <v>44854</v>
      </c>
      <c r="G2925" s="24" t="str">
        <f>IFERROR(__xludf.DUMMYFUNCTION("""COMPUTED_VALUE"""),"Norma")</f>
        <v>Norma</v>
      </c>
      <c r="H2925" s="24">
        <f>IFERROR(__xludf.DUMMYFUNCTION("""COMPUTED_VALUE"""),20.0)</f>
        <v>20</v>
      </c>
      <c r="I2925" s="24" t="str">
        <f>IFERROR(__xludf.DUMMYFUNCTION("""COMPUTED_VALUE"""),"Regular (up to 20lbs)")</f>
        <v>Regular (up to 20lbs)</v>
      </c>
    </row>
    <row r="2926">
      <c r="A2926" s="23">
        <f>IFERROR(__xludf.DUMMYFUNCTION("""COMPUTED_VALUE"""),44790.0)</f>
        <v>44790</v>
      </c>
      <c r="B2926" s="24" t="str">
        <f>IFERROR(__xludf.DUMMYFUNCTION("""COMPUTED_VALUE"""),"Obi Nwokoro")</f>
        <v>Obi Nwokoro</v>
      </c>
      <c r="C2926" s="24">
        <f>IFERROR(__xludf.DUMMYFUNCTION("""COMPUTED_VALUE"""),20.0)</f>
        <v>20</v>
      </c>
      <c r="D2926" s="24"/>
      <c r="F2926" s="23">
        <f>IFERROR(__xludf.DUMMYFUNCTION("""COMPUTED_VALUE"""),44854.0)</f>
        <v>44854</v>
      </c>
      <c r="G2926" s="24" t="str">
        <f>IFERROR(__xludf.DUMMYFUNCTION("""COMPUTED_VALUE"""),"Norma")</f>
        <v>Norma</v>
      </c>
      <c r="H2926" s="24">
        <f>IFERROR(__xludf.DUMMYFUNCTION("""COMPUTED_VALUE"""),3.0)</f>
        <v>3</v>
      </c>
      <c r="I2926" s="24" t="str">
        <f>IFERROR(__xludf.DUMMYFUNCTION("""COMPUTED_VALUE"""),"Damage/expired/extra")</f>
        <v>Damage/expired/extra</v>
      </c>
    </row>
    <row r="2927">
      <c r="A2927" s="23">
        <f>IFERROR(__xludf.DUMMYFUNCTION("""COMPUTED_VALUE"""),44790.0)</f>
        <v>44790</v>
      </c>
      <c r="B2927" s="24" t="str">
        <f>IFERROR(__xludf.DUMMYFUNCTION("""COMPUTED_VALUE"""),"Dee Satterfield")</f>
        <v>Dee Satterfield</v>
      </c>
      <c r="C2927" s="24">
        <f>IFERROR(__xludf.DUMMYFUNCTION("""COMPUTED_VALUE"""),18.0)</f>
        <v>18</v>
      </c>
      <c r="D2927" s="24"/>
      <c r="F2927" s="23">
        <f>IFERROR(__xludf.DUMMYFUNCTION("""COMPUTED_VALUE"""),44854.0)</f>
        <v>44854</v>
      </c>
      <c r="G2927" s="24" t="str">
        <f>IFERROR(__xludf.DUMMYFUNCTION("""COMPUTED_VALUE"""),"Nathaniel McClean")</f>
        <v>Nathaniel McClean</v>
      </c>
      <c r="H2927" s="24">
        <f>IFERROR(__xludf.DUMMYFUNCTION("""COMPUTED_VALUE"""),20.0)</f>
        <v>20</v>
      </c>
      <c r="I2927" s="24" t="str">
        <f>IFERROR(__xludf.DUMMYFUNCTION("""COMPUTED_VALUE"""),"Regular (up to 20lbs)")</f>
        <v>Regular (up to 20lbs)</v>
      </c>
    </row>
    <row r="2928">
      <c r="A2928" s="23">
        <f>IFERROR(__xludf.DUMMYFUNCTION("""COMPUTED_VALUE"""),44790.0)</f>
        <v>44790</v>
      </c>
      <c r="B2928" s="24" t="str">
        <f>IFERROR(__xludf.DUMMYFUNCTION("""COMPUTED_VALUE"""),"Sharron Robinson")</f>
        <v>Sharron Robinson</v>
      </c>
      <c r="C2928" s="24">
        <f>IFERROR(__xludf.DUMMYFUNCTION("""COMPUTED_VALUE"""),20.0)</f>
        <v>20</v>
      </c>
      <c r="D2928" s="24"/>
      <c r="F2928" s="23">
        <f>IFERROR(__xludf.DUMMYFUNCTION("""COMPUTED_VALUE"""),44854.0)</f>
        <v>44854</v>
      </c>
      <c r="G2928" s="24" t="str">
        <f>IFERROR(__xludf.DUMMYFUNCTION("""COMPUTED_VALUE"""),"Julia Buckson")</f>
        <v>Julia Buckson</v>
      </c>
      <c r="H2928" s="24">
        <f>IFERROR(__xludf.DUMMYFUNCTION("""COMPUTED_VALUE"""),20.0)</f>
        <v>20</v>
      </c>
      <c r="I2928" s="24" t="str">
        <f>IFERROR(__xludf.DUMMYFUNCTION("""COMPUTED_VALUE"""),"Regular (up to 20lbs)")</f>
        <v>Regular (up to 20lbs)</v>
      </c>
    </row>
    <row r="2929">
      <c r="A2929" s="23">
        <f>IFERROR(__xludf.DUMMYFUNCTION("""COMPUTED_VALUE"""),44790.0)</f>
        <v>44790</v>
      </c>
      <c r="B2929" s="24" t="str">
        <f>IFERROR(__xludf.DUMMYFUNCTION("""COMPUTED_VALUE"""),"Sharron Robinson")</f>
        <v>Sharron Robinson</v>
      </c>
      <c r="C2929" s="24">
        <f>IFERROR(__xludf.DUMMYFUNCTION("""COMPUTED_VALUE"""),14.0)</f>
        <v>14</v>
      </c>
      <c r="D2929" s="24"/>
      <c r="F2929" s="23">
        <f>IFERROR(__xludf.DUMMYFUNCTION("""COMPUTED_VALUE"""),44854.0)</f>
        <v>44854</v>
      </c>
      <c r="G2929" s="24" t="str">
        <f>IFERROR(__xludf.DUMMYFUNCTION("""COMPUTED_VALUE"""),"Julia Buckson")</f>
        <v>Julia Buckson</v>
      </c>
      <c r="H2929" s="24">
        <f>IFERROR(__xludf.DUMMYFUNCTION("""COMPUTED_VALUE"""),4.0)</f>
        <v>4</v>
      </c>
      <c r="I2929" s="24" t="str">
        <f>IFERROR(__xludf.DUMMYFUNCTION("""COMPUTED_VALUE"""),"Damage/expired/extra")</f>
        <v>Damage/expired/extra</v>
      </c>
    </row>
    <row r="2930">
      <c r="A2930" s="23">
        <f>IFERROR(__xludf.DUMMYFUNCTION("""COMPUTED_VALUE"""),44790.0)</f>
        <v>44790</v>
      </c>
      <c r="B2930" s="24" t="str">
        <f>IFERROR(__xludf.DUMMYFUNCTION("""COMPUTED_VALUE"""),"Melissa Thomas")</f>
        <v>Melissa Thomas</v>
      </c>
      <c r="C2930" s="24">
        <f>IFERROR(__xludf.DUMMYFUNCTION("""COMPUTED_VALUE"""),20.0)</f>
        <v>20</v>
      </c>
      <c r="D2930" s="24"/>
      <c r="F2930" s="23">
        <f>IFERROR(__xludf.DUMMYFUNCTION("""COMPUTED_VALUE"""),44854.44752582176)</f>
        <v>44854.44753</v>
      </c>
      <c r="G2930" s="24" t="str">
        <f>IFERROR(__xludf.DUMMYFUNCTION("""COMPUTED_VALUE"""),"Claire")</f>
        <v>Claire</v>
      </c>
      <c r="H2930" s="24">
        <f>IFERROR(__xludf.DUMMYFUNCTION("""COMPUTED_VALUE"""),1017.0)</f>
        <v>1017</v>
      </c>
      <c r="I2930" s="24" t="str">
        <f>IFERROR(__xludf.DUMMYFUNCTION("""COMPUTED_VALUE"""),"Dole")</f>
        <v>Dole</v>
      </c>
    </row>
    <row r="2931">
      <c r="A2931" s="23">
        <f>IFERROR(__xludf.DUMMYFUNCTION("""COMPUTED_VALUE"""),44790.0)</f>
        <v>44790</v>
      </c>
      <c r="B2931" s="24" t="str">
        <f>IFERROR(__xludf.DUMMYFUNCTION("""COMPUTED_VALUE"""),"Melissa Thomas")</f>
        <v>Melissa Thomas</v>
      </c>
      <c r="C2931" s="24">
        <f>IFERROR(__xludf.DUMMYFUNCTION("""COMPUTED_VALUE"""),8.0)</f>
        <v>8</v>
      </c>
      <c r="D2931" s="24"/>
      <c r="F2931" s="23">
        <f>IFERROR(__xludf.DUMMYFUNCTION("""COMPUTED_VALUE"""),44854.44816083333)</f>
        <v>44854.44816</v>
      </c>
      <c r="G2931" s="24" t="str">
        <f>IFERROR(__xludf.DUMMYFUNCTION("""COMPUTED_VALUE"""),"Claire")</f>
        <v>Claire</v>
      </c>
      <c r="H2931" s="24">
        <f>IFERROR(__xludf.DUMMYFUNCTION("""COMPUTED_VALUE"""),1403.0)</f>
        <v>1403</v>
      </c>
      <c r="I2931" s="24" t="str">
        <f>IFERROR(__xludf.DUMMYFUNCTION("""COMPUTED_VALUE"""),"Dole")</f>
        <v>Dole</v>
      </c>
    </row>
    <row r="2932">
      <c r="A2932" s="23">
        <f>IFERROR(__xludf.DUMMYFUNCTION("""COMPUTED_VALUE"""),44790.0)</f>
        <v>44790</v>
      </c>
      <c r="B2932" s="24" t="str">
        <f>IFERROR(__xludf.DUMMYFUNCTION("""COMPUTED_VALUE"""),"Julia Buckson")</f>
        <v>Julia Buckson</v>
      </c>
      <c r="C2932" s="24">
        <f>IFERROR(__xludf.DUMMYFUNCTION("""COMPUTED_VALUE"""),20.0)</f>
        <v>20</v>
      </c>
      <c r="D2932" s="24"/>
      <c r="F2932" s="23">
        <f>IFERROR(__xludf.DUMMYFUNCTION("""COMPUTED_VALUE"""),44854.448517870376)</f>
        <v>44854.44852</v>
      </c>
      <c r="G2932" s="24" t="str">
        <f>IFERROR(__xludf.DUMMYFUNCTION("""COMPUTED_VALUE"""),"Claire")</f>
        <v>Claire</v>
      </c>
      <c r="H2932" s="24">
        <f>IFERROR(__xludf.DUMMYFUNCTION("""COMPUTED_VALUE"""),1310.0)</f>
        <v>1310</v>
      </c>
      <c r="I2932" s="24" t="str">
        <f>IFERROR(__xludf.DUMMYFUNCTION("""COMPUTED_VALUE"""),"Dole")</f>
        <v>Dole</v>
      </c>
    </row>
    <row r="2933">
      <c r="A2933" s="23">
        <f>IFERROR(__xludf.DUMMYFUNCTION("""COMPUTED_VALUE"""),44790.0)</f>
        <v>44790</v>
      </c>
      <c r="B2933" s="24" t="str">
        <f>IFERROR(__xludf.DUMMYFUNCTION("""COMPUTED_VALUE"""),"Adeola S")</f>
        <v>Adeola S</v>
      </c>
      <c r="C2933" s="24">
        <f>IFERROR(__xludf.DUMMYFUNCTION("""COMPUTED_VALUE"""),20.0)</f>
        <v>20</v>
      </c>
      <c r="D2933" s="24"/>
      <c r="F2933" s="23">
        <f>IFERROR(__xludf.DUMMYFUNCTION("""COMPUTED_VALUE"""),44854.44884150463)</f>
        <v>44854.44884</v>
      </c>
      <c r="G2933" s="24" t="str">
        <f>IFERROR(__xludf.DUMMYFUNCTION("""COMPUTED_VALUE"""),"Claire")</f>
        <v>Claire</v>
      </c>
      <c r="H2933" s="24">
        <f>IFERROR(__xludf.DUMMYFUNCTION("""COMPUTED_VALUE"""),1008.0)</f>
        <v>1008</v>
      </c>
      <c r="I2933" s="24" t="str">
        <f>IFERROR(__xludf.DUMMYFUNCTION("""COMPUTED_VALUE"""),"Dole")</f>
        <v>Dole</v>
      </c>
    </row>
    <row r="2934">
      <c r="A2934" s="23">
        <f>IFERROR(__xludf.DUMMYFUNCTION("""COMPUTED_VALUE"""),44790.0)</f>
        <v>44790</v>
      </c>
      <c r="B2934" s="24" t="str">
        <f>IFERROR(__xludf.DUMMYFUNCTION("""COMPUTED_VALUE"""),"Adeola S")</f>
        <v>Adeola S</v>
      </c>
      <c r="C2934" s="24">
        <f>IFERROR(__xludf.DUMMYFUNCTION("""COMPUTED_VALUE"""),4.0)</f>
        <v>4</v>
      </c>
      <c r="D2934" s="24"/>
      <c r="F2934" s="23">
        <f>IFERROR(__xludf.DUMMYFUNCTION("""COMPUTED_VALUE"""),44854.44920659722)</f>
        <v>44854.44921</v>
      </c>
      <c r="G2934" s="24" t="str">
        <f>IFERROR(__xludf.DUMMYFUNCTION("""COMPUTED_VALUE"""),"Claire")</f>
        <v>Claire</v>
      </c>
      <c r="H2934" s="24">
        <f>IFERROR(__xludf.DUMMYFUNCTION("""COMPUTED_VALUE"""),998.0)</f>
        <v>998</v>
      </c>
      <c r="I2934" s="24" t="str">
        <f>IFERROR(__xludf.DUMMYFUNCTION("""COMPUTED_VALUE"""),"Dole")</f>
        <v>Dole</v>
      </c>
    </row>
    <row r="2935">
      <c r="A2935" s="23">
        <f>IFERROR(__xludf.DUMMYFUNCTION("""COMPUTED_VALUE"""),44790.35598476852)</f>
        <v>44790.35598</v>
      </c>
      <c r="B2935" s="24" t="str">
        <f>IFERROR(__xludf.DUMMYFUNCTION("""COMPUTED_VALUE"""),"Beverly Pinn")</f>
        <v>Beverly Pinn</v>
      </c>
      <c r="C2935" s="24">
        <f>IFERROR(__xludf.DUMMYFUNCTION("""COMPUTED_VALUE"""),20.0)</f>
        <v>20</v>
      </c>
      <c r="D2935" s="24"/>
      <c r="F2935" s="23">
        <f>IFERROR(__xludf.DUMMYFUNCTION("""COMPUTED_VALUE"""),44854.449579618056)</f>
        <v>44854.44958</v>
      </c>
      <c r="G2935" s="24" t="str">
        <f>IFERROR(__xludf.DUMMYFUNCTION("""COMPUTED_VALUE"""),"Claire")</f>
        <v>Claire</v>
      </c>
      <c r="H2935" s="24">
        <f>IFERROR(__xludf.DUMMYFUNCTION("""COMPUTED_VALUE"""),1011.0)</f>
        <v>1011</v>
      </c>
      <c r="I2935" s="24" t="str">
        <f>IFERROR(__xludf.DUMMYFUNCTION("""COMPUTED_VALUE"""),"Dole")</f>
        <v>Dole</v>
      </c>
    </row>
    <row r="2936">
      <c r="A2936" s="23">
        <f>IFERROR(__xludf.DUMMYFUNCTION("""COMPUTED_VALUE"""),44790.59095792824)</f>
        <v>44790.59096</v>
      </c>
      <c r="B2936" s="24" t="str">
        <f>IFERROR(__xludf.DUMMYFUNCTION("""COMPUTED_VALUE"""),"Bud Stracker - sisson st dpw drinks ")</f>
        <v>Bud Stracker - sisson st dpw drinks </v>
      </c>
      <c r="C2936" s="24">
        <f>IFERROR(__xludf.DUMMYFUNCTION("""COMPUTED_VALUE"""),18.0)</f>
        <v>18</v>
      </c>
      <c r="D2936" s="24"/>
      <c r="F2936" s="23">
        <f>IFERROR(__xludf.DUMMYFUNCTION("""COMPUTED_VALUE"""),44854.44988743056)</f>
        <v>44854.44989</v>
      </c>
      <c r="G2936" s="24" t="str">
        <f>IFERROR(__xludf.DUMMYFUNCTION("""COMPUTED_VALUE"""),"Claire")</f>
        <v>Claire</v>
      </c>
      <c r="H2936" s="24">
        <f>IFERROR(__xludf.DUMMYFUNCTION("""COMPUTED_VALUE"""),1008.0)</f>
        <v>1008</v>
      </c>
      <c r="I2936" s="24" t="str">
        <f>IFERROR(__xludf.DUMMYFUNCTION("""COMPUTED_VALUE"""),"Dole")</f>
        <v>Dole</v>
      </c>
    </row>
    <row r="2937">
      <c r="A2937" s="23">
        <f>IFERROR(__xludf.DUMMYFUNCTION("""COMPUTED_VALUE"""),44790.5911141088)</f>
        <v>44790.59111</v>
      </c>
      <c r="B2937" s="24" t="str">
        <f>IFERROR(__xludf.DUMMYFUNCTION("""COMPUTED_VALUE"""),"Bud Stracker - personal ")</f>
        <v>Bud Stracker - personal </v>
      </c>
      <c r="C2937" s="24">
        <f>IFERROR(__xludf.DUMMYFUNCTION("""COMPUTED_VALUE"""),6.0)</f>
        <v>6</v>
      </c>
      <c r="D2937" s="24"/>
      <c r="F2937" s="23">
        <f>IFERROR(__xludf.DUMMYFUNCTION("""COMPUTED_VALUE"""),44854.450201817126)</f>
        <v>44854.4502</v>
      </c>
      <c r="G2937" s="24" t="str">
        <f>IFERROR(__xludf.DUMMYFUNCTION("""COMPUTED_VALUE"""),"Claire")</f>
        <v>Claire</v>
      </c>
      <c r="H2937" s="24">
        <f>IFERROR(__xludf.DUMMYFUNCTION("""COMPUTED_VALUE"""),1007.0)</f>
        <v>1007</v>
      </c>
      <c r="I2937" s="24" t="str">
        <f>IFERROR(__xludf.DUMMYFUNCTION("""COMPUTED_VALUE"""),"Dole")</f>
        <v>Dole</v>
      </c>
    </row>
    <row r="2938">
      <c r="A2938" s="23">
        <f>IFERROR(__xludf.DUMMYFUNCTION("""COMPUTED_VALUE"""),44790.696266770836)</f>
        <v>44790.69627</v>
      </c>
      <c r="B2938" s="24" t="str">
        <f>IFERROR(__xludf.DUMMYFUNCTION("""COMPUTED_VALUE"""),"Theresa Keil")</f>
        <v>Theresa Keil</v>
      </c>
      <c r="C2938" s="24">
        <f>IFERROR(__xludf.DUMMYFUNCTION("""COMPUTED_VALUE"""),127.0)</f>
        <v>127</v>
      </c>
      <c r="D2938" s="24"/>
      <c r="F2938" s="23">
        <f>IFERROR(__xludf.DUMMYFUNCTION("""COMPUTED_VALUE"""),44854.45053721065)</f>
        <v>44854.45054</v>
      </c>
      <c r="G2938" s="24" t="str">
        <f>IFERROR(__xludf.DUMMYFUNCTION("""COMPUTED_VALUE"""),"Claire")</f>
        <v>Claire</v>
      </c>
      <c r="H2938" s="24">
        <f>IFERROR(__xludf.DUMMYFUNCTION("""COMPUTED_VALUE"""),982.0)</f>
        <v>982</v>
      </c>
      <c r="I2938" s="24" t="str">
        <f>IFERROR(__xludf.DUMMYFUNCTION("""COMPUTED_VALUE"""),"Dole")</f>
        <v>Dole</v>
      </c>
    </row>
    <row r="2939">
      <c r="A2939" s="23">
        <f>IFERROR(__xludf.DUMMYFUNCTION("""COMPUTED_VALUE"""),44790.85091918982)</f>
        <v>44790.85092</v>
      </c>
      <c r="B2939" s="24" t="str">
        <f>IFERROR(__xludf.DUMMYFUNCTION("""COMPUTED_VALUE"""),"Connor Gephart")</f>
        <v>Connor Gephart</v>
      </c>
      <c r="C2939" s="24">
        <f>IFERROR(__xludf.DUMMYFUNCTION("""COMPUTED_VALUE"""),20.0)</f>
        <v>20</v>
      </c>
      <c r="D2939" s="24"/>
      <c r="F2939" s="23">
        <f>IFERROR(__xludf.DUMMYFUNCTION("""COMPUTED_VALUE"""),44854.450967245364)</f>
        <v>44854.45097</v>
      </c>
      <c r="G2939" s="24" t="str">
        <f>IFERROR(__xludf.DUMMYFUNCTION("""COMPUTED_VALUE"""),"Claire")</f>
        <v>Claire</v>
      </c>
      <c r="H2939" s="24">
        <f>IFERROR(__xludf.DUMMYFUNCTION("""COMPUTED_VALUE"""),982.0)</f>
        <v>982</v>
      </c>
      <c r="I2939" s="24" t="str">
        <f>IFERROR(__xludf.DUMMYFUNCTION("""COMPUTED_VALUE"""),"Dole")</f>
        <v>Dole</v>
      </c>
    </row>
    <row r="2940">
      <c r="A2940" s="23">
        <f>IFERROR(__xludf.DUMMYFUNCTION("""COMPUTED_VALUE"""),44790.0)</f>
        <v>44790</v>
      </c>
      <c r="B2940" s="24" t="str">
        <f>IFERROR(__xludf.DUMMYFUNCTION("""COMPUTED_VALUE"""),"Sarah Kondo")</f>
        <v>Sarah Kondo</v>
      </c>
      <c r="C2940" s="24">
        <f>IFERROR(__xludf.DUMMYFUNCTION("""COMPUTED_VALUE"""),1.0)</f>
        <v>1</v>
      </c>
      <c r="D2940" s="24"/>
      <c r="F2940" s="23">
        <f>IFERROR(__xludf.DUMMYFUNCTION("""COMPUTED_VALUE"""),44854.452405370364)</f>
        <v>44854.45241</v>
      </c>
      <c r="G2940" s="24" t="str">
        <f>IFERROR(__xludf.DUMMYFUNCTION("""COMPUTED_VALUE"""),"Claire")</f>
        <v>Claire</v>
      </c>
      <c r="H2940" s="24">
        <f>IFERROR(__xludf.DUMMYFUNCTION("""COMPUTED_VALUE"""),1040.0)</f>
        <v>1040</v>
      </c>
      <c r="I2940" s="24" t="str">
        <f>IFERROR(__xludf.DUMMYFUNCTION("""COMPUTED_VALUE"""),"Dole")</f>
        <v>Dole</v>
      </c>
    </row>
    <row r="2941">
      <c r="A2941" s="23">
        <f>IFERROR(__xludf.DUMMYFUNCTION("""COMPUTED_VALUE"""),44790.85144900463)</f>
        <v>44790.85145</v>
      </c>
      <c r="B2941" s="24" t="str">
        <f>IFERROR(__xludf.DUMMYFUNCTION("""COMPUTED_VALUE"""),"Sarah Kondo")</f>
        <v>Sarah Kondo</v>
      </c>
      <c r="C2941" s="24">
        <f>IFERROR(__xludf.DUMMYFUNCTION("""COMPUTED_VALUE"""),20.0)</f>
        <v>20</v>
      </c>
      <c r="D2941" s="24"/>
      <c r="F2941" s="23">
        <f>IFERROR(__xludf.DUMMYFUNCTION("""COMPUTED_VALUE"""),44854.45282456019)</f>
        <v>44854.45282</v>
      </c>
      <c r="G2941" s="24" t="str">
        <f>IFERROR(__xludf.DUMMYFUNCTION("""COMPUTED_VALUE"""),"Claire")</f>
        <v>Claire</v>
      </c>
      <c r="H2941" s="24">
        <f>IFERROR(__xludf.DUMMYFUNCTION("""COMPUTED_VALUE"""),1289.0)</f>
        <v>1289</v>
      </c>
      <c r="I2941" s="24" t="str">
        <f>IFERROR(__xludf.DUMMYFUNCTION("""COMPUTED_VALUE"""),"Dole")</f>
        <v>Dole</v>
      </c>
    </row>
    <row r="2942">
      <c r="A2942" s="23">
        <f>IFERROR(__xludf.DUMMYFUNCTION("""COMPUTED_VALUE"""),44791.0)</f>
        <v>44791</v>
      </c>
      <c r="B2942" s="24" t="str">
        <f>IFERROR(__xludf.DUMMYFUNCTION("""COMPUTED_VALUE"""),"Denise Brown")</f>
        <v>Denise Brown</v>
      </c>
      <c r="C2942" s="24">
        <f>IFERROR(__xludf.DUMMYFUNCTION("""COMPUTED_VALUE"""),17.0)</f>
        <v>17</v>
      </c>
      <c r="D2942" s="24"/>
      <c r="F2942" s="23">
        <f>IFERROR(__xludf.DUMMYFUNCTION("""COMPUTED_VALUE"""),44854.45319226852)</f>
        <v>44854.45319</v>
      </c>
      <c r="G2942" s="24" t="str">
        <f>IFERROR(__xludf.DUMMYFUNCTION("""COMPUTED_VALUE"""),"Claire")</f>
        <v>Claire</v>
      </c>
      <c r="H2942" s="24">
        <f>IFERROR(__xludf.DUMMYFUNCTION("""COMPUTED_VALUE"""),979.0)</f>
        <v>979</v>
      </c>
      <c r="I2942" s="24" t="str">
        <f>IFERROR(__xludf.DUMMYFUNCTION("""COMPUTED_VALUE"""),"Dole")</f>
        <v>Dole</v>
      </c>
    </row>
    <row r="2943">
      <c r="A2943" s="23">
        <f>IFERROR(__xludf.DUMMYFUNCTION("""COMPUTED_VALUE"""),44791.0)</f>
        <v>44791</v>
      </c>
      <c r="B2943" s="24" t="str">
        <f>IFERROR(__xludf.DUMMYFUNCTION("""COMPUTED_VALUE"""),"Sheneil Black")</f>
        <v>Sheneil Black</v>
      </c>
      <c r="C2943" s="24">
        <f>IFERROR(__xludf.DUMMYFUNCTION("""COMPUTED_VALUE"""),18.0)</f>
        <v>18</v>
      </c>
      <c r="D2943" s="24"/>
      <c r="F2943" s="23">
        <f>IFERROR(__xludf.DUMMYFUNCTION("""COMPUTED_VALUE"""),44854.45354498842)</f>
        <v>44854.45354</v>
      </c>
      <c r="G2943" s="24" t="str">
        <f>IFERROR(__xludf.DUMMYFUNCTION("""COMPUTED_VALUE"""),"Claire")</f>
        <v>Claire</v>
      </c>
      <c r="H2943" s="24">
        <f>IFERROR(__xludf.DUMMYFUNCTION("""COMPUTED_VALUE"""),1014.0)</f>
        <v>1014</v>
      </c>
      <c r="I2943" s="24" t="str">
        <f>IFERROR(__xludf.DUMMYFUNCTION("""COMPUTED_VALUE"""),"Dole")</f>
        <v>Dole</v>
      </c>
    </row>
    <row r="2944">
      <c r="A2944" s="23">
        <f>IFERROR(__xludf.DUMMYFUNCTION("""COMPUTED_VALUE"""),44791.0)</f>
        <v>44791</v>
      </c>
      <c r="B2944" s="24" t="str">
        <f>IFERROR(__xludf.DUMMYFUNCTION("""COMPUTED_VALUE"""),"Sheneil Black")</f>
        <v>Sheneil Black</v>
      </c>
      <c r="C2944" s="24">
        <f>IFERROR(__xludf.DUMMYFUNCTION("""COMPUTED_VALUE"""),9.0)</f>
        <v>9</v>
      </c>
      <c r="D2944" s="24"/>
      <c r="F2944" s="23">
        <f>IFERROR(__xludf.DUMMYFUNCTION("""COMPUTED_VALUE"""),44854.45395570601)</f>
        <v>44854.45396</v>
      </c>
      <c r="G2944" s="24" t="str">
        <f>IFERROR(__xludf.DUMMYFUNCTION("""COMPUTED_VALUE"""),"Claire ")</f>
        <v>Claire </v>
      </c>
      <c r="H2944" s="24">
        <f>IFERROR(__xludf.DUMMYFUNCTION("""COMPUTED_VALUE"""),984.0)</f>
        <v>984</v>
      </c>
      <c r="I2944" s="24" t="str">
        <f>IFERROR(__xludf.DUMMYFUNCTION("""COMPUTED_VALUE"""),"Dole")</f>
        <v>Dole</v>
      </c>
    </row>
    <row r="2945">
      <c r="A2945" s="23">
        <f>IFERROR(__xludf.DUMMYFUNCTION("""COMPUTED_VALUE"""),44791.69593472223)</f>
        <v>44791.69593</v>
      </c>
      <c r="B2945" s="24" t="str">
        <f>IFERROR(__xludf.DUMMYFUNCTION("""COMPUTED_VALUE"""),"Norma kriger")</f>
        <v>Norma kriger</v>
      </c>
      <c r="C2945" s="24">
        <f>IFERROR(__xludf.DUMMYFUNCTION("""COMPUTED_VALUE"""),24.0)</f>
        <v>24</v>
      </c>
      <c r="D2945" s="24"/>
      <c r="F2945" s="23">
        <f>IFERROR(__xludf.DUMMYFUNCTION("""COMPUTED_VALUE"""),44854.45427326389)</f>
        <v>44854.45427</v>
      </c>
      <c r="G2945" s="24" t="str">
        <f>IFERROR(__xludf.DUMMYFUNCTION("""COMPUTED_VALUE"""),"Claire")</f>
        <v>Claire</v>
      </c>
      <c r="H2945" s="24">
        <f>IFERROR(__xludf.DUMMYFUNCTION("""COMPUTED_VALUE"""),978.0)</f>
        <v>978</v>
      </c>
      <c r="I2945" s="24" t="str">
        <f>IFERROR(__xludf.DUMMYFUNCTION("""COMPUTED_VALUE"""),"Dole")</f>
        <v>Dole</v>
      </c>
    </row>
    <row r="2946">
      <c r="A2946" s="23">
        <f>IFERROR(__xludf.DUMMYFUNCTION("""COMPUTED_VALUE"""),44791.70168106482)</f>
        <v>44791.70168</v>
      </c>
      <c r="B2946" s="24" t="str">
        <f>IFERROR(__xludf.DUMMYFUNCTION("""COMPUTED_VALUE"""),"Jean")</f>
        <v>Jean</v>
      </c>
      <c r="C2946" s="24">
        <f>IFERROR(__xludf.DUMMYFUNCTION("""COMPUTED_VALUE"""),48.0)</f>
        <v>48</v>
      </c>
      <c r="D2946" s="24"/>
      <c r="F2946" s="23">
        <f>IFERROR(__xludf.DUMMYFUNCTION("""COMPUTED_VALUE"""),44854.45460517361)</f>
        <v>44854.45461</v>
      </c>
      <c r="G2946" s="24" t="str">
        <f>IFERROR(__xludf.DUMMYFUNCTION("""COMPUTED_VALUE"""),"Claire")</f>
        <v>Claire</v>
      </c>
      <c r="H2946" s="24">
        <f>IFERROR(__xludf.DUMMYFUNCTION("""COMPUTED_VALUE"""),1015.0)</f>
        <v>1015</v>
      </c>
      <c r="I2946" s="24" t="str">
        <f>IFERROR(__xludf.DUMMYFUNCTION("""COMPUTED_VALUE"""),"Dole")</f>
        <v>Dole</v>
      </c>
    </row>
    <row r="2947">
      <c r="A2947" s="23">
        <f>IFERROR(__xludf.DUMMYFUNCTION("""COMPUTED_VALUE"""),44791.70571328704)</f>
        <v>44791.70571</v>
      </c>
      <c r="B2947" s="24" t="str">
        <f>IFERROR(__xludf.DUMMYFUNCTION("""COMPUTED_VALUE"""),"Jean")</f>
        <v>Jean</v>
      </c>
      <c r="C2947" s="24">
        <f>IFERROR(__xludf.DUMMYFUNCTION("""COMPUTED_VALUE"""),27.0)</f>
        <v>27</v>
      </c>
      <c r="D2947" s="24"/>
      <c r="F2947" s="23">
        <f>IFERROR(__xludf.DUMMYFUNCTION("""COMPUTED_VALUE"""),44854.454966944446)</f>
        <v>44854.45497</v>
      </c>
      <c r="G2947" s="24" t="str">
        <f>IFERROR(__xludf.DUMMYFUNCTION("""COMPUTED_VALUE"""),"Claire")</f>
        <v>Claire</v>
      </c>
      <c r="H2947" s="24">
        <f>IFERROR(__xludf.DUMMYFUNCTION("""COMPUTED_VALUE"""),1101.0)</f>
        <v>1101</v>
      </c>
      <c r="I2947" s="24" t="str">
        <f>IFERROR(__xludf.DUMMYFUNCTION("""COMPUTED_VALUE"""),"Dole")</f>
        <v>Dole</v>
      </c>
    </row>
    <row r="2948">
      <c r="A2948" s="23">
        <f>IFERROR(__xludf.DUMMYFUNCTION("""COMPUTED_VALUE"""),44791.70667685185)</f>
        <v>44791.70668</v>
      </c>
      <c r="B2948" s="24" t="str">
        <f>IFERROR(__xludf.DUMMYFUNCTION("""COMPUTED_VALUE"""),"Jean   extra")</f>
        <v>Jean   extra</v>
      </c>
      <c r="C2948" s="24">
        <f>IFERROR(__xludf.DUMMYFUNCTION("""COMPUTED_VALUE"""),24.0)</f>
        <v>24</v>
      </c>
      <c r="D2948" s="24"/>
      <c r="F2948" s="23">
        <f>IFERROR(__xludf.DUMMYFUNCTION("""COMPUTED_VALUE"""),44854.455453310184)</f>
        <v>44854.45545</v>
      </c>
      <c r="G2948" s="24" t="str">
        <f>IFERROR(__xludf.DUMMYFUNCTION("""COMPUTED_VALUE"""),"Claire")</f>
        <v>Claire</v>
      </c>
      <c r="H2948" s="24">
        <f>IFERROR(__xludf.DUMMYFUNCTION("""COMPUTED_VALUE"""),1022.0)</f>
        <v>1022</v>
      </c>
      <c r="I2948" s="24" t="str">
        <f>IFERROR(__xludf.DUMMYFUNCTION("""COMPUTED_VALUE"""),"Dole")</f>
        <v>Dole</v>
      </c>
    </row>
    <row r="2949">
      <c r="A2949" s="23">
        <f>IFERROR(__xludf.DUMMYFUNCTION("""COMPUTED_VALUE"""),44791.817474745374)</f>
        <v>44791.81747</v>
      </c>
      <c r="B2949" s="24" t="str">
        <f>IFERROR(__xludf.DUMMYFUNCTION("""COMPUTED_VALUE"""),"Nathaniel McClean")</f>
        <v>Nathaniel McClean</v>
      </c>
      <c r="C2949" s="24">
        <f>IFERROR(__xludf.DUMMYFUNCTION("""COMPUTED_VALUE"""),20.0)</f>
        <v>20</v>
      </c>
      <c r="D2949" s="24"/>
      <c r="F2949" s="23">
        <f>IFERROR(__xludf.DUMMYFUNCTION("""COMPUTED_VALUE"""),44854.45579793981)</f>
        <v>44854.4558</v>
      </c>
      <c r="G2949" s="24" t="str">
        <f>IFERROR(__xludf.DUMMYFUNCTION("""COMPUTED_VALUE"""),"Claire")</f>
        <v>Claire</v>
      </c>
      <c r="H2949" s="24">
        <f>IFERROR(__xludf.DUMMYFUNCTION("""COMPUTED_VALUE"""),1016.0)</f>
        <v>1016</v>
      </c>
      <c r="I2949" s="24" t="str">
        <f>IFERROR(__xludf.DUMMYFUNCTION("""COMPUTED_VALUE"""),"Dole")</f>
        <v>Dole</v>
      </c>
    </row>
    <row r="2950">
      <c r="A2950" s="23">
        <f>IFERROR(__xludf.DUMMYFUNCTION("""COMPUTED_VALUE"""),44791.0)</f>
        <v>44791</v>
      </c>
      <c r="B2950" s="24" t="str">
        <f>IFERROR(__xludf.DUMMYFUNCTION("""COMPUTED_VALUE"""),"Aziza")</f>
        <v>Aziza</v>
      </c>
      <c r="C2950" s="24">
        <f>IFERROR(__xludf.DUMMYFUNCTION("""COMPUTED_VALUE"""),3.0)</f>
        <v>3</v>
      </c>
      <c r="D2950" s="24"/>
      <c r="F2950" s="23">
        <f>IFERROR(__xludf.DUMMYFUNCTION("""COMPUTED_VALUE"""),44854.45616497685)</f>
        <v>44854.45616</v>
      </c>
      <c r="G2950" s="24" t="str">
        <f>IFERROR(__xludf.DUMMYFUNCTION("""COMPUTED_VALUE"""),"Claire")</f>
        <v>Claire</v>
      </c>
      <c r="H2950" s="24">
        <f>IFERROR(__xludf.DUMMYFUNCTION("""COMPUTED_VALUE"""),1014.0)</f>
        <v>1014</v>
      </c>
      <c r="I2950" s="24" t="str">
        <f>IFERROR(__xludf.DUMMYFUNCTION("""COMPUTED_VALUE"""),"Dole")</f>
        <v>Dole</v>
      </c>
    </row>
    <row r="2951">
      <c r="A2951" s="23">
        <f>IFERROR(__xludf.DUMMYFUNCTION("""COMPUTED_VALUE"""),44791.81787648149)</f>
        <v>44791.81788</v>
      </c>
      <c r="B2951" s="24" t="str">
        <f>IFERROR(__xludf.DUMMYFUNCTION("""COMPUTED_VALUE"""),"Aziza")</f>
        <v>Aziza</v>
      </c>
      <c r="C2951" s="24">
        <f>IFERROR(__xludf.DUMMYFUNCTION("""COMPUTED_VALUE"""),20.0)</f>
        <v>20</v>
      </c>
      <c r="D2951" s="24"/>
      <c r="F2951" s="23">
        <f>IFERROR(__xludf.DUMMYFUNCTION("""COMPUTED_VALUE"""),44854.45747958333)</f>
        <v>44854.45748</v>
      </c>
      <c r="G2951" s="24" t="str">
        <f>IFERROR(__xludf.DUMMYFUNCTION("""COMPUTED_VALUE"""),"Claire")</f>
        <v>Claire</v>
      </c>
      <c r="H2951" s="24">
        <f>IFERROR(__xludf.DUMMYFUNCTION("""COMPUTED_VALUE"""),1069.0)</f>
        <v>1069</v>
      </c>
      <c r="I2951" s="24" t="str">
        <f>IFERROR(__xludf.DUMMYFUNCTION("""COMPUTED_VALUE"""),"Dole")</f>
        <v>Dole</v>
      </c>
    </row>
    <row r="2952">
      <c r="A2952" s="23">
        <f>IFERROR(__xludf.DUMMYFUNCTION("""COMPUTED_VALUE"""),44792.0)</f>
        <v>44792</v>
      </c>
      <c r="B2952" s="24" t="str">
        <f>IFERROR(__xludf.DUMMYFUNCTION("""COMPUTED_VALUE"""),"Juanita Chandler ")</f>
        <v>Juanita Chandler </v>
      </c>
      <c r="C2952" s="24">
        <f>IFERROR(__xludf.DUMMYFUNCTION("""COMPUTED_VALUE"""),9.0)</f>
        <v>9</v>
      </c>
      <c r="D2952" s="24"/>
      <c r="F2952" s="23">
        <f>IFERROR(__xludf.DUMMYFUNCTION("""COMPUTED_VALUE"""),44854.4578450926)</f>
        <v>44854.45785</v>
      </c>
      <c r="G2952" s="24" t="str">
        <f>IFERROR(__xludf.DUMMYFUNCTION("""COMPUTED_VALUE"""),"Claire")</f>
        <v>Claire</v>
      </c>
      <c r="H2952" s="24">
        <f>IFERROR(__xludf.DUMMYFUNCTION("""COMPUTED_VALUE"""),1070.0)</f>
        <v>1070</v>
      </c>
      <c r="I2952" s="24" t="str">
        <f>IFERROR(__xludf.DUMMYFUNCTION("""COMPUTED_VALUE"""),"Dole")</f>
        <v>Dole</v>
      </c>
    </row>
    <row r="2953">
      <c r="A2953" s="23">
        <f>IFERROR(__xludf.DUMMYFUNCTION("""COMPUTED_VALUE"""),44792.0)</f>
        <v>44792</v>
      </c>
      <c r="B2953" s="24" t="str">
        <f>IFERROR(__xludf.DUMMYFUNCTION("""COMPUTED_VALUE"""),"Janet Lomax")</f>
        <v>Janet Lomax</v>
      </c>
      <c r="C2953" s="24">
        <f>IFERROR(__xludf.DUMMYFUNCTION("""COMPUTED_VALUE"""),20.0)</f>
        <v>20</v>
      </c>
      <c r="D2953" s="24"/>
      <c r="F2953" s="23">
        <f>IFERROR(__xludf.DUMMYFUNCTION("""COMPUTED_VALUE"""),44854.45818159722)</f>
        <v>44854.45818</v>
      </c>
      <c r="G2953" s="24" t="str">
        <f>IFERROR(__xludf.DUMMYFUNCTION("""COMPUTED_VALUE"""),"Claire")</f>
        <v>Claire</v>
      </c>
      <c r="H2953" s="24">
        <f>IFERROR(__xludf.DUMMYFUNCTION("""COMPUTED_VALUE"""),1012.0)</f>
        <v>1012</v>
      </c>
      <c r="I2953" s="24" t="str">
        <f>IFERROR(__xludf.DUMMYFUNCTION("""COMPUTED_VALUE"""),"Dole")</f>
        <v>Dole</v>
      </c>
    </row>
    <row r="2954">
      <c r="A2954" s="23">
        <f>IFERROR(__xludf.DUMMYFUNCTION("""COMPUTED_VALUE"""),44792.0)</f>
        <v>44792</v>
      </c>
      <c r="B2954" s="24" t="str">
        <f>IFERROR(__xludf.DUMMYFUNCTION("""COMPUTED_VALUE"""),"Janet Lomax")</f>
        <v>Janet Lomax</v>
      </c>
      <c r="C2954" s="24">
        <f>IFERROR(__xludf.DUMMYFUNCTION("""COMPUTED_VALUE"""),6.0)</f>
        <v>6</v>
      </c>
      <c r="D2954" s="24"/>
      <c r="F2954" s="23">
        <f>IFERROR(__xludf.DUMMYFUNCTION("""COMPUTED_VALUE"""),44854.4585893287)</f>
        <v>44854.45859</v>
      </c>
      <c r="G2954" s="24" t="str">
        <f>IFERROR(__xludf.DUMMYFUNCTION("""COMPUTED_VALUE"""),"Claire")</f>
        <v>Claire</v>
      </c>
      <c r="H2954" s="24">
        <f>IFERROR(__xludf.DUMMYFUNCTION("""COMPUTED_VALUE"""),1021.0)</f>
        <v>1021</v>
      </c>
      <c r="I2954" s="24" t="str">
        <f>IFERROR(__xludf.DUMMYFUNCTION("""COMPUTED_VALUE"""),"Dole")</f>
        <v>Dole</v>
      </c>
    </row>
    <row r="2955">
      <c r="A2955" s="23">
        <f>IFERROR(__xludf.DUMMYFUNCTION("""COMPUTED_VALUE"""),44792.0)</f>
        <v>44792</v>
      </c>
      <c r="B2955" s="24" t="str">
        <f>IFERROR(__xludf.DUMMYFUNCTION("""COMPUTED_VALUE"""),"Cheryl Utsey")</f>
        <v>Cheryl Utsey</v>
      </c>
      <c r="C2955" s="24">
        <f>IFERROR(__xludf.DUMMYFUNCTION("""COMPUTED_VALUE"""),20.0)</f>
        <v>20</v>
      </c>
      <c r="D2955" s="24"/>
      <c r="F2955" s="23">
        <f>IFERROR(__xludf.DUMMYFUNCTION("""COMPUTED_VALUE"""),44854.45889734954)</f>
        <v>44854.4589</v>
      </c>
      <c r="G2955" s="24" t="str">
        <f>IFERROR(__xludf.DUMMYFUNCTION("""COMPUTED_VALUE"""),"Claire")</f>
        <v>Claire</v>
      </c>
      <c r="H2955" s="24">
        <f>IFERROR(__xludf.DUMMYFUNCTION("""COMPUTED_VALUE"""),1033.0)</f>
        <v>1033</v>
      </c>
      <c r="I2955" s="24" t="str">
        <f>IFERROR(__xludf.DUMMYFUNCTION("""COMPUTED_VALUE"""),"Dole")</f>
        <v>Dole</v>
      </c>
    </row>
    <row r="2956">
      <c r="A2956" s="23">
        <f>IFERROR(__xludf.DUMMYFUNCTION("""COMPUTED_VALUE"""),44792.0)</f>
        <v>44792</v>
      </c>
      <c r="B2956" s="24" t="str">
        <f>IFERROR(__xludf.DUMMYFUNCTION("""COMPUTED_VALUE"""),"Cheryl Utsey")</f>
        <v>Cheryl Utsey</v>
      </c>
      <c r="C2956" s="24">
        <f>IFERROR(__xludf.DUMMYFUNCTION("""COMPUTED_VALUE"""),1.0)</f>
        <v>1</v>
      </c>
      <c r="D2956" s="24"/>
      <c r="F2956" s="23">
        <f>IFERROR(__xludf.DUMMYFUNCTION("""COMPUTED_VALUE"""),44854.45940600694)</f>
        <v>44854.45941</v>
      </c>
      <c r="G2956" s="24" t="str">
        <f>IFERROR(__xludf.DUMMYFUNCTION("""COMPUTED_VALUE"""),"Claire")</f>
        <v>Claire</v>
      </c>
      <c r="H2956" s="24">
        <f>IFERROR(__xludf.DUMMYFUNCTION("""COMPUTED_VALUE"""),1038.0)</f>
        <v>1038</v>
      </c>
      <c r="I2956" s="24" t="str">
        <f>IFERROR(__xludf.DUMMYFUNCTION("""COMPUTED_VALUE"""),"Dole")</f>
        <v>Dole</v>
      </c>
    </row>
    <row r="2957">
      <c r="A2957" s="23">
        <f>IFERROR(__xludf.DUMMYFUNCTION("""COMPUTED_VALUE"""),44792.68784726852)</f>
        <v>44792.68785</v>
      </c>
      <c r="B2957" s="24" t="str">
        <f>IFERROR(__xludf.DUMMYFUNCTION("""COMPUTED_VALUE"""),"Beth Torres")</f>
        <v>Beth Torres</v>
      </c>
      <c r="C2957" s="24">
        <f>IFERROR(__xludf.DUMMYFUNCTION("""COMPUTED_VALUE"""),19.0)</f>
        <v>19</v>
      </c>
      <c r="D2957" s="24"/>
      <c r="F2957" s="23">
        <f>IFERROR(__xludf.DUMMYFUNCTION("""COMPUTED_VALUE"""),44854.45982877315)</f>
        <v>44854.45983</v>
      </c>
      <c r="G2957" s="24" t="str">
        <f>IFERROR(__xludf.DUMMYFUNCTION("""COMPUTED_VALUE"""),"Claire")</f>
        <v>Claire</v>
      </c>
      <c r="H2957" s="24">
        <f>IFERROR(__xludf.DUMMYFUNCTION("""COMPUTED_VALUE"""),1012.0)</f>
        <v>1012</v>
      </c>
      <c r="I2957" s="24" t="str">
        <f>IFERROR(__xludf.DUMMYFUNCTION("""COMPUTED_VALUE"""),"Dole")</f>
        <v>Dole</v>
      </c>
    </row>
    <row r="2958">
      <c r="A2958" s="23">
        <f>IFERROR(__xludf.DUMMYFUNCTION("""COMPUTED_VALUE"""),44792.687966006946)</f>
        <v>44792.68797</v>
      </c>
      <c r="B2958" s="24" t="str">
        <f>IFERROR(__xludf.DUMMYFUNCTION("""COMPUTED_VALUE"""),"Beth Torres")</f>
        <v>Beth Torres</v>
      </c>
      <c r="C2958" s="24">
        <f>IFERROR(__xludf.DUMMYFUNCTION("""COMPUTED_VALUE"""),10.0)</f>
        <v>10</v>
      </c>
      <c r="D2958" s="24"/>
      <c r="F2958" s="23">
        <f>IFERROR(__xludf.DUMMYFUNCTION("""COMPUTED_VALUE"""),44854.46018657407)</f>
        <v>44854.46019</v>
      </c>
      <c r="G2958" s="24" t="str">
        <f>IFERROR(__xludf.DUMMYFUNCTION("""COMPUTED_VALUE"""),"Claire")</f>
        <v>Claire</v>
      </c>
      <c r="H2958" s="24">
        <f>IFERROR(__xludf.DUMMYFUNCTION("""COMPUTED_VALUE"""),870.0)</f>
        <v>870</v>
      </c>
      <c r="I2958" s="24" t="str">
        <f>IFERROR(__xludf.DUMMYFUNCTION("""COMPUTED_VALUE"""),"Dole")</f>
        <v>Dole</v>
      </c>
    </row>
    <row r="2959">
      <c r="A2959" s="23">
        <f>IFERROR(__xludf.DUMMYFUNCTION("""COMPUTED_VALUE"""),44792.6942678125)</f>
        <v>44792.69427</v>
      </c>
      <c r="B2959" s="24" t="str">
        <f>IFERROR(__xludf.DUMMYFUNCTION("""COMPUTED_VALUE"""),"Sunita pathik")</f>
        <v>Sunita pathik</v>
      </c>
      <c r="C2959" s="24">
        <f>IFERROR(__xludf.DUMMYFUNCTION("""COMPUTED_VALUE"""),4.0)</f>
        <v>4</v>
      </c>
      <c r="D2959" s="24"/>
      <c r="F2959" s="23">
        <f>IFERROR(__xludf.DUMMYFUNCTION("""COMPUTED_VALUE"""),44854.4605527662)</f>
        <v>44854.46055</v>
      </c>
      <c r="G2959" s="24" t="str">
        <f>IFERROR(__xludf.DUMMYFUNCTION("""COMPUTED_VALUE"""),"Claire")</f>
        <v>Claire</v>
      </c>
      <c r="H2959" s="24">
        <f>IFERROR(__xludf.DUMMYFUNCTION("""COMPUTED_VALUE"""),1378.0)</f>
        <v>1378</v>
      </c>
      <c r="I2959" s="24" t="str">
        <f>IFERROR(__xludf.DUMMYFUNCTION("""COMPUTED_VALUE"""),"Dole")</f>
        <v>Dole</v>
      </c>
    </row>
    <row r="2960">
      <c r="A2960" s="23">
        <f>IFERROR(__xludf.DUMMYFUNCTION("""COMPUTED_VALUE"""),44792.695796087966)</f>
        <v>44792.6958</v>
      </c>
      <c r="B2960" s="24" t="str">
        <f>IFERROR(__xludf.DUMMYFUNCTION("""COMPUTED_VALUE"""),"Jean")</f>
        <v>Jean</v>
      </c>
      <c r="C2960" s="24">
        <f>IFERROR(__xludf.DUMMYFUNCTION("""COMPUTED_VALUE"""),56.0)</f>
        <v>56</v>
      </c>
      <c r="D2960" s="24"/>
      <c r="F2960" s="23">
        <f>IFERROR(__xludf.DUMMYFUNCTION("""COMPUTED_VALUE"""),44854.46087798611)</f>
        <v>44854.46088</v>
      </c>
      <c r="G2960" s="24" t="str">
        <f>IFERROR(__xludf.DUMMYFUNCTION("""COMPUTED_VALUE"""),"Claire")</f>
        <v>Claire</v>
      </c>
      <c r="H2960" s="24">
        <f>IFERROR(__xludf.DUMMYFUNCTION("""COMPUTED_VALUE"""),982.0)</f>
        <v>982</v>
      </c>
      <c r="I2960" s="24" t="str">
        <f>IFERROR(__xludf.DUMMYFUNCTION("""COMPUTED_VALUE"""),"Dole")</f>
        <v>Dole</v>
      </c>
    </row>
    <row r="2961">
      <c r="A2961" s="23">
        <f>IFERROR(__xludf.DUMMYFUNCTION("""COMPUTED_VALUE"""),44792.69636046296)</f>
        <v>44792.69636</v>
      </c>
      <c r="B2961" s="24" t="str">
        <f>IFERROR(__xludf.DUMMYFUNCTION("""COMPUTED_VALUE"""),"Jean")</f>
        <v>Jean</v>
      </c>
      <c r="C2961" s="24">
        <f>IFERROR(__xludf.DUMMYFUNCTION("""COMPUTED_VALUE"""),13.0)</f>
        <v>13</v>
      </c>
      <c r="D2961" s="24"/>
      <c r="F2961" s="23">
        <f>IFERROR(__xludf.DUMMYFUNCTION("""COMPUTED_VALUE"""),44854.46125359954)</f>
        <v>44854.46125</v>
      </c>
      <c r="G2961" s="24" t="str">
        <f>IFERROR(__xludf.DUMMYFUNCTION("""COMPUTED_VALUE"""),"Claire")</f>
        <v>Claire</v>
      </c>
      <c r="H2961" s="24">
        <f>IFERROR(__xludf.DUMMYFUNCTION("""COMPUTED_VALUE"""),1045.0)</f>
        <v>1045</v>
      </c>
      <c r="I2961" s="24" t="str">
        <f>IFERROR(__xludf.DUMMYFUNCTION("""COMPUTED_VALUE"""),"Dole")</f>
        <v>Dole</v>
      </c>
    </row>
    <row r="2962">
      <c r="A2962" s="23">
        <f>IFERROR(__xludf.DUMMYFUNCTION("""COMPUTED_VALUE"""),44793.0)</f>
        <v>44793</v>
      </c>
      <c r="B2962" s="24" t="str">
        <f>IFERROR(__xludf.DUMMYFUNCTION("""COMPUTED_VALUE"""),"Juanita Chandler ")</f>
        <v>Juanita Chandler </v>
      </c>
      <c r="C2962" s="24">
        <f>IFERROR(__xludf.DUMMYFUNCTION("""COMPUTED_VALUE"""),10.0)</f>
        <v>10</v>
      </c>
      <c r="D2962" s="24"/>
      <c r="F2962" s="23">
        <f>IFERROR(__xludf.DUMMYFUNCTION("""COMPUTED_VALUE"""),44854.71394835649)</f>
        <v>44854.71395</v>
      </c>
      <c r="G2962" s="24" t="str">
        <f>IFERROR(__xludf.DUMMYFUNCTION("""COMPUTED_VALUE"""),"JeAn")</f>
        <v>JeAn</v>
      </c>
      <c r="H2962" s="24">
        <f>IFERROR(__xludf.DUMMYFUNCTION("""COMPUTED_VALUE"""),42.0)</f>
        <v>42</v>
      </c>
      <c r="I2962" s="24" t="str">
        <f>IFERROR(__xludf.DUMMYFUNCTION("""COMPUTED_VALUE"""),"Regular (up to 20lbs)")</f>
        <v>Regular (up to 20lbs)</v>
      </c>
    </row>
    <row r="2963">
      <c r="A2963" s="23">
        <f>IFERROR(__xludf.DUMMYFUNCTION("""COMPUTED_VALUE"""),44793.0)</f>
        <v>44793</v>
      </c>
      <c r="B2963" s="24" t="str">
        <f>IFERROR(__xludf.DUMMYFUNCTION("""COMPUTED_VALUE"""),"Denise Brown")</f>
        <v>Denise Brown</v>
      </c>
      <c r="C2963" s="24">
        <f>IFERROR(__xludf.DUMMYFUNCTION("""COMPUTED_VALUE"""),12.0)</f>
        <v>12</v>
      </c>
      <c r="D2963" s="24"/>
      <c r="F2963" s="23">
        <f>IFERROR(__xludf.DUMMYFUNCTION("""COMPUTED_VALUE"""),44854.902289039346)</f>
        <v>44854.90229</v>
      </c>
      <c r="G2963" s="24" t="str">
        <f>IFERROR(__xludf.DUMMYFUNCTION("""COMPUTED_VALUE"""),"adeola sulaiman")</f>
        <v>adeola sulaiman</v>
      </c>
      <c r="H2963" s="24">
        <f>IFERROR(__xludf.DUMMYFUNCTION("""COMPUTED_VALUE"""),11.0)</f>
        <v>11</v>
      </c>
      <c r="I2963" s="24" t="str">
        <f>IFERROR(__xludf.DUMMYFUNCTION("""COMPUTED_VALUE"""),"Regular (up to 20lbs)")</f>
        <v>Regular (up to 20lbs)</v>
      </c>
    </row>
    <row r="2964">
      <c r="A2964" s="23">
        <f>IFERROR(__xludf.DUMMYFUNCTION("""COMPUTED_VALUE"""),44793.0)</f>
        <v>44793</v>
      </c>
      <c r="B2964" s="24" t="str">
        <f>IFERROR(__xludf.DUMMYFUNCTION("""COMPUTED_VALUE"""),"Lee Little")</f>
        <v>Lee Little</v>
      </c>
      <c r="C2964" s="24">
        <f>IFERROR(__xludf.DUMMYFUNCTION("""COMPUTED_VALUE"""),13.0)</f>
        <v>13</v>
      </c>
      <c r="D2964" s="24"/>
      <c r="F2964" s="23">
        <f>IFERROR(__xludf.DUMMYFUNCTION("""COMPUTED_VALUE"""),44854.90238200232)</f>
        <v>44854.90238</v>
      </c>
      <c r="G2964" s="24" t="str">
        <f>IFERROR(__xludf.DUMMYFUNCTION("""COMPUTED_VALUE"""),"adeola ")</f>
        <v>adeola </v>
      </c>
      <c r="H2964" s="24">
        <f>IFERROR(__xludf.DUMMYFUNCTION("""COMPUTED_VALUE"""),10.0)</f>
        <v>10</v>
      </c>
      <c r="I2964" s="24" t="str">
        <f>IFERROR(__xludf.DUMMYFUNCTION("""COMPUTED_VALUE"""),"Damage/expired/extra")</f>
        <v>Damage/expired/extra</v>
      </c>
    </row>
    <row r="2965">
      <c r="A2965" s="23">
        <f>IFERROR(__xludf.DUMMYFUNCTION("""COMPUTED_VALUE"""),44793.0)</f>
        <v>44793</v>
      </c>
      <c r="B2965" s="24" t="str">
        <f>IFERROR(__xludf.DUMMYFUNCTION("""COMPUTED_VALUE"""),"Brandon Clark")</f>
        <v>Brandon Clark</v>
      </c>
      <c r="C2965" s="24">
        <f>IFERROR(__xludf.DUMMYFUNCTION("""COMPUTED_VALUE"""),18.0)</f>
        <v>18</v>
      </c>
      <c r="D2965" s="24"/>
      <c r="F2965" s="23">
        <f>IFERROR(__xludf.DUMMYFUNCTION("""COMPUTED_VALUE"""),44854.90500899305)</f>
        <v>44854.90501</v>
      </c>
      <c r="G2965" s="24" t="str">
        <f>IFERROR(__xludf.DUMMYFUNCTION("""COMPUTED_VALUE"""),"Obinna Nwokoro")</f>
        <v>Obinna Nwokoro</v>
      </c>
      <c r="H2965" s="24">
        <f>IFERROR(__xludf.DUMMYFUNCTION("""COMPUTED_VALUE"""),20.0)</f>
        <v>20</v>
      </c>
      <c r="I2965" s="24" t="str">
        <f>IFERROR(__xludf.DUMMYFUNCTION("""COMPUTED_VALUE"""),"Regular (up to 20lbs)")</f>
        <v>Regular (up to 20lbs)</v>
      </c>
    </row>
    <row r="2966">
      <c r="A2966" s="23">
        <f>IFERROR(__xludf.DUMMYFUNCTION("""COMPUTED_VALUE"""),44793.0)</f>
        <v>44793</v>
      </c>
      <c r="B2966" s="24" t="str">
        <f>IFERROR(__xludf.DUMMYFUNCTION("""COMPUTED_VALUE"""),"Denise Wilkins")</f>
        <v>Denise Wilkins</v>
      </c>
      <c r="C2966" s="24">
        <f>IFERROR(__xludf.DUMMYFUNCTION("""COMPUTED_VALUE"""),15.0)</f>
        <v>15</v>
      </c>
      <c r="D2966" s="24"/>
      <c r="F2966" s="23">
        <f>IFERROR(__xludf.DUMMYFUNCTION("""COMPUTED_VALUE"""),44854.90567358796)</f>
        <v>44854.90567</v>
      </c>
      <c r="G2966" s="24" t="str">
        <f>IFERROR(__xludf.DUMMYFUNCTION("""COMPUTED_VALUE"""),"Sheneil ")</f>
        <v>Sheneil </v>
      </c>
      <c r="H2966" s="24">
        <f>IFERROR(__xludf.DUMMYFUNCTION("""COMPUTED_VALUE"""),17.0)</f>
        <v>17</v>
      </c>
      <c r="I2966" s="24" t="str">
        <f>IFERROR(__xludf.DUMMYFUNCTION("""COMPUTED_VALUE"""),"Regular (up to 20lbs)")</f>
        <v>Regular (up to 20lbs)</v>
      </c>
    </row>
    <row r="2967">
      <c r="A2967" s="23">
        <f>IFERROR(__xludf.DUMMYFUNCTION("""COMPUTED_VALUE"""),44793.0)</f>
        <v>44793</v>
      </c>
      <c r="B2967" s="24" t="str">
        <f>IFERROR(__xludf.DUMMYFUNCTION("""COMPUTED_VALUE"""),"Denise Wilkins")</f>
        <v>Denise Wilkins</v>
      </c>
      <c r="C2967" s="24">
        <f>IFERROR(__xludf.DUMMYFUNCTION("""COMPUTED_VALUE"""),3.0)</f>
        <v>3</v>
      </c>
      <c r="D2967" s="24"/>
      <c r="F2967" s="23">
        <f>IFERROR(__xludf.DUMMYFUNCTION("""COMPUTED_VALUE"""),44854.90578101852)</f>
        <v>44854.90578</v>
      </c>
      <c r="G2967" s="24" t="str">
        <f>IFERROR(__xludf.DUMMYFUNCTION("""COMPUTED_VALUE"""),"Sheneil")</f>
        <v>Sheneil</v>
      </c>
      <c r="H2967" s="24">
        <f>IFERROR(__xludf.DUMMYFUNCTION("""COMPUTED_VALUE"""),6.0)</f>
        <v>6</v>
      </c>
      <c r="I2967" s="24" t="str">
        <f>IFERROR(__xludf.DUMMYFUNCTION("""COMPUTED_VALUE"""),"Damage/expired/extra")</f>
        <v>Damage/expired/extra</v>
      </c>
    </row>
    <row r="2968">
      <c r="A2968" s="23">
        <f>IFERROR(__xludf.DUMMYFUNCTION("""COMPUTED_VALUE"""),44793.72050959491)</f>
        <v>44793.72051</v>
      </c>
      <c r="B2968" s="24" t="str">
        <f>IFERROR(__xludf.DUMMYFUNCTION("""COMPUTED_VALUE"""),"Gilda Castillo ")</f>
        <v>Gilda Castillo </v>
      </c>
      <c r="C2968" s="24">
        <f>IFERROR(__xludf.DUMMYFUNCTION("""COMPUTED_VALUE"""),20.0)</f>
        <v>20</v>
      </c>
      <c r="D2968" s="24"/>
      <c r="F2968" s="23">
        <f>IFERROR(__xludf.DUMMYFUNCTION("""COMPUTED_VALUE"""),44855.0)</f>
        <v>44855</v>
      </c>
      <c r="G2968" s="24" t="str">
        <f>IFERROR(__xludf.DUMMYFUNCTION("""COMPUTED_VALUE"""),"Claire")</f>
        <v>Claire</v>
      </c>
      <c r="H2968" s="24">
        <f>IFERROR(__xludf.DUMMYFUNCTION("""COMPUTED_VALUE"""),-789.0)</f>
        <v>-789</v>
      </c>
      <c r="I2968" s="24" t="str">
        <f>IFERROR(__xludf.DUMMYFUNCTION("""COMPUTED_VALUE"""),"Boxes")</f>
        <v>Boxes</v>
      </c>
    </row>
    <row r="2969">
      <c r="A2969" s="23">
        <f>IFERROR(__xludf.DUMMYFUNCTION("""COMPUTED_VALUE"""),44793.72147737269)</f>
        <v>44793.72148</v>
      </c>
      <c r="B2969" s="24" t="str">
        <f>IFERROR(__xludf.DUMMYFUNCTION("""COMPUTED_VALUE"""),"Angeles Cortes")</f>
        <v>Angeles Cortes</v>
      </c>
      <c r="C2969" s="24">
        <f>IFERROR(__xludf.DUMMYFUNCTION("""COMPUTED_VALUE"""),20.0)</f>
        <v>20</v>
      </c>
      <c r="D2969" s="24"/>
      <c r="F2969" s="23">
        <f>IFERROR(__xludf.DUMMYFUNCTION("""COMPUTED_VALUE"""),44855.0)</f>
        <v>44855</v>
      </c>
      <c r="G2969" s="24" t="str">
        <f>IFERROR(__xludf.DUMMYFUNCTION("""COMPUTED_VALUE"""),"Claire")</f>
        <v>Claire</v>
      </c>
      <c r="H2969" s="24">
        <f>IFERROR(__xludf.DUMMYFUNCTION("""COMPUTED_VALUE"""),-795.0)</f>
        <v>-795</v>
      </c>
      <c r="I2969" s="24" t="str">
        <f>IFERROR(__xludf.DUMMYFUNCTION("""COMPUTED_VALUE"""),"Boxes")</f>
        <v>Boxes</v>
      </c>
    </row>
    <row r="2970">
      <c r="A2970" s="23">
        <f>IFERROR(__xludf.DUMMYFUNCTION("""COMPUTED_VALUE"""),44793.72364221065)</f>
        <v>44793.72364</v>
      </c>
      <c r="B2970" s="24" t="str">
        <f>IFERROR(__xludf.DUMMYFUNCTION("""COMPUTED_VALUE"""),"Evelyn jiang ")</f>
        <v>Evelyn jiang </v>
      </c>
      <c r="C2970" s="24">
        <f>IFERROR(__xludf.DUMMYFUNCTION("""COMPUTED_VALUE"""),20.0)</f>
        <v>20</v>
      </c>
      <c r="D2970" s="24"/>
      <c r="F2970" s="23">
        <f>IFERROR(__xludf.DUMMYFUNCTION("""COMPUTED_VALUE"""),44855.0)</f>
        <v>44855</v>
      </c>
      <c r="G2970" s="24" t="str">
        <f>IFERROR(__xludf.DUMMYFUNCTION("""COMPUTED_VALUE"""),"Juanita")</f>
        <v>Juanita</v>
      </c>
      <c r="H2970" s="24">
        <f>IFERROR(__xludf.DUMMYFUNCTION("""COMPUTED_VALUE"""),6.0)</f>
        <v>6</v>
      </c>
      <c r="I2970" s="24" t="str">
        <f>IFERROR(__xludf.DUMMYFUNCTION("""COMPUTED_VALUE"""),"Regular (up to 20lbs)")</f>
        <v>Regular (up to 20lbs)</v>
      </c>
    </row>
    <row r="2971">
      <c r="A2971" s="23">
        <f>IFERROR(__xludf.DUMMYFUNCTION("""COMPUTED_VALUE"""),44793.723843009255)</f>
        <v>44793.72384</v>
      </c>
      <c r="B2971" s="24" t="str">
        <f>IFERROR(__xludf.DUMMYFUNCTION("""COMPUTED_VALUE"""),"Nathan so")</f>
        <v>Nathan so</v>
      </c>
      <c r="C2971" s="24">
        <f>IFERROR(__xludf.DUMMYFUNCTION("""COMPUTED_VALUE"""),20.0)</f>
        <v>20</v>
      </c>
      <c r="D2971" s="24"/>
      <c r="F2971" s="23">
        <f>IFERROR(__xludf.DUMMYFUNCTION("""COMPUTED_VALUE"""),44855.0)</f>
        <v>44855</v>
      </c>
      <c r="G2971" s="24" t="str">
        <f>IFERROR(__xludf.DUMMYFUNCTION("""COMPUTED_VALUE"""),"Juanita")</f>
        <v>Juanita</v>
      </c>
      <c r="H2971" s="24">
        <f>IFERROR(__xludf.DUMMYFUNCTION("""COMPUTED_VALUE"""),3.0)</f>
        <v>3</v>
      </c>
      <c r="I2971" s="24" t="str">
        <f>IFERROR(__xludf.DUMMYFUNCTION("""COMPUTED_VALUE"""),"Damage/expired/extra")</f>
        <v>Damage/expired/extra</v>
      </c>
    </row>
    <row r="2972">
      <c r="A2972" s="23">
        <f>IFERROR(__xludf.DUMMYFUNCTION("""COMPUTED_VALUE"""),44793.728010347215)</f>
        <v>44793.72801</v>
      </c>
      <c r="B2972" s="24" t="str">
        <f>IFERROR(__xludf.DUMMYFUNCTION("""COMPUTED_VALUE"""),"Sara B. ")</f>
        <v>Sara B. </v>
      </c>
      <c r="C2972" s="24">
        <f>IFERROR(__xludf.DUMMYFUNCTION("""COMPUTED_VALUE"""),19.0)</f>
        <v>19</v>
      </c>
      <c r="D2972" s="24"/>
      <c r="F2972" s="23">
        <f>IFERROR(__xludf.DUMMYFUNCTION("""COMPUTED_VALUE"""),44855.0)</f>
        <v>44855</v>
      </c>
      <c r="G2972" s="24" t="str">
        <f>IFERROR(__xludf.DUMMYFUNCTION("""COMPUTED_VALUE"""),"Theresa Columbus")</f>
        <v>Theresa Columbus</v>
      </c>
      <c r="H2972" s="24">
        <f>IFERROR(__xludf.DUMMYFUNCTION("""COMPUTED_VALUE"""),20.0)</f>
        <v>20</v>
      </c>
      <c r="I2972" s="24" t="str">
        <f>IFERROR(__xludf.DUMMYFUNCTION("""COMPUTED_VALUE"""),"Regular (up to 20lbs)")</f>
        <v>Regular (up to 20lbs)</v>
      </c>
    </row>
    <row r="2973">
      <c r="A2973" s="23">
        <f>IFERROR(__xludf.DUMMYFUNCTION("""COMPUTED_VALUE"""),44793.73183104167)</f>
        <v>44793.73183</v>
      </c>
      <c r="B2973" s="24" t="str">
        <f>IFERROR(__xludf.DUMMYFUNCTION("""COMPUTED_VALUE"""),"Beverly Pinn")</f>
        <v>Beverly Pinn</v>
      </c>
      <c r="C2973" s="24">
        <f>IFERROR(__xludf.DUMMYFUNCTION("""COMPUTED_VALUE"""),20.0)</f>
        <v>20</v>
      </c>
      <c r="D2973" s="24"/>
      <c r="F2973" s="23">
        <f>IFERROR(__xludf.DUMMYFUNCTION("""COMPUTED_VALUE"""),44855.0)</f>
        <v>44855</v>
      </c>
      <c r="G2973" s="24" t="str">
        <f>IFERROR(__xludf.DUMMYFUNCTION("""COMPUTED_VALUE"""),"Theresa Columbus")</f>
        <v>Theresa Columbus</v>
      </c>
      <c r="H2973" s="24">
        <f>IFERROR(__xludf.DUMMYFUNCTION("""COMPUTED_VALUE"""),8.0)</f>
        <v>8</v>
      </c>
      <c r="I2973" s="24" t="str">
        <f>IFERROR(__xludf.DUMMYFUNCTION("""COMPUTED_VALUE"""),"Damage/expired/extra")</f>
        <v>Damage/expired/extra</v>
      </c>
    </row>
    <row r="2974">
      <c r="A2974" s="23">
        <f>IFERROR(__xludf.DUMMYFUNCTION("""COMPUTED_VALUE"""),44793.732128483796)</f>
        <v>44793.73213</v>
      </c>
      <c r="B2974" s="24" t="str">
        <f>IFERROR(__xludf.DUMMYFUNCTION("""COMPUTED_VALUE"""),"Beverly Pinn")</f>
        <v>Beverly Pinn</v>
      </c>
      <c r="C2974" s="24">
        <f>IFERROR(__xludf.DUMMYFUNCTION("""COMPUTED_VALUE"""),8.0)</f>
        <v>8</v>
      </c>
      <c r="D2974" s="24"/>
      <c r="F2974" s="23">
        <f>IFERROR(__xludf.DUMMYFUNCTION("""COMPUTED_VALUE"""),44855.0)</f>
        <v>44855</v>
      </c>
      <c r="G2974" s="24" t="str">
        <f>IFERROR(__xludf.DUMMYFUNCTION("""COMPUTED_VALUE"""),"Yulia")</f>
        <v>Yulia</v>
      </c>
      <c r="H2974" s="24">
        <f>IFERROR(__xludf.DUMMYFUNCTION("""COMPUTED_VALUE"""),9.0)</f>
        <v>9</v>
      </c>
      <c r="I2974" s="24" t="str">
        <f>IFERROR(__xludf.DUMMYFUNCTION("""COMPUTED_VALUE"""),"Damage/expired/extra")</f>
        <v>Damage/expired/extra</v>
      </c>
    </row>
    <row r="2975">
      <c r="A2975" s="23">
        <f>IFERROR(__xludf.DUMMYFUNCTION("""COMPUTED_VALUE"""),44794.666204444446)</f>
        <v>44794.6662</v>
      </c>
      <c r="B2975" s="24" t="str">
        <f>IFERROR(__xludf.DUMMYFUNCTION("""COMPUTED_VALUE"""),"Ceidelina Perez")</f>
        <v>Ceidelina Perez</v>
      </c>
      <c r="C2975" s="24">
        <f>IFERROR(__xludf.DUMMYFUNCTION("""COMPUTED_VALUE"""),20.0)</f>
        <v>20</v>
      </c>
      <c r="D2975" s="24"/>
      <c r="F2975" s="23">
        <f>IFERROR(__xludf.DUMMYFUNCTION("""COMPUTED_VALUE"""),44855.5637421412)</f>
        <v>44855.56374</v>
      </c>
      <c r="G2975" s="24" t="str">
        <f>IFERROR(__xludf.DUMMYFUNCTION("""COMPUTED_VALUE"""),"Claire")</f>
        <v>Claire</v>
      </c>
      <c r="H2975" s="24">
        <f>IFERROR(__xludf.DUMMYFUNCTION("""COMPUTED_VALUE"""),240.0)</f>
        <v>240</v>
      </c>
      <c r="I2975" s="24" t="str">
        <f>IFERROR(__xludf.DUMMYFUNCTION("""COMPUTED_VALUE"""),"Hand sanitizer ")</f>
        <v>Hand sanitizer </v>
      </c>
    </row>
    <row r="2976">
      <c r="A2976" s="23">
        <f>IFERROR(__xludf.DUMMYFUNCTION("""COMPUTED_VALUE"""),44794.66721947917)</f>
        <v>44794.66722</v>
      </c>
      <c r="B2976" s="24" t="str">
        <f>IFERROR(__xludf.DUMMYFUNCTION("""COMPUTED_VALUE"""),"Anna Nicosia")</f>
        <v>Anna Nicosia</v>
      </c>
      <c r="C2976" s="24">
        <f>IFERROR(__xludf.DUMMYFUNCTION("""COMPUTED_VALUE"""),14.0)</f>
        <v>14</v>
      </c>
      <c r="D2976" s="24"/>
      <c r="F2976" s="23">
        <f>IFERROR(__xludf.DUMMYFUNCTION("""COMPUTED_VALUE"""),44855.564345370374)</f>
        <v>44855.56435</v>
      </c>
      <c r="G2976" s="24" t="str">
        <f>IFERROR(__xludf.DUMMYFUNCTION("""COMPUTED_VALUE"""),"Claire")</f>
        <v>Claire</v>
      </c>
      <c r="H2976" s="24">
        <f>IFERROR(__xludf.DUMMYFUNCTION("""COMPUTED_VALUE"""),600.0)</f>
        <v>600</v>
      </c>
      <c r="I2976" s="24" t="str">
        <f>IFERROR(__xludf.DUMMYFUNCTION("""COMPUTED_VALUE"""),"Hand sanitizer ")</f>
        <v>Hand sanitizer </v>
      </c>
    </row>
    <row r="2977">
      <c r="A2977" s="23">
        <f>IFERROR(__xludf.DUMMYFUNCTION("""COMPUTED_VALUE"""),44794.6673199537)</f>
        <v>44794.66732</v>
      </c>
      <c r="B2977" s="24" t="str">
        <f>IFERROR(__xludf.DUMMYFUNCTION("""COMPUTED_VALUE"""),"Evan El-Halawani")</f>
        <v>Evan El-Halawani</v>
      </c>
      <c r="C2977" s="24">
        <f>IFERROR(__xludf.DUMMYFUNCTION("""COMPUTED_VALUE"""),17.0)</f>
        <v>17</v>
      </c>
      <c r="D2977" s="24"/>
      <c r="F2977" s="23">
        <f>IFERROR(__xludf.DUMMYFUNCTION("""COMPUTED_VALUE"""),44855.564937627314)</f>
        <v>44855.56494</v>
      </c>
      <c r="G2977" s="24" t="str">
        <f>IFERROR(__xludf.DUMMYFUNCTION("""COMPUTED_VALUE"""),"Claire")</f>
        <v>Claire</v>
      </c>
      <c r="H2977" s="24">
        <f>IFERROR(__xludf.DUMMYFUNCTION("""COMPUTED_VALUE"""),156.0)</f>
        <v>156</v>
      </c>
      <c r="I2977" s="24" t="str">
        <f>IFERROR(__xludf.DUMMYFUNCTION("""COMPUTED_VALUE"""),"Snacks")</f>
        <v>Snacks</v>
      </c>
    </row>
    <row r="2978">
      <c r="A2978" s="23">
        <f>IFERROR(__xludf.DUMMYFUNCTION("""COMPUTED_VALUE"""),44794.0)</f>
        <v>44794</v>
      </c>
      <c r="B2978" s="24" t="str">
        <f>IFERROR(__xludf.DUMMYFUNCTION("""COMPUTED_VALUE"""),"Travis James")</f>
        <v>Travis James</v>
      </c>
      <c r="C2978" s="24">
        <f>IFERROR(__xludf.DUMMYFUNCTION("""COMPUTED_VALUE"""),20.0)</f>
        <v>20</v>
      </c>
      <c r="D2978" s="24"/>
      <c r="F2978" s="23">
        <f>IFERROR(__xludf.DUMMYFUNCTION("""COMPUTED_VALUE"""),44855.5655596875)</f>
        <v>44855.56556</v>
      </c>
      <c r="G2978" s="24" t="str">
        <f>IFERROR(__xludf.DUMMYFUNCTION("""COMPUTED_VALUE"""),"Claire")</f>
        <v>Claire</v>
      </c>
      <c r="H2978" s="24">
        <f>IFERROR(__xludf.DUMMYFUNCTION("""COMPUTED_VALUE"""),89.0)</f>
        <v>89</v>
      </c>
      <c r="I2978" s="24" t="str">
        <f>IFERROR(__xludf.DUMMYFUNCTION("""COMPUTED_VALUE"""),"Snacks")</f>
        <v>Snacks</v>
      </c>
    </row>
    <row r="2979">
      <c r="A2979" s="23">
        <f>IFERROR(__xludf.DUMMYFUNCTION("""COMPUTED_VALUE"""),44794.0)</f>
        <v>44794</v>
      </c>
      <c r="B2979" s="24" t="str">
        <f>IFERROR(__xludf.DUMMYFUNCTION("""COMPUTED_VALUE"""),"Travis James")</f>
        <v>Travis James</v>
      </c>
      <c r="C2979" s="24">
        <f>IFERROR(__xludf.DUMMYFUNCTION("""COMPUTED_VALUE"""),1.0)</f>
        <v>1</v>
      </c>
      <c r="D2979" s="24"/>
      <c r="F2979" s="23">
        <f>IFERROR(__xludf.DUMMYFUNCTION("""COMPUTED_VALUE"""),44855.566267766204)</f>
        <v>44855.56627</v>
      </c>
      <c r="G2979" s="24" t="str">
        <f>IFERROR(__xludf.DUMMYFUNCTION("""COMPUTED_VALUE"""),"Claire")</f>
        <v>Claire</v>
      </c>
      <c r="H2979" s="24">
        <f>IFERROR(__xludf.DUMMYFUNCTION("""COMPUTED_VALUE"""),192.0)</f>
        <v>192</v>
      </c>
      <c r="I2979" s="24" t="str">
        <f>IFERROR(__xludf.DUMMYFUNCTION("""COMPUTED_VALUE"""),"Hand sanitizer ")</f>
        <v>Hand sanitizer </v>
      </c>
    </row>
    <row r="2980">
      <c r="A2980" s="23">
        <f>IFERROR(__xludf.DUMMYFUNCTION("""COMPUTED_VALUE"""),44794.0)</f>
        <v>44794</v>
      </c>
      <c r="B2980" s="24" t="str">
        <f>IFERROR(__xludf.DUMMYFUNCTION("""COMPUTED_VALUE"""),"Ladaisha Thompson")</f>
        <v>Ladaisha Thompson</v>
      </c>
      <c r="C2980" s="24">
        <f>IFERROR(__xludf.DUMMYFUNCTION("""COMPUTED_VALUE"""),20.0)</f>
        <v>20</v>
      </c>
      <c r="D2980" s="24"/>
      <c r="F2980" s="23">
        <f>IFERROR(__xludf.DUMMYFUNCTION("""COMPUTED_VALUE"""),44855.56667078703)</f>
        <v>44855.56667</v>
      </c>
      <c r="G2980" s="24" t="str">
        <f>IFERROR(__xludf.DUMMYFUNCTION("""COMPUTED_VALUE"""),"Claire")</f>
        <v>Claire</v>
      </c>
      <c r="H2980" s="24">
        <f>IFERROR(__xludf.DUMMYFUNCTION("""COMPUTED_VALUE"""),105.0)</f>
        <v>105</v>
      </c>
      <c r="I2980" s="24" t="str">
        <f>IFERROR(__xludf.DUMMYFUNCTION("""COMPUTED_VALUE"""),"Fruit cups ")</f>
        <v>Fruit cups </v>
      </c>
    </row>
    <row r="2981">
      <c r="A2981" s="23">
        <f>IFERROR(__xludf.DUMMYFUNCTION("""COMPUTED_VALUE"""),44794.0)</f>
        <v>44794</v>
      </c>
      <c r="B2981" s="24" t="str">
        <f>IFERROR(__xludf.DUMMYFUNCTION("""COMPUTED_VALUE"""),"Denise Wilkins")</f>
        <v>Denise Wilkins</v>
      </c>
      <c r="C2981" s="24">
        <f>IFERROR(__xludf.DUMMYFUNCTION("""COMPUTED_VALUE"""),20.0)</f>
        <v>20</v>
      </c>
      <c r="D2981" s="24"/>
      <c r="F2981" s="23">
        <f>IFERROR(__xludf.DUMMYFUNCTION("""COMPUTED_VALUE"""),44855.56701296296)</f>
        <v>44855.56701</v>
      </c>
      <c r="G2981" s="24" t="str">
        <f>IFERROR(__xludf.DUMMYFUNCTION("""COMPUTED_VALUE"""),"Claire")</f>
        <v>Claire</v>
      </c>
      <c r="H2981" s="24">
        <f>IFERROR(__xludf.DUMMYFUNCTION("""COMPUTED_VALUE"""),36.0)</f>
        <v>36</v>
      </c>
      <c r="I2981" s="24" t="str">
        <f>IFERROR(__xludf.DUMMYFUNCTION("""COMPUTED_VALUE"""),"Snacks")</f>
        <v>Snacks</v>
      </c>
    </row>
    <row r="2982">
      <c r="A2982" s="23">
        <f>IFERROR(__xludf.DUMMYFUNCTION("""COMPUTED_VALUE"""),44794.0)</f>
        <v>44794</v>
      </c>
      <c r="B2982" s="24" t="str">
        <f>IFERROR(__xludf.DUMMYFUNCTION("""COMPUTED_VALUE"""),"Denise Wilkins")</f>
        <v>Denise Wilkins</v>
      </c>
      <c r="C2982" s="24">
        <f>IFERROR(__xludf.DUMMYFUNCTION("""COMPUTED_VALUE"""),4.0)</f>
        <v>4</v>
      </c>
      <c r="D2982" s="24"/>
      <c r="F2982" s="23">
        <f>IFERROR(__xludf.DUMMYFUNCTION("""COMPUTED_VALUE"""),44855.5678146412)</f>
        <v>44855.56781</v>
      </c>
      <c r="G2982" s="24" t="str">
        <f>IFERROR(__xludf.DUMMYFUNCTION("""COMPUTED_VALUE"""),"Claire ")</f>
        <v>Claire </v>
      </c>
      <c r="H2982" s="24">
        <f>IFERROR(__xludf.DUMMYFUNCTION("""COMPUTED_VALUE"""),756.0)</f>
        <v>756</v>
      </c>
      <c r="I2982" s="24" t="str">
        <f>IFERROR(__xludf.DUMMYFUNCTION("""COMPUTED_VALUE"""),"Boxes")</f>
        <v>Boxes</v>
      </c>
    </row>
    <row r="2983">
      <c r="A2983" s="23">
        <f>IFERROR(__xludf.DUMMYFUNCTION("""COMPUTED_VALUE"""),44794.0)</f>
        <v>44794</v>
      </c>
      <c r="B2983" s="24" t="str">
        <f>IFERROR(__xludf.DUMMYFUNCTION("""COMPUTED_VALUE"""),"Kaneesha")</f>
        <v>Kaneesha</v>
      </c>
      <c r="C2983" s="24">
        <f>IFERROR(__xludf.DUMMYFUNCTION("""COMPUTED_VALUE"""),2.0)</f>
        <v>2</v>
      </c>
      <c r="D2983" s="24"/>
      <c r="F2983" s="23">
        <f>IFERROR(__xludf.DUMMYFUNCTION("""COMPUTED_VALUE"""),44855.56827474537)</f>
        <v>44855.56827</v>
      </c>
      <c r="G2983" s="24" t="str">
        <f>IFERROR(__xludf.DUMMYFUNCTION("""COMPUTED_VALUE"""),"Claire ")</f>
        <v>Claire </v>
      </c>
      <c r="H2983" s="24">
        <f>IFERROR(__xludf.DUMMYFUNCTION("""COMPUTED_VALUE"""),791.0)</f>
        <v>791</v>
      </c>
      <c r="I2983" s="24" t="str">
        <f>IFERROR(__xludf.DUMMYFUNCTION("""COMPUTED_VALUE"""),"Boxes")</f>
        <v>Boxes</v>
      </c>
    </row>
    <row r="2984">
      <c r="A2984" s="23">
        <f>IFERROR(__xludf.DUMMYFUNCTION("""COMPUTED_VALUE"""),44794.6751228588)</f>
        <v>44794.67512</v>
      </c>
      <c r="B2984" s="24" t="str">
        <f>IFERROR(__xludf.DUMMYFUNCTION("""COMPUTED_VALUE"""),"Kaneesha ")</f>
        <v>Kaneesha </v>
      </c>
      <c r="C2984" s="24">
        <f>IFERROR(__xludf.DUMMYFUNCTION("""COMPUTED_VALUE"""),20.0)</f>
        <v>20</v>
      </c>
      <c r="D2984" s="24"/>
      <c r="F2984" s="23">
        <f>IFERROR(__xludf.DUMMYFUNCTION("""COMPUTED_VALUE"""),44855.56876084491)</f>
        <v>44855.56876</v>
      </c>
      <c r="G2984" s="24" t="str">
        <f>IFERROR(__xludf.DUMMYFUNCTION("""COMPUTED_VALUE"""),"Claire ")</f>
        <v>Claire </v>
      </c>
      <c r="H2984" s="24">
        <f>IFERROR(__xludf.DUMMYFUNCTION("""COMPUTED_VALUE"""),1414.0)</f>
        <v>1414</v>
      </c>
      <c r="I2984" s="24" t="str">
        <f>IFERROR(__xludf.DUMMYFUNCTION("""COMPUTED_VALUE"""),"Produce")</f>
        <v>Produce</v>
      </c>
    </row>
    <row r="2985">
      <c r="A2985" s="23">
        <f>IFERROR(__xludf.DUMMYFUNCTION("""COMPUTED_VALUE"""),44794.67560166667)</f>
        <v>44794.6756</v>
      </c>
      <c r="B2985" s="24" t="str">
        <f>IFERROR(__xludf.DUMMYFUNCTION("""COMPUTED_VALUE"""),"Adeola Sulaiman")</f>
        <v>Adeola Sulaiman</v>
      </c>
      <c r="C2985" s="24">
        <f>IFERROR(__xludf.DUMMYFUNCTION("""COMPUTED_VALUE"""),21.0)</f>
        <v>21</v>
      </c>
      <c r="D2985" s="24"/>
      <c r="F2985" s="23">
        <f>IFERROR(__xludf.DUMMYFUNCTION("""COMPUTED_VALUE"""),44855.569200046295)</f>
        <v>44855.5692</v>
      </c>
      <c r="G2985" s="24" t="str">
        <f>IFERROR(__xludf.DUMMYFUNCTION("""COMPUTED_VALUE"""),"Claire ")</f>
        <v>Claire </v>
      </c>
      <c r="H2985" s="24">
        <f>IFERROR(__xludf.DUMMYFUNCTION("""COMPUTED_VALUE"""),804.0)</f>
        <v>804</v>
      </c>
      <c r="I2985" s="24" t="str">
        <f>IFERROR(__xludf.DUMMYFUNCTION("""COMPUTED_VALUE"""),"Boxes")</f>
        <v>Boxes</v>
      </c>
    </row>
    <row r="2986">
      <c r="A2986" s="23">
        <f>IFERROR(__xludf.DUMMYFUNCTION("""COMPUTED_VALUE"""),44794.676392685185)</f>
        <v>44794.67639</v>
      </c>
      <c r="B2986" s="24" t="str">
        <f>IFERROR(__xludf.DUMMYFUNCTION("""COMPUTED_VALUE"""),"Obi Nwokoro")</f>
        <v>Obi Nwokoro</v>
      </c>
      <c r="C2986" s="24">
        <f>IFERROR(__xludf.DUMMYFUNCTION("""COMPUTED_VALUE"""),19.0)</f>
        <v>19</v>
      </c>
      <c r="D2986" s="24"/>
      <c r="F2986" s="23">
        <f>IFERROR(__xludf.DUMMYFUNCTION("""COMPUTED_VALUE"""),44855.569638472225)</f>
        <v>44855.56964</v>
      </c>
      <c r="G2986" s="24" t="str">
        <f>IFERROR(__xludf.DUMMYFUNCTION("""COMPUTED_VALUE"""),"Claire ")</f>
        <v>Claire </v>
      </c>
      <c r="H2986" s="24">
        <f>IFERROR(__xludf.DUMMYFUNCTION("""COMPUTED_VALUE"""),781.0)</f>
        <v>781</v>
      </c>
      <c r="I2986" s="24" t="str">
        <f>IFERROR(__xludf.DUMMYFUNCTION("""COMPUTED_VALUE"""),"Boxes")</f>
        <v>Boxes</v>
      </c>
    </row>
    <row r="2987">
      <c r="A2987" s="23">
        <f>IFERROR(__xludf.DUMMYFUNCTION("""COMPUTED_VALUE"""),44794.67950920139)</f>
        <v>44794.67951</v>
      </c>
      <c r="B2987" s="24" t="str">
        <f>IFERROR(__xludf.DUMMYFUNCTION("""COMPUTED_VALUE"""),"James willians")</f>
        <v>James willians</v>
      </c>
      <c r="C2987" s="24">
        <f>IFERROR(__xludf.DUMMYFUNCTION("""COMPUTED_VALUE"""),16.0)</f>
        <v>16</v>
      </c>
      <c r="D2987" s="24"/>
      <c r="F2987" s="23">
        <f>IFERROR(__xludf.DUMMYFUNCTION("""COMPUTED_VALUE"""),44855.570063692125)</f>
        <v>44855.57006</v>
      </c>
      <c r="G2987" s="24" t="str">
        <f>IFERROR(__xludf.DUMMYFUNCTION("""COMPUTED_VALUE"""),"Claire ")</f>
        <v>Claire </v>
      </c>
      <c r="H2987" s="24">
        <f>IFERROR(__xludf.DUMMYFUNCTION("""COMPUTED_VALUE"""),129.0)</f>
        <v>129</v>
      </c>
      <c r="I2987" s="24" t="str">
        <f>IFERROR(__xludf.DUMMYFUNCTION("""COMPUTED_VALUE"""),"Produce")</f>
        <v>Produce</v>
      </c>
    </row>
    <row r="2988">
      <c r="A2988" s="23">
        <f>IFERROR(__xludf.DUMMYFUNCTION("""COMPUTED_VALUE"""),44794.69431892361)</f>
        <v>44794.69432</v>
      </c>
      <c r="B2988" s="24" t="str">
        <f>IFERROR(__xludf.DUMMYFUNCTION("""COMPUTED_VALUE"""),"Opey")</f>
        <v>Opey</v>
      </c>
      <c r="C2988" s="24">
        <f>IFERROR(__xludf.DUMMYFUNCTION("""COMPUTED_VALUE"""),8.0)</f>
        <v>8</v>
      </c>
      <c r="D2988" s="24"/>
      <c r="F2988" s="23">
        <f>IFERROR(__xludf.DUMMYFUNCTION("""COMPUTED_VALUE"""),44855.57052543982)</f>
        <v>44855.57053</v>
      </c>
      <c r="G2988" s="24" t="str">
        <f>IFERROR(__xludf.DUMMYFUNCTION("""COMPUTED_VALUE"""),"Claire ")</f>
        <v>Claire </v>
      </c>
      <c r="H2988" s="24">
        <f>IFERROR(__xludf.DUMMYFUNCTION("""COMPUTED_VALUE"""),1312.0)</f>
        <v>1312</v>
      </c>
      <c r="I2988" s="24" t="str">
        <f>IFERROR(__xludf.DUMMYFUNCTION("""COMPUTED_VALUE"""),"Drinks [Dry]")</f>
        <v>Drinks [Dry]</v>
      </c>
    </row>
    <row r="2989">
      <c r="A2989" s="23">
        <f>IFERROR(__xludf.DUMMYFUNCTION("""COMPUTED_VALUE"""),44794.70225563657)</f>
        <v>44794.70226</v>
      </c>
      <c r="B2989" s="24" t="str">
        <f>IFERROR(__xludf.DUMMYFUNCTION("""COMPUTED_VALUE"""),"Zoe")</f>
        <v>Zoe</v>
      </c>
      <c r="C2989" s="24">
        <f>IFERROR(__xludf.DUMMYFUNCTION("""COMPUTED_VALUE"""),15.0)</f>
        <v>15</v>
      </c>
      <c r="D2989" s="24"/>
      <c r="F2989" s="23">
        <f>IFERROR(__xludf.DUMMYFUNCTION("""COMPUTED_VALUE"""),44855.67014693287)</f>
        <v>44855.67015</v>
      </c>
      <c r="G2989" s="24" t="str">
        <f>IFERROR(__xludf.DUMMYFUNCTION("""COMPUTED_VALUE"""),"Claire")</f>
        <v>Claire</v>
      </c>
      <c r="H2989" s="24">
        <f>IFERROR(__xludf.DUMMYFUNCTION("""COMPUTED_VALUE"""),1309.0)</f>
        <v>1309</v>
      </c>
      <c r="I2989" s="24" t="str">
        <f>IFERROR(__xludf.DUMMYFUNCTION("""COMPUTED_VALUE"""),"Drinks [Dry]")</f>
        <v>Drinks [Dry]</v>
      </c>
    </row>
    <row r="2990">
      <c r="A2990" s="23">
        <f>IFERROR(__xludf.DUMMYFUNCTION("""COMPUTED_VALUE"""),44794.74810070601)</f>
        <v>44794.7481</v>
      </c>
      <c r="B2990" s="24" t="str">
        <f>IFERROR(__xludf.DUMMYFUNCTION("""COMPUTED_VALUE"""),"Carla ")</f>
        <v>Carla </v>
      </c>
      <c r="C2990" s="24">
        <f>IFERROR(__xludf.DUMMYFUNCTION("""COMPUTED_VALUE"""),13.0)</f>
        <v>13</v>
      </c>
      <c r="D2990" s="24"/>
      <c r="F2990" s="23">
        <f>IFERROR(__xludf.DUMMYFUNCTION("""COMPUTED_VALUE"""),44855.67052712962)</f>
        <v>44855.67053</v>
      </c>
      <c r="G2990" s="24" t="str">
        <f>IFERROR(__xludf.DUMMYFUNCTION("""COMPUTED_VALUE"""),"Claire")</f>
        <v>Claire</v>
      </c>
      <c r="H2990" s="24">
        <f>IFERROR(__xludf.DUMMYFUNCTION("""COMPUTED_VALUE"""),1448.0)</f>
        <v>1448</v>
      </c>
      <c r="I2990" s="24" t="str">
        <f>IFERROR(__xludf.DUMMYFUNCTION("""COMPUTED_VALUE"""),"Fruit cups")</f>
        <v>Fruit cups</v>
      </c>
    </row>
    <row r="2991">
      <c r="A2991" s="23">
        <f>IFERROR(__xludf.DUMMYFUNCTION("""COMPUTED_VALUE"""),44796.0)</f>
        <v>44796</v>
      </c>
      <c r="B2991" s="24" t="str">
        <f>IFERROR(__xludf.DUMMYFUNCTION("""COMPUTED_VALUE"""),"Denise Wilkins")</f>
        <v>Denise Wilkins</v>
      </c>
      <c r="C2991" s="24">
        <f>IFERROR(__xludf.DUMMYFUNCTION("""COMPUTED_VALUE"""),36.0)</f>
        <v>36</v>
      </c>
      <c r="D2991" s="24"/>
      <c r="F2991" s="23">
        <f>IFERROR(__xludf.DUMMYFUNCTION("""COMPUTED_VALUE"""),44855.67094225694)</f>
        <v>44855.67094</v>
      </c>
      <c r="G2991" s="24" t="str">
        <f>IFERROR(__xludf.DUMMYFUNCTION("""COMPUTED_VALUE"""),"Claire")</f>
        <v>Claire</v>
      </c>
      <c r="H2991" s="24">
        <f>IFERROR(__xludf.DUMMYFUNCTION("""COMPUTED_VALUE"""),954.0)</f>
        <v>954</v>
      </c>
      <c r="I2991" s="24" t="str">
        <f>IFERROR(__xludf.DUMMYFUNCTION("""COMPUTED_VALUE"""),"Fruit cups")</f>
        <v>Fruit cups</v>
      </c>
    </row>
    <row r="2992">
      <c r="A2992" s="23">
        <f>IFERROR(__xludf.DUMMYFUNCTION("""COMPUTED_VALUE"""),44796.0)</f>
        <v>44796</v>
      </c>
      <c r="B2992" s="24" t="str">
        <f>IFERROR(__xludf.DUMMYFUNCTION("""COMPUTED_VALUE"""),"Barbara Jordan")</f>
        <v>Barbara Jordan</v>
      </c>
      <c r="C2992" s="24">
        <f>IFERROR(__xludf.DUMMYFUNCTION("""COMPUTED_VALUE"""),18.0)</f>
        <v>18</v>
      </c>
      <c r="D2992" s="24"/>
      <c r="F2992" s="23">
        <f>IFERROR(__xludf.DUMMYFUNCTION("""COMPUTED_VALUE"""),44855.67128209491)</f>
        <v>44855.67128</v>
      </c>
      <c r="G2992" s="24" t="str">
        <f>IFERROR(__xludf.DUMMYFUNCTION("""COMPUTED_VALUE"""),"Claire")</f>
        <v>Claire</v>
      </c>
      <c r="H2992" s="24">
        <f>IFERROR(__xludf.DUMMYFUNCTION("""COMPUTED_VALUE"""),1498.0)</f>
        <v>1498</v>
      </c>
      <c r="I2992" s="24" t="str">
        <f>IFERROR(__xludf.DUMMYFUNCTION("""COMPUTED_VALUE"""),"Hand sanitizer")</f>
        <v>Hand sanitizer</v>
      </c>
    </row>
    <row r="2993">
      <c r="A2993" s="23">
        <f>IFERROR(__xludf.DUMMYFUNCTION("""COMPUTED_VALUE"""),44796.0)</f>
        <v>44796</v>
      </c>
      <c r="B2993" s="24" t="str">
        <f>IFERROR(__xludf.DUMMYFUNCTION("""COMPUTED_VALUE"""),"Barbara Jordan")</f>
        <v>Barbara Jordan</v>
      </c>
      <c r="C2993" s="24">
        <f>IFERROR(__xludf.DUMMYFUNCTION("""COMPUTED_VALUE"""),15.0)</f>
        <v>15</v>
      </c>
      <c r="D2993" s="24"/>
      <c r="F2993" s="23">
        <f>IFERROR(__xludf.DUMMYFUNCTION("""COMPUTED_VALUE"""),44855.671754849536)</f>
        <v>44855.67175</v>
      </c>
      <c r="G2993" s="24" t="str">
        <f>IFERROR(__xludf.DUMMYFUNCTION("""COMPUTED_VALUE"""),"Claire")</f>
        <v>Claire</v>
      </c>
      <c r="H2993" s="24">
        <f>IFERROR(__xludf.DUMMYFUNCTION("""COMPUTED_VALUE"""),136.0)</f>
        <v>136</v>
      </c>
      <c r="I2993" s="24" t="str">
        <f>IFERROR(__xludf.DUMMYFUNCTION("""COMPUTED_VALUE"""),"Snacks")</f>
        <v>Snacks</v>
      </c>
    </row>
    <row r="2994">
      <c r="A2994" s="23">
        <f>IFERROR(__xludf.DUMMYFUNCTION("""COMPUTED_VALUE"""),44796.71116910879)</f>
        <v>44796.71117</v>
      </c>
      <c r="B2994" s="24" t="str">
        <f>IFERROR(__xludf.DUMMYFUNCTION("""COMPUTED_VALUE"""),"Kaneesha ")</f>
        <v>Kaneesha </v>
      </c>
      <c r="C2994" s="24">
        <f>IFERROR(__xludf.DUMMYFUNCTION("""COMPUTED_VALUE"""),20.0)</f>
        <v>20</v>
      </c>
      <c r="D2994" s="24"/>
      <c r="F2994" s="23">
        <f>IFERROR(__xludf.DUMMYFUNCTION("""COMPUTED_VALUE"""),44855.67216922454)</f>
        <v>44855.67217</v>
      </c>
      <c r="G2994" s="24" t="str">
        <f>IFERROR(__xludf.DUMMYFUNCTION("""COMPUTED_VALUE"""),"Claire")</f>
        <v>Claire</v>
      </c>
      <c r="H2994" s="24">
        <f>IFERROR(__xludf.DUMMYFUNCTION("""COMPUTED_VALUE"""),1157.0)</f>
        <v>1157</v>
      </c>
      <c r="I2994" s="24" t="str">
        <f>IFERROR(__xludf.DUMMYFUNCTION("""COMPUTED_VALUE"""),"Fruit cups")</f>
        <v>Fruit cups</v>
      </c>
    </row>
    <row r="2995">
      <c r="A2995" s="23">
        <f>IFERROR(__xludf.DUMMYFUNCTION("""COMPUTED_VALUE"""),44796.71145461806)</f>
        <v>44796.71145</v>
      </c>
      <c r="B2995" s="24" t="str">
        <f>IFERROR(__xludf.DUMMYFUNCTION("""COMPUTED_VALUE"""),"Kaneesha (expired) ")</f>
        <v>Kaneesha (expired) </v>
      </c>
      <c r="C2995" s="24">
        <f>IFERROR(__xludf.DUMMYFUNCTION("""COMPUTED_VALUE"""),34.0)</f>
        <v>34</v>
      </c>
      <c r="D2995" s="24"/>
      <c r="F2995" s="23">
        <f>IFERROR(__xludf.DUMMYFUNCTION("""COMPUTED_VALUE"""),44855.672488391196)</f>
        <v>44855.67249</v>
      </c>
      <c r="G2995" s="24" t="str">
        <f>IFERROR(__xludf.DUMMYFUNCTION("""COMPUTED_VALUE"""),"Claire")</f>
        <v>Claire</v>
      </c>
      <c r="H2995" s="24">
        <f>IFERROR(__xludf.DUMMYFUNCTION("""COMPUTED_VALUE"""),368.0)</f>
        <v>368</v>
      </c>
      <c r="I2995" s="24" t="str">
        <f>IFERROR(__xludf.DUMMYFUNCTION("""COMPUTED_VALUE"""),"Assorted Dry")</f>
        <v>Assorted Dry</v>
      </c>
    </row>
    <row r="2996">
      <c r="A2996" s="23">
        <f>IFERROR(__xludf.DUMMYFUNCTION("""COMPUTED_VALUE"""),44796.74811241898)</f>
        <v>44796.74811</v>
      </c>
      <c r="B2996" s="24" t="str">
        <f>IFERROR(__xludf.DUMMYFUNCTION("""COMPUTED_VALUE"""),"Jean.    Extra")</f>
        <v>Jean.    Extra</v>
      </c>
      <c r="C2996" s="24">
        <f>IFERROR(__xludf.DUMMYFUNCTION("""COMPUTED_VALUE"""),75.0)</f>
        <v>75</v>
      </c>
      <c r="D2996" s="24"/>
      <c r="F2996" s="23">
        <f>IFERROR(__xludf.DUMMYFUNCTION("""COMPUTED_VALUE"""),44855.672799699074)</f>
        <v>44855.6728</v>
      </c>
      <c r="G2996" s="24" t="str">
        <f>IFERROR(__xludf.DUMMYFUNCTION("""COMPUTED_VALUE"""),"Claire")</f>
        <v>Claire</v>
      </c>
      <c r="H2996" s="24">
        <f>IFERROR(__xludf.DUMMYFUNCTION("""COMPUTED_VALUE"""),354.0)</f>
        <v>354</v>
      </c>
      <c r="I2996" s="24" t="str">
        <f>IFERROR(__xludf.DUMMYFUNCTION("""COMPUTED_VALUE"""),"Produce")</f>
        <v>Produce</v>
      </c>
    </row>
    <row r="2997">
      <c r="A2997" s="23">
        <f>IFERROR(__xludf.DUMMYFUNCTION("""COMPUTED_VALUE"""),44796.7483096412)</f>
        <v>44796.74831</v>
      </c>
      <c r="B2997" s="24" t="str">
        <f>IFERROR(__xludf.DUMMYFUNCTION("""COMPUTED_VALUE"""),"Jean")</f>
        <v>Jean</v>
      </c>
      <c r="C2997" s="24">
        <f>IFERROR(__xludf.DUMMYFUNCTION("""COMPUTED_VALUE"""),51.0)</f>
        <v>51</v>
      </c>
      <c r="D2997" s="24"/>
      <c r="F2997" s="23">
        <f>IFERROR(__xludf.DUMMYFUNCTION("""COMPUTED_VALUE"""),44855.67333050926)</f>
        <v>44855.67333</v>
      </c>
      <c r="G2997" s="24" t="str">
        <f>IFERROR(__xludf.DUMMYFUNCTION("""COMPUTED_VALUE"""),"Claire")</f>
        <v>Claire</v>
      </c>
      <c r="H2997" s="24">
        <f>IFERROR(__xludf.DUMMYFUNCTION("""COMPUTED_VALUE"""),371.0)</f>
        <v>371</v>
      </c>
      <c r="I2997" s="24" t="str">
        <f>IFERROR(__xludf.DUMMYFUNCTION("""COMPUTED_VALUE"""),"Assorted Dry")</f>
        <v>Assorted Dry</v>
      </c>
    </row>
    <row r="2998">
      <c r="A2998" s="23">
        <f>IFERROR(__xludf.DUMMYFUNCTION("""COMPUTED_VALUE"""),44797.0)</f>
        <v>44797</v>
      </c>
      <c r="B2998" s="24" t="str">
        <f>IFERROR(__xludf.DUMMYFUNCTION("""COMPUTED_VALUE"""),"Denise Wilkins")</f>
        <v>Denise Wilkins</v>
      </c>
      <c r="C2998" s="24">
        <f>IFERROR(__xludf.DUMMYFUNCTION("""COMPUTED_VALUE"""),40.0)</f>
        <v>40</v>
      </c>
      <c r="D2998" s="24"/>
      <c r="F2998" s="23">
        <f>IFERROR(__xludf.DUMMYFUNCTION("""COMPUTED_VALUE"""),44855.680596516206)</f>
        <v>44855.6806</v>
      </c>
      <c r="G2998" s="24" t="str">
        <f>IFERROR(__xludf.DUMMYFUNCTION("""COMPUTED_VALUE"""),"Claire")</f>
        <v>Claire</v>
      </c>
      <c r="H2998" s="24">
        <f>IFERROR(__xludf.DUMMYFUNCTION("""COMPUTED_VALUE"""),1054.0)</f>
        <v>1054</v>
      </c>
      <c r="I2998" s="24" t="str">
        <f>IFERROR(__xludf.DUMMYFUNCTION("""COMPUTED_VALUE"""),"Fruit cups")</f>
        <v>Fruit cups</v>
      </c>
    </row>
    <row r="2999">
      <c r="A2999" s="23">
        <f>IFERROR(__xludf.DUMMYFUNCTION("""COMPUTED_VALUE"""),44797.0)</f>
        <v>44797</v>
      </c>
      <c r="B2999" s="24" t="str">
        <f>IFERROR(__xludf.DUMMYFUNCTION("""COMPUTED_VALUE"""),"Dorja Marshall")</f>
        <v>Dorja Marshall</v>
      </c>
      <c r="C2999" s="24">
        <f>IFERROR(__xludf.DUMMYFUNCTION("""COMPUTED_VALUE"""),20.0)</f>
        <v>20</v>
      </c>
      <c r="D2999" s="24"/>
      <c r="F2999" s="23">
        <f>IFERROR(__xludf.DUMMYFUNCTION("""COMPUTED_VALUE"""),44855.68082179398)</f>
        <v>44855.68082</v>
      </c>
      <c r="G2999" s="24" t="str">
        <f>IFERROR(__xludf.DUMMYFUNCTION("""COMPUTED_VALUE"""),"Claire")</f>
        <v>Claire</v>
      </c>
      <c r="H2999" s="24">
        <f>IFERROR(__xludf.DUMMYFUNCTION("""COMPUTED_VALUE"""),149.0)</f>
        <v>149</v>
      </c>
      <c r="I2999" s="24" t="str">
        <f>IFERROR(__xludf.DUMMYFUNCTION("""COMPUTED_VALUE"""),"Snacks")</f>
        <v>Snacks</v>
      </c>
    </row>
    <row r="3000">
      <c r="A3000" s="23">
        <f>IFERROR(__xludf.DUMMYFUNCTION("""COMPUTED_VALUE"""),44797.0)</f>
        <v>44797</v>
      </c>
      <c r="B3000" s="24" t="str">
        <f>IFERROR(__xludf.DUMMYFUNCTION("""COMPUTED_VALUE"""),"Dee Satterfield")</f>
        <v>Dee Satterfield</v>
      </c>
      <c r="C3000" s="24">
        <f>IFERROR(__xludf.DUMMYFUNCTION("""COMPUTED_VALUE"""),20.0)</f>
        <v>20</v>
      </c>
      <c r="D3000" s="24"/>
      <c r="F3000" s="23">
        <f>IFERROR(__xludf.DUMMYFUNCTION("""COMPUTED_VALUE"""),44855.700169375)</f>
        <v>44855.70017</v>
      </c>
      <c r="G3000" s="24" t="str">
        <f>IFERROR(__xludf.DUMMYFUNCTION("""COMPUTED_VALUE"""),"Sunita pathik")</f>
        <v>Sunita pathik</v>
      </c>
      <c r="H3000" s="24">
        <f>IFERROR(__xludf.DUMMYFUNCTION("""COMPUTED_VALUE"""),2.0)</f>
        <v>2</v>
      </c>
      <c r="I3000" s="24" t="str">
        <f>IFERROR(__xludf.DUMMYFUNCTION("""COMPUTED_VALUE"""),"Regular (up to 20lbs)")</f>
        <v>Regular (up to 20lbs)</v>
      </c>
    </row>
    <row r="3001">
      <c r="A3001" s="23">
        <f>IFERROR(__xludf.DUMMYFUNCTION("""COMPUTED_VALUE"""),44797.0)</f>
        <v>44797</v>
      </c>
      <c r="B3001" s="24" t="str">
        <f>IFERROR(__xludf.DUMMYFUNCTION("""COMPUTED_VALUE"""),"Maddie Pardes")</f>
        <v>Maddie Pardes</v>
      </c>
      <c r="C3001" s="24">
        <f>IFERROR(__xludf.DUMMYFUNCTION("""COMPUTED_VALUE"""),20.0)</f>
        <v>20</v>
      </c>
      <c r="D3001" s="24"/>
      <c r="F3001" s="23">
        <f>IFERROR(__xludf.DUMMYFUNCTION("""COMPUTED_VALUE"""),44855.701146064814)</f>
        <v>44855.70115</v>
      </c>
      <c r="G3001" s="24" t="str">
        <f>IFERROR(__xludf.DUMMYFUNCTION("""COMPUTED_VALUE"""),"Sunita pathik")</f>
        <v>Sunita pathik</v>
      </c>
      <c r="H3001" s="24">
        <f>IFERROR(__xludf.DUMMYFUNCTION("""COMPUTED_VALUE"""),138.0)</f>
        <v>138</v>
      </c>
      <c r="I3001" s="24" t="str">
        <f>IFERROR(__xludf.DUMMYFUNCTION("""COMPUTED_VALUE"""),"Assorted Fridge")</f>
        <v>Assorted Fridge</v>
      </c>
    </row>
    <row r="3002">
      <c r="A3002" s="23">
        <f>IFERROR(__xludf.DUMMYFUNCTION("""COMPUTED_VALUE"""),44797.0)</f>
        <v>44797</v>
      </c>
      <c r="B3002" s="24" t="str">
        <f>IFERROR(__xludf.DUMMYFUNCTION("""COMPUTED_VALUE"""),"Tyrese Springer")</f>
        <v>Tyrese Springer</v>
      </c>
      <c r="C3002" s="24">
        <f>IFERROR(__xludf.DUMMYFUNCTION("""COMPUTED_VALUE"""),20.0)</f>
        <v>20</v>
      </c>
      <c r="D3002" s="24"/>
      <c r="F3002" s="23">
        <f>IFERROR(__xludf.DUMMYFUNCTION("""COMPUTED_VALUE"""),44855.70162381944)</f>
        <v>44855.70162</v>
      </c>
      <c r="G3002" s="24" t="str">
        <f>IFERROR(__xludf.DUMMYFUNCTION("""COMPUTED_VALUE"""),"Maria Reyes ")</f>
        <v>Maria Reyes </v>
      </c>
      <c r="H3002" s="24">
        <f>IFERROR(__xludf.DUMMYFUNCTION("""COMPUTED_VALUE"""),4.0)</f>
        <v>4</v>
      </c>
      <c r="I3002" s="24" t="str">
        <f>IFERROR(__xludf.DUMMYFUNCTION("""COMPUTED_VALUE"""),"Regular (up to 20lbs)")</f>
        <v>Regular (up to 20lbs)</v>
      </c>
    </row>
    <row r="3003">
      <c r="A3003" s="23">
        <f>IFERROR(__xludf.DUMMYFUNCTION("""COMPUTED_VALUE"""),44797.0)</f>
        <v>44797</v>
      </c>
      <c r="B3003" s="24" t="str">
        <f>IFERROR(__xludf.DUMMYFUNCTION("""COMPUTED_VALUE"""),"Melissa Thomas")</f>
        <v>Melissa Thomas</v>
      </c>
      <c r="C3003" s="24">
        <f>IFERROR(__xludf.DUMMYFUNCTION("""COMPUTED_VALUE"""),20.0)</f>
        <v>20</v>
      </c>
      <c r="D3003" s="24"/>
      <c r="F3003" s="23">
        <f>IFERROR(__xludf.DUMMYFUNCTION("""COMPUTED_VALUE"""),44855.701694131945)</f>
        <v>44855.70169</v>
      </c>
      <c r="G3003" s="24" t="str">
        <f>IFERROR(__xludf.DUMMYFUNCTION("""COMPUTED_VALUE"""),"Angela Gutierrez")</f>
        <v>Angela Gutierrez</v>
      </c>
      <c r="H3003" s="24">
        <f>IFERROR(__xludf.DUMMYFUNCTION("""COMPUTED_VALUE"""),7.0)</f>
        <v>7</v>
      </c>
      <c r="I3003" s="24" t="str">
        <f>IFERROR(__xludf.DUMMYFUNCTION("""COMPUTED_VALUE"""),"Regular (up to 20lbs)")</f>
        <v>Regular (up to 20lbs)</v>
      </c>
    </row>
    <row r="3004">
      <c r="A3004" s="23">
        <f>IFERROR(__xludf.DUMMYFUNCTION("""COMPUTED_VALUE"""),44797.0)</f>
        <v>44797</v>
      </c>
      <c r="B3004" s="24" t="str">
        <f>IFERROR(__xludf.DUMMYFUNCTION("""COMPUTED_VALUE"""),"Raquel Bailey")</f>
        <v>Raquel Bailey</v>
      </c>
      <c r="C3004" s="24">
        <f>IFERROR(__xludf.DUMMYFUNCTION("""COMPUTED_VALUE"""),20.0)</f>
        <v>20</v>
      </c>
      <c r="D3004" s="24"/>
      <c r="F3004" s="23">
        <f>IFERROR(__xludf.DUMMYFUNCTION("""COMPUTED_VALUE"""),44855.701788425926)</f>
        <v>44855.70179</v>
      </c>
      <c r="G3004" s="24" t="str">
        <f>IFERROR(__xludf.DUMMYFUNCTION("""COMPUTED_VALUE"""),"Angela Gutierrez")</f>
        <v>Angela Gutierrez</v>
      </c>
      <c r="H3004" s="24">
        <f>IFERROR(__xludf.DUMMYFUNCTION("""COMPUTED_VALUE"""),2.0)</f>
        <v>2</v>
      </c>
      <c r="I3004" s="24" t="str">
        <f>IFERROR(__xludf.DUMMYFUNCTION("""COMPUTED_VALUE"""),"Damage/expired/extra")</f>
        <v>Damage/expired/extra</v>
      </c>
    </row>
    <row r="3005">
      <c r="A3005" s="23">
        <f>IFERROR(__xludf.DUMMYFUNCTION("""COMPUTED_VALUE"""),44797.57641971065)</f>
        <v>44797.57642</v>
      </c>
      <c r="B3005" s="24" t="str">
        <f>IFERROR(__xludf.DUMMYFUNCTION("""COMPUTED_VALUE"""),"Bud- sisson st dpw waters")</f>
        <v>Bud- sisson st dpw waters</v>
      </c>
      <c r="C3005" s="24">
        <f>IFERROR(__xludf.DUMMYFUNCTION("""COMPUTED_VALUE"""),12.0)</f>
        <v>12</v>
      </c>
      <c r="D3005" s="24"/>
      <c r="F3005" s="23">
        <f>IFERROR(__xludf.DUMMYFUNCTION("""COMPUTED_VALUE"""),44855.702288252316)</f>
        <v>44855.70229</v>
      </c>
      <c r="G3005" s="24" t="str">
        <f>IFERROR(__xludf.DUMMYFUNCTION("""COMPUTED_VALUE"""),"Beth Torres")</f>
        <v>Beth Torres</v>
      </c>
      <c r="H3005" s="24">
        <f>IFERROR(__xludf.DUMMYFUNCTION("""COMPUTED_VALUE"""),18.0)</f>
        <v>18</v>
      </c>
      <c r="I3005" s="24" t="str">
        <f>IFERROR(__xludf.DUMMYFUNCTION("""COMPUTED_VALUE"""),"Regular (up to 20lbs)")</f>
        <v>Regular (up to 20lbs)</v>
      </c>
    </row>
    <row r="3006">
      <c r="A3006" s="23">
        <f>IFERROR(__xludf.DUMMYFUNCTION("""COMPUTED_VALUE"""),44797.57678943287)</f>
        <v>44797.57679</v>
      </c>
      <c r="B3006" s="24" t="str">
        <f>IFERROR(__xludf.DUMMYFUNCTION("""COMPUTED_VALUE"""),"Bud Stracker- personal")</f>
        <v>Bud Stracker- personal</v>
      </c>
      <c r="C3006" s="24">
        <f>IFERROR(__xludf.DUMMYFUNCTION("""COMPUTED_VALUE"""),5.0)</f>
        <v>5</v>
      </c>
      <c r="D3006" s="24"/>
      <c r="F3006" s="23">
        <f>IFERROR(__xludf.DUMMYFUNCTION("""COMPUTED_VALUE"""),44855.70253769676)</f>
        <v>44855.70254</v>
      </c>
      <c r="G3006" s="24" t="str">
        <f>IFERROR(__xludf.DUMMYFUNCTION("""COMPUTED_VALUE"""),"Beth Torres")</f>
        <v>Beth Torres</v>
      </c>
      <c r="H3006" s="24">
        <f>IFERROR(__xludf.DUMMYFUNCTION("""COMPUTED_VALUE"""),12.0)</f>
        <v>12</v>
      </c>
      <c r="I3006" s="24" t="str">
        <f>IFERROR(__xludf.DUMMYFUNCTION("""COMPUTED_VALUE"""),"Damage/expired/extra")</f>
        <v>Damage/expired/extra</v>
      </c>
    </row>
    <row r="3007">
      <c r="A3007" s="23">
        <f>IFERROR(__xludf.DUMMYFUNCTION("""COMPUTED_VALUE"""),44797.83648583334)</f>
        <v>44797.83649</v>
      </c>
      <c r="B3007" s="24" t="str">
        <f>IFERROR(__xludf.DUMMYFUNCTION("""COMPUTED_VALUE"""),"Connor Gephart")</f>
        <v>Connor Gephart</v>
      </c>
      <c r="C3007" s="24">
        <f>IFERROR(__xludf.DUMMYFUNCTION("""COMPUTED_VALUE"""),18.0)</f>
        <v>18</v>
      </c>
      <c r="D3007" s="24"/>
      <c r="F3007" s="23">
        <f>IFERROR(__xludf.DUMMYFUNCTION("""COMPUTED_VALUE"""),44855.70748256944)</f>
        <v>44855.70748</v>
      </c>
      <c r="G3007" s="24" t="str">
        <f>IFERROR(__xludf.DUMMYFUNCTION("""COMPUTED_VALUE"""),"Yulia")</f>
        <v>Yulia</v>
      </c>
      <c r="H3007" s="24">
        <f>IFERROR(__xludf.DUMMYFUNCTION("""COMPUTED_VALUE"""),20.0)</f>
        <v>20</v>
      </c>
      <c r="I3007" s="24" t="str">
        <f>IFERROR(__xludf.DUMMYFUNCTION("""COMPUTED_VALUE"""),"Regular (up to 20lbs)")</f>
        <v>Regular (up to 20lbs)</v>
      </c>
    </row>
    <row r="3008">
      <c r="A3008" s="23">
        <f>IFERROR(__xludf.DUMMYFUNCTION("""COMPUTED_VALUE"""),44797.840357754634)</f>
        <v>44797.84036</v>
      </c>
      <c r="B3008" s="24" t="str">
        <f>IFERROR(__xludf.DUMMYFUNCTION("""COMPUTED_VALUE"""),"Jonathan Ibironke")</f>
        <v>Jonathan Ibironke</v>
      </c>
      <c r="C3008" s="24">
        <f>IFERROR(__xludf.DUMMYFUNCTION("""COMPUTED_VALUE"""),18.0)</f>
        <v>18</v>
      </c>
      <c r="D3008" s="24"/>
      <c r="F3008" s="23">
        <f>IFERROR(__xludf.DUMMYFUNCTION("""COMPUTED_VALUE"""),44855.711697060186)</f>
        <v>44855.7117</v>
      </c>
      <c r="G3008" s="24" t="str">
        <f>IFERROR(__xludf.DUMMYFUNCTION("""COMPUTED_VALUE"""),"Juanita Chandler ")</f>
        <v>Juanita Chandler </v>
      </c>
      <c r="H3008" s="24">
        <f>IFERROR(__xludf.DUMMYFUNCTION("""COMPUTED_VALUE"""),6.0)</f>
        <v>6</v>
      </c>
      <c r="I3008" s="24" t="str">
        <f>IFERROR(__xludf.DUMMYFUNCTION("""COMPUTED_VALUE"""),"Regular (up to 20lbs)")</f>
        <v>Regular (up to 20lbs)</v>
      </c>
    </row>
    <row r="3009">
      <c r="A3009" s="23">
        <f>IFERROR(__xludf.DUMMYFUNCTION("""COMPUTED_VALUE"""),44797.840883206016)</f>
        <v>44797.84088</v>
      </c>
      <c r="B3009" s="24" t="str">
        <f>IFERROR(__xludf.DUMMYFUNCTION("""COMPUTED_VALUE"""),"Rilynn")</f>
        <v>Rilynn</v>
      </c>
      <c r="C3009" s="24">
        <f>IFERROR(__xludf.DUMMYFUNCTION("""COMPUTED_VALUE"""),20.0)</f>
        <v>20</v>
      </c>
      <c r="D3009" s="24"/>
      <c r="F3009" s="23">
        <f>IFERROR(__xludf.DUMMYFUNCTION("""COMPUTED_VALUE"""),44855.71205784722)</f>
        <v>44855.71206</v>
      </c>
      <c r="G3009" s="24" t="str">
        <f>IFERROR(__xludf.DUMMYFUNCTION("""COMPUTED_VALUE"""),"Juanita Chandler ")</f>
        <v>Juanita Chandler </v>
      </c>
      <c r="H3009" s="24">
        <f>IFERROR(__xludf.DUMMYFUNCTION("""COMPUTED_VALUE"""),3.0)</f>
        <v>3</v>
      </c>
      <c r="I3009" s="24" t="str">
        <f>IFERROR(__xludf.DUMMYFUNCTION("""COMPUTED_VALUE"""),"Damage/expired/extra")</f>
        <v>Damage/expired/extra</v>
      </c>
    </row>
    <row r="3010">
      <c r="A3010" s="23">
        <f>IFERROR(__xludf.DUMMYFUNCTION("""COMPUTED_VALUE"""),44797.84173483796)</f>
        <v>44797.84173</v>
      </c>
      <c r="B3010" s="24" t="str">
        <f>IFERROR(__xludf.DUMMYFUNCTION("""COMPUTED_VALUE"""),"Rilynn")</f>
        <v>Rilynn</v>
      </c>
      <c r="C3010" s="24">
        <f>IFERROR(__xludf.DUMMYFUNCTION("""COMPUTED_VALUE"""),1.0)</f>
        <v>1</v>
      </c>
      <c r="D3010" s="24"/>
      <c r="F3010" s="23">
        <f>IFERROR(__xludf.DUMMYFUNCTION("""COMPUTED_VALUE"""),44856.0)</f>
        <v>44856</v>
      </c>
      <c r="G3010" s="24" t="str">
        <f>IFERROR(__xludf.DUMMYFUNCTION("""COMPUTED_VALUE"""),"Claire")</f>
        <v>Claire</v>
      </c>
      <c r="H3010" s="24">
        <f>IFERROR(__xludf.DUMMYFUNCTION("""COMPUTED_VALUE"""),151.0)</f>
        <v>151</v>
      </c>
      <c r="I3010" s="24" t="str">
        <f>IFERROR(__xludf.DUMMYFUNCTION("""COMPUTED_VALUE"""),"Dairy")</f>
        <v>Dairy</v>
      </c>
    </row>
    <row r="3011">
      <c r="A3011" s="23">
        <f>IFERROR(__xludf.DUMMYFUNCTION("""COMPUTED_VALUE"""),44797.842079594906)</f>
        <v>44797.84208</v>
      </c>
      <c r="B3011" s="24" t="str">
        <f>IFERROR(__xludf.DUMMYFUNCTION("""COMPUTED_VALUE"""),"Shinaya Todd")</f>
        <v>Shinaya Todd</v>
      </c>
      <c r="C3011" s="24">
        <f>IFERROR(__xludf.DUMMYFUNCTION("""COMPUTED_VALUE"""),18.0)</f>
        <v>18</v>
      </c>
      <c r="D3011" s="24"/>
      <c r="F3011" s="23">
        <f>IFERROR(__xludf.DUMMYFUNCTION("""COMPUTED_VALUE"""),44856.0)</f>
        <v>44856</v>
      </c>
      <c r="G3011" s="24" t="str">
        <f>IFERROR(__xludf.DUMMYFUNCTION("""COMPUTED_VALUE"""),"Claire")</f>
        <v>Claire</v>
      </c>
      <c r="H3011" s="24">
        <f>IFERROR(__xludf.DUMMYFUNCTION("""COMPUTED_VALUE"""),191.0)</f>
        <v>191</v>
      </c>
      <c r="I3011" s="24" t="str">
        <f>IFERROR(__xludf.DUMMYFUNCTION("""COMPUTED_VALUE"""),"Paper Supplies")</f>
        <v>Paper Supplies</v>
      </c>
    </row>
    <row r="3012">
      <c r="A3012" s="23">
        <f>IFERROR(__xludf.DUMMYFUNCTION("""COMPUTED_VALUE"""),44797.84307311343)</f>
        <v>44797.84307</v>
      </c>
      <c r="B3012" s="24" t="str">
        <f>IFERROR(__xludf.DUMMYFUNCTION("""COMPUTED_VALUE"""),"Camille")</f>
        <v>Camille</v>
      </c>
      <c r="C3012" s="24">
        <f>IFERROR(__xludf.DUMMYFUNCTION("""COMPUTED_VALUE"""),20.0)</f>
        <v>20</v>
      </c>
      <c r="D3012" s="24"/>
      <c r="F3012" s="23">
        <f>IFERROR(__xludf.DUMMYFUNCTION("""COMPUTED_VALUE"""),44856.0)</f>
        <v>44856</v>
      </c>
      <c r="G3012" s="24" t="str">
        <f>IFERROR(__xludf.DUMMYFUNCTION("""COMPUTED_VALUE"""),"Claire")</f>
        <v>Claire</v>
      </c>
      <c r="H3012" s="24">
        <f>IFERROR(__xludf.DUMMYFUNCTION("""COMPUTED_VALUE"""),90.0)</f>
        <v>90</v>
      </c>
      <c r="I3012" s="24" t="str">
        <f>IFERROR(__xludf.DUMMYFUNCTION("""COMPUTED_VALUE"""),"Household")</f>
        <v>Household</v>
      </c>
    </row>
    <row r="3013">
      <c r="A3013" s="23">
        <f>IFERROR(__xludf.DUMMYFUNCTION("""COMPUTED_VALUE"""),44798.0)</f>
        <v>44798</v>
      </c>
      <c r="B3013" s="24" t="str">
        <f>IFERROR(__xludf.DUMMYFUNCTION("""COMPUTED_VALUE"""),"Hong Xue")</f>
        <v>Hong Xue</v>
      </c>
      <c r="C3013" s="24">
        <f>IFERROR(__xludf.DUMMYFUNCTION("""COMPUTED_VALUE"""),20.0)</f>
        <v>20</v>
      </c>
      <c r="D3013" s="24"/>
      <c r="F3013" s="23">
        <f>IFERROR(__xludf.DUMMYFUNCTION("""COMPUTED_VALUE"""),44856.0)</f>
        <v>44856</v>
      </c>
      <c r="G3013" s="24" t="str">
        <f>IFERROR(__xludf.DUMMYFUNCTION("""COMPUTED_VALUE"""),"Claire")</f>
        <v>Claire</v>
      </c>
      <c r="H3013" s="24">
        <f>IFERROR(__xludf.DUMMYFUNCTION("""COMPUTED_VALUE"""),143.0)</f>
        <v>143</v>
      </c>
      <c r="I3013" s="24" t="str">
        <f>IFERROR(__xludf.DUMMYFUNCTION("""COMPUTED_VALUE"""),"Snacks")</f>
        <v>Snacks</v>
      </c>
    </row>
    <row r="3014">
      <c r="A3014" s="23">
        <f>IFERROR(__xludf.DUMMYFUNCTION("""COMPUTED_VALUE"""),44798.0)</f>
        <v>44798</v>
      </c>
      <c r="B3014" s="24" t="str">
        <f>IFERROR(__xludf.DUMMYFUNCTION("""COMPUTED_VALUE"""),"Hong Xue")</f>
        <v>Hong Xue</v>
      </c>
      <c r="C3014" s="24">
        <f>IFERROR(__xludf.DUMMYFUNCTION("""COMPUTED_VALUE"""),38.0)</f>
        <v>38</v>
      </c>
      <c r="D3014" s="24"/>
      <c r="F3014" s="23">
        <f>IFERROR(__xludf.DUMMYFUNCTION("""COMPUTED_VALUE"""),44856.0)</f>
        <v>44856</v>
      </c>
      <c r="G3014" s="24" t="str">
        <f>IFERROR(__xludf.DUMMYFUNCTION("""COMPUTED_VALUE"""),"Claire")</f>
        <v>Claire</v>
      </c>
      <c r="H3014" s="24">
        <f>IFERROR(__xludf.DUMMYFUNCTION("""COMPUTED_VALUE"""),914.0)</f>
        <v>914</v>
      </c>
      <c r="I3014" s="24" t="str">
        <f>IFERROR(__xludf.DUMMYFUNCTION("""COMPUTED_VALUE"""),"Fruit cups")</f>
        <v>Fruit cups</v>
      </c>
    </row>
    <row r="3015">
      <c r="A3015" s="23">
        <f>IFERROR(__xludf.DUMMYFUNCTION("""COMPUTED_VALUE"""),44798.0)</f>
        <v>44798</v>
      </c>
      <c r="B3015" s="24" t="str">
        <f>IFERROR(__xludf.DUMMYFUNCTION("""COMPUTED_VALUE"""),"Denise Brown")</f>
        <v>Denise Brown</v>
      </c>
      <c r="C3015" s="24">
        <f>IFERROR(__xludf.DUMMYFUNCTION("""COMPUTED_VALUE"""),12.0)</f>
        <v>12</v>
      </c>
      <c r="D3015" s="24"/>
      <c r="F3015" s="23">
        <f>IFERROR(__xludf.DUMMYFUNCTION("""COMPUTED_VALUE"""),44856.0)</f>
        <v>44856</v>
      </c>
      <c r="G3015" s="24" t="str">
        <f>IFERROR(__xludf.DUMMYFUNCTION("""COMPUTED_VALUE"""),"Claire")</f>
        <v>Claire</v>
      </c>
      <c r="H3015" s="24">
        <f>IFERROR(__xludf.DUMMYFUNCTION("""COMPUTED_VALUE"""),241.0)</f>
        <v>241</v>
      </c>
      <c r="I3015" s="24" t="str">
        <f>IFERROR(__xludf.DUMMYFUNCTION("""COMPUTED_VALUE"""),"Paper Supplies")</f>
        <v>Paper Supplies</v>
      </c>
    </row>
    <row r="3016">
      <c r="A3016" s="23">
        <f>IFERROR(__xludf.DUMMYFUNCTION("""COMPUTED_VALUE"""),44798.0)</f>
        <v>44798</v>
      </c>
      <c r="B3016" s="24" t="str">
        <f>IFERROR(__xludf.DUMMYFUNCTION("""COMPUTED_VALUE"""),"Denise Brown")</f>
        <v>Denise Brown</v>
      </c>
      <c r="C3016" s="24">
        <f>IFERROR(__xludf.DUMMYFUNCTION("""COMPUTED_VALUE"""),7.0)</f>
        <v>7</v>
      </c>
      <c r="D3016" s="24"/>
      <c r="F3016" s="23">
        <f>IFERROR(__xludf.DUMMYFUNCTION("""COMPUTED_VALUE"""),44856.0)</f>
        <v>44856</v>
      </c>
      <c r="G3016" s="24" t="str">
        <f>IFERROR(__xludf.DUMMYFUNCTION("""COMPUTED_VALUE"""),"Claire")</f>
        <v>Claire</v>
      </c>
      <c r="H3016" s="24">
        <f>IFERROR(__xludf.DUMMYFUNCTION("""COMPUTED_VALUE"""),1395.0)</f>
        <v>1395</v>
      </c>
      <c r="I3016" s="24" t="str">
        <f>IFERROR(__xludf.DUMMYFUNCTION("""COMPUTED_VALUE"""),"Drinks [Dry]")</f>
        <v>Drinks [Dry]</v>
      </c>
    </row>
    <row r="3017">
      <c r="A3017" s="23">
        <f>IFERROR(__xludf.DUMMYFUNCTION("""COMPUTED_VALUE"""),44798.0)</f>
        <v>44798</v>
      </c>
      <c r="B3017" s="24" t="str">
        <f>IFERROR(__xludf.DUMMYFUNCTION("""COMPUTED_VALUE"""),"Raquel Bailey")</f>
        <v>Raquel Bailey</v>
      </c>
      <c r="C3017" s="24">
        <f>IFERROR(__xludf.DUMMYFUNCTION("""COMPUTED_VALUE"""),22.0)</f>
        <v>22</v>
      </c>
      <c r="D3017" s="24"/>
      <c r="F3017" s="23">
        <f>IFERROR(__xludf.DUMMYFUNCTION("""COMPUTED_VALUE"""),44856.0)</f>
        <v>44856</v>
      </c>
      <c r="G3017" s="24" t="str">
        <f>IFERROR(__xludf.DUMMYFUNCTION("""COMPUTED_VALUE"""),"Claire")</f>
        <v>Claire</v>
      </c>
      <c r="H3017" s="24">
        <f>IFERROR(__xludf.DUMMYFUNCTION("""COMPUTED_VALUE"""),1312.0)</f>
        <v>1312</v>
      </c>
      <c r="I3017" s="24" t="str">
        <f>IFERROR(__xludf.DUMMYFUNCTION("""COMPUTED_VALUE"""),"Drinks [Dry]")</f>
        <v>Drinks [Dry]</v>
      </c>
    </row>
    <row r="3018">
      <c r="A3018" s="23">
        <f>IFERROR(__xludf.DUMMYFUNCTION("""COMPUTED_VALUE"""),44798.0)</f>
        <v>44798</v>
      </c>
      <c r="B3018" s="24" t="str">
        <f>IFERROR(__xludf.DUMMYFUNCTION("""COMPUTED_VALUE"""),"Adriana Hill")</f>
        <v>Adriana Hill</v>
      </c>
      <c r="C3018" s="24">
        <f>IFERROR(__xludf.DUMMYFUNCTION("""COMPUTED_VALUE"""),20.0)</f>
        <v>20</v>
      </c>
      <c r="D3018" s="24"/>
      <c r="F3018" s="23">
        <f>IFERROR(__xludf.DUMMYFUNCTION("""COMPUTED_VALUE"""),44856.0)</f>
        <v>44856</v>
      </c>
      <c r="G3018" s="24" t="str">
        <f>IFERROR(__xludf.DUMMYFUNCTION("""COMPUTED_VALUE"""),"Claire")</f>
        <v>Claire</v>
      </c>
      <c r="H3018" s="24">
        <f>IFERROR(__xludf.DUMMYFUNCTION("""COMPUTED_VALUE"""),614.0)</f>
        <v>614</v>
      </c>
      <c r="I3018" s="24" t="str">
        <f>IFERROR(__xludf.DUMMYFUNCTION("""COMPUTED_VALUE"""),"Fruit cups")</f>
        <v>Fruit cups</v>
      </c>
    </row>
    <row r="3019">
      <c r="A3019" s="23">
        <f>IFERROR(__xludf.DUMMYFUNCTION("""COMPUTED_VALUE"""),44798.0)</f>
        <v>44798</v>
      </c>
      <c r="B3019" s="24" t="str">
        <f>IFERROR(__xludf.DUMMYFUNCTION("""COMPUTED_VALUE"""),"Adriana Hill")</f>
        <v>Adriana Hill</v>
      </c>
      <c r="C3019" s="24">
        <f>IFERROR(__xludf.DUMMYFUNCTION("""COMPUTED_VALUE"""),5.0)</f>
        <v>5</v>
      </c>
      <c r="D3019" s="24"/>
      <c r="F3019" s="23">
        <f>IFERROR(__xludf.DUMMYFUNCTION("""COMPUTED_VALUE"""),44856.0)</f>
        <v>44856</v>
      </c>
      <c r="G3019" s="24" t="str">
        <f>IFERROR(__xludf.DUMMYFUNCTION("""COMPUTED_VALUE"""),"Claire")</f>
        <v>Claire</v>
      </c>
      <c r="H3019" s="24">
        <f>IFERROR(__xludf.DUMMYFUNCTION("""COMPUTED_VALUE"""),757.0)</f>
        <v>757</v>
      </c>
      <c r="I3019" s="24" t="str">
        <f>IFERROR(__xludf.DUMMYFUNCTION("""COMPUTED_VALUE"""),"Produce")</f>
        <v>Produce</v>
      </c>
    </row>
    <row r="3020">
      <c r="A3020" s="23">
        <f>IFERROR(__xludf.DUMMYFUNCTION("""COMPUTED_VALUE"""),44798.0)</f>
        <v>44798</v>
      </c>
      <c r="B3020" s="24" t="str">
        <f>IFERROR(__xludf.DUMMYFUNCTION("""COMPUTED_VALUE"""),"Sheneil Black")</f>
        <v>Sheneil Black</v>
      </c>
      <c r="C3020" s="24">
        <f>IFERROR(__xludf.DUMMYFUNCTION("""COMPUTED_VALUE"""),20.0)</f>
        <v>20</v>
      </c>
      <c r="D3020" s="24"/>
      <c r="F3020" s="23">
        <f>IFERROR(__xludf.DUMMYFUNCTION("""COMPUTED_VALUE"""),44856.0)</f>
        <v>44856</v>
      </c>
      <c r="G3020" s="24" t="str">
        <f>IFERROR(__xludf.DUMMYFUNCTION("""COMPUTED_VALUE"""),"Claire")</f>
        <v>Claire</v>
      </c>
      <c r="H3020" s="24">
        <f>IFERROR(__xludf.DUMMYFUNCTION("""COMPUTED_VALUE"""),299.0)</f>
        <v>299</v>
      </c>
      <c r="I3020" s="24" t="str">
        <f>IFERROR(__xludf.DUMMYFUNCTION("""COMPUTED_VALUE"""),"Produce")</f>
        <v>Produce</v>
      </c>
    </row>
    <row r="3021">
      <c r="A3021" s="23">
        <f>IFERROR(__xludf.DUMMYFUNCTION("""COMPUTED_VALUE"""),44798.0)</f>
        <v>44798</v>
      </c>
      <c r="B3021" s="24" t="str">
        <f>IFERROR(__xludf.DUMMYFUNCTION("""COMPUTED_VALUE"""),"Sheneil Black")</f>
        <v>Sheneil Black</v>
      </c>
      <c r="C3021" s="24">
        <f>IFERROR(__xludf.DUMMYFUNCTION("""COMPUTED_VALUE"""),16.0)</f>
        <v>16</v>
      </c>
      <c r="D3021" s="24"/>
      <c r="F3021" s="23">
        <f>IFERROR(__xludf.DUMMYFUNCTION("""COMPUTED_VALUE"""),44856.0)</f>
        <v>44856</v>
      </c>
      <c r="G3021" s="24" t="str">
        <f>IFERROR(__xludf.DUMMYFUNCTION("""COMPUTED_VALUE"""),"Claire")</f>
        <v>Claire</v>
      </c>
      <c r="H3021" s="24">
        <f>IFERROR(__xludf.DUMMYFUNCTION("""COMPUTED_VALUE"""),781.0)</f>
        <v>781</v>
      </c>
      <c r="I3021" s="24" t="str">
        <f>IFERROR(__xludf.DUMMYFUNCTION("""COMPUTED_VALUE"""),"Boxes")</f>
        <v>Boxes</v>
      </c>
    </row>
    <row r="3022">
      <c r="A3022" s="23">
        <f>IFERROR(__xludf.DUMMYFUNCTION("""COMPUTED_VALUE"""),44798.70601369213)</f>
        <v>44798.70601</v>
      </c>
      <c r="B3022" s="24" t="str">
        <f>IFERROR(__xludf.DUMMYFUNCTION("""COMPUTED_VALUE"""),"Jean")</f>
        <v>Jean</v>
      </c>
      <c r="C3022" s="24">
        <f>IFERROR(__xludf.DUMMYFUNCTION("""COMPUTED_VALUE"""),30.0)</f>
        <v>30</v>
      </c>
      <c r="D3022" s="24"/>
      <c r="F3022" s="23">
        <f>IFERROR(__xludf.DUMMYFUNCTION("""COMPUTED_VALUE"""),44856.0)</f>
        <v>44856</v>
      </c>
      <c r="G3022" s="24" t="str">
        <f>IFERROR(__xludf.DUMMYFUNCTION("""COMPUTED_VALUE"""),"Claire")</f>
        <v>Claire</v>
      </c>
      <c r="H3022" s="24">
        <f>IFERROR(__xludf.DUMMYFUNCTION("""COMPUTED_VALUE"""),788.0)</f>
        <v>788</v>
      </c>
      <c r="I3022" s="24" t="str">
        <f>IFERROR(__xludf.DUMMYFUNCTION("""COMPUTED_VALUE"""),"Boxes")</f>
        <v>Boxes</v>
      </c>
    </row>
    <row r="3023">
      <c r="A3023" s="23">
        <f>IFERROR(__xludf.DUMMYFUNCTION("""COMPUTED_VALUE"""),44798.706526458336)</f>
        <v>44798.70653</v>
      </c>
      <c r="B3023" s="24" t="str">
        <f>IFERROR(__xludf.DUMMYFUNCTION("""COMPUTED_VALUE"""),"Jean. Extra")</f>
        <v>Jean. Extra</v>
      </c>
      <c r="C3023" s="24">
        <f>IFERROR(__xludf.DUMMYFUNCTION("""COMPUTED_VALUE"""),6.0)</f>
        <v>6</v>
      </c>
      <c r="D3023" s="24"/>
      <c r="F3023" s="23">
        <f>IFERROR(__xludf.DUMMYFUNCTION("""COMPUTED_VALUE"""),44856.0)</f>
        <v>44856</v>
      </c>
      <c r="G3023" s="24" t="str">
        <f>IFERROR(__xludf.DUMMYFUNCTION("""COMPUTED_VALUE"""),"Claire")</f>
        <v>Claire</v>
      </c>
      <c r="H3023" s="24">
        <f>IFERROR(__xludf.DUMMYFUNCTION("""COMPUTED_VALUE"""),1224.0)</f>
        <v>1224</v>
      </c>
      <c r="I3023" s="24" t="str">
        <f>IFERROR(__xludf.DUMMYFUNCTION("""COMPUTED_VALUE"""),"Drinks [Dry]")</f>
        <v>Drinks [Dry]</v>
      </c>
    </row>
    <row r="3024">
      <c r="A3024" s="23">
        <f>IFERROR(__xludf.DUMMYFUNCTION("""COMPUTED_VALUE"""),44799.0)</f>
        <v>44799</v>
      </c>
      <c r="B3024" s="24" t="str">
        <f>IFERROR(__xludf.DUMMYFUNCTION("""COMPUTED_VALUE"""),"Juanita Chandler ")</f>
        <v>Juanita Chandler </v>
      </c>
      <c r="C3024" s="24">
        <f>IFERROR(__xludf.DUMMYFUNCTION("""COMPUTED_VALUE"""),6.0)</f>
        <v>6</v>
      </c>
      <c r="D3024" s="24"/>
      <c r="F3024" s="23">
        <f>IFERROR(__xludf.DUMMYFUNCTION("""COMPUTED_VALUE"""),44856.0)</f>
        <v>44856</v>
      </c>
      <c r="G3024" s="24" t="str">
        <f>IFERROR(__xludf.DUMMYFUNCTION("""COMPUTED_VALUE"""),"Claire")</f>
        <v>Claire</v>
      </c>
      <c r="H3024" s="24">
        <f>IFERROR(__xludf.DUMMYFUNCTION("""COMPUTED_VALUE"""),200.0)</f>
        <v>200</v>
      </c>
      <c r="I3024" s="24" t="str">
        <f>IFERROR(__xludf.DUMMYFUNCTION("""COMPUTED_VALUE"""),"Produce")</f>
        <v>Produce</v>
      </c>
    </row>
    <row r="3025">
      <c r="A3025" s="23">
        <f>IFERROR(__xludf.DUMMYFUNCTION("""COMPUTED_VALUE"""),44799.0)</f>
        <v>44799</v>
      </c>
      <c r="B3025" s="24" t="str">
        <f>IFERROR(__xludf.DUMMYFUNCTION("""COMPUTED_VALUE"""),"Juanita Chandler ")</f>
        <v>Juanita Chandler </v>
      </c>
      <c r="C3025" s="24">
        <f>IFERROR(__xludf.DUMMYFUNCTION("""COMPUTED_VALUE"""),7.0)</f>
        <v>7</v>
      </c>
      <c r="D3025" s="24"/>
      <c r="F3025" s="23">
        <f>IFERROR(__xludf.DUMMYFUNCTION("""COMPUTED_VALUE"""),44856.0)</f>
        <v>44856</v>
      </c>
      <c r="G3025" s="24" t="str">
        <f>IFERROR(__xludf.DUMMYFUNCTION("""COMPUTED_VALUE"""),"Claire")</f>
        <v>Claire</v>
      </c>
      <c r="H3025" s="24">
        <f>IFERROR(__xludf.DUMMYFUNCTION("""COMPUTED_VALUE"""),870.0)</f>
        <v>870</v>
      </c>
      <c r="I3025" s="24" t="str">
        <f>IFERROR(__xludf.DUMMYFUNCTION("""COMPUTED_VALUE"""),"Fruit cups")</f>
        <v>Fruit cups</v>
      </c>
    </row>
    <row r="3026">
      <c r="A3026" s="23">
        <f>IFERROR(__xludf.DUMMYFUNCTION("""COMPUTED_VALUE"""),44799.0)</f>
        <v>44799</v>
      </c>
      <c r="B3026" s="24" t="str">
        <f>IFERROR(__xludf.DUMMYFUNCTION("""COMPUTED_VALUE"""),"Lynette c")</f>
        <v>Lynette c</v>
      </c>
      <c r="C3026" s="24">
        <f>IFERROR(__xludf.DUMMYFUNCTION("""COMPUTED_VALUE"""),15.0)</f>
        <v>15</v>
      </c>
      <c r="D3026" s="24"/>
      <c r="F3026" s="23">
        <f>IFERROR(__xludf.DUMMYFUNCTION("""COMPUTED_VALUE"""),44856.0)</f>
        <v>44856</v>
      </c>
      <c r="G3026" s="24" t="str">
        <f>IFERROR(__xludf.DUMMYFUNCTION("""COMPUTED_VALUE"""),"Claire")</f>
        <v>Claire</v>
      </c>
      <c r="H3026" s="24">
        <f>IFERROR(__xludf.DUMMYFUNCTION("""COMPUTED_VALUE"""),312.0)</f>
        <v>312</v>
      </c>
      <c r="I3026" s="24" t="str">
        <f>IFERROR(__xludf.DUMMYFUNCTION("""COMPUTED_VALUE"""),"Produce")</f>
        <v>Produce</v>
      </c>
    </row>
    <row r="3027">
      <c r="A3027" s="23">
        <f>IFERROR(__xludf.DUMMYFUNCTION("""COMPUTED_VALUE"""),44800.0)</f>
        <v>44800</v>
      </c>
      <c r="B3027" s="24" t="str">
        <f>IFERROR(__xludf.DUMMYFUNCTION("""COMPUTED_VALUE"""),"Ryan Murphy")</f>
        <v>Ryan Murphy</v>
      </c>
      <c r="C3027" s="24">
        <f>IFERROR(__xludf.DUMMYFUNCTION("""COMPUTED_VALUE"""),15.0)</f>
        <v>15</v>
      </c>
      <c r="D3027" s="24"/>
      <c r="F3027" s="23">
        <f>IFERROR(__xludf.DUMMYFUNCTION("""COMPUTED_VALUE"""),44856.0)</f>
        <v>44856</v>
      </c>
      <c r="G3027" s="24" t="str">
        <f>IFERROR(__xludf.DUMMYFUNCTION("""COMPUTED_VALUE"""),"Claire")</f>
        <v>Claire</v>
      </c>
      <c r="H3027" s="24">
        <f>IFERROR(__xludf.DUMMYFUNCTION("""COMPUTED_VALUE"""),126.0)</f>
        <v>126</v>
      </c>
      <c r="I3027" s="24" t="str">
        <f>IFERROR(__xludf.DUMMYFUNCTION("""COMPUTED_VALUE"""),"Snacks")</f>
        <v>Snacks</v>
      </c>
    </row>
    <row r="3028">
      <c r="A3028" s="23">
        <f>IFERROR(__xludf.DUMMYFUNCTION("""COMPUTED_VALUE"""),44800.0)</f>
        <v>44800</v>
      </c>
      <c r="B3028" s="24" t="str">
        <f>IFERROR(__xludf.DUMMYFUNCTION("""COMPUTED_VALUE"""),"Lee Little")</f>
        <v>Lee Little</v>
      </c>
      <c r="C3028" s="24">
        <f>IFERROR(__xludf.DUMMYFUNCTION("""COMPUTED_VALUE"""),13.0)</f>
        <v>13</v>
      </c>
      <c r="D3028" s="24"/>
      <c r="F3028" s="23">
        <f>IFERROR(__xludf.DUMMYFUNCTION("""COMPUTED_VALUE"""),44856.0)</f>
        <v>44856</v>
      </c>
      <c r="G3028" s="24" t="str">
        <f>IFERROR(__xludf.DUMMYFUNCTION("""COMPUTED_VALUE"""),"Claire")</f>
        <v>Claire</v>
      </c>
      <c r="H3028" s="24">
        <f>IFERROR(__xludf.DUMMYFUNCTION("""COMPUTED_VALUE"""),-186.0)</f>
        <v>-186</v>
      </c>
      <c r="I3028" s="24" t="str">
        <f>IFERROR(__xludf.DUMMYFUNCTION("""COMPUTED_VALUE"""),"Produce")</f>
        <v>Produce</v>
      </c>
    </row>
    <row r="3029">
      <c r="A3029" s="23">
        <f>IFERROR(__xludf.DUMMYFUNCTION("""COMPUTED_VALUE"""),44800.0)</f>
        <v>44800</v>
      </c>
      <c r="B3029" s="24" t="str">
        <f>IFERROR(__xludf.DUMMYFUNCTION("""COMPUTED_VALUE"""),"Denise Brown")</f>
        <v>Denise Brown</v>
      </c>
      <c r="C3029" s="24">
        <f>IFERROR(__xludf.DUMMYFUNCTION("""COMPUTED_VALUE"""),14.0)</f>
        <v>14</v>
      </c>
      <c r="D3029" s="24"/>
      <c r="F3029" s="23">
        <f>IFERROR(__xludf.DUMMYFUNCTION("""COMPUTED_VALUE"""),44856.0)</f>
        <v>44856</v>
      </c>
      <c r="G3029" s="24" t="str">
        <f>IFERROR(__xludf.DUMMYFUNCTION("""COMPUTED_VALUE"""),"Claire")</f>
        <v>Claire</v>
      </c>
      <c r="H3029" s="24">
        <f>IFERROR(__xludf.DUMMYFUNCTION("""COMPUTED_VALUE"""),-811.0)</f>
        <v>-811</v>
      </c>
      <c r="I3029" s="24" t="str">
        <f>IFERROR(__xludf.DUMMYFUNCTION("""COMPUTED_VALUE"""),"Drinks [Dry]")</f>
        <v>Drinks [Dry]</v>
      </c>
    </row>
    <row r="3030">
      <c r="A3030" s="23">
        <f>IFERROR(__xludf.DUMMYFUNCTION("""COMPUTED_VALUE"""),44800.0)</f>
        <v>44800</v>
      </c>
      <c r="B3030" s="24" t="str">
        <f>IFERROR(__xludf.DUMMYFUNCTION("""COMPUTED_VALUE"""),"Clarice")</f>
        <v>Clarice</v>
      </c>
      <c r="C3030" s="24">
        <f>IFERROR(__xludf.DUMMYFUNCTION("""COMPUTED_VALUE"""),36.0)</f>
        <v>36</v>
      </c>
      <c r="D3030" s="24"/>
      <c r="F3030" s="23">
        <f>IFERROR(__xludf.DUMMYFUNCTION("""COMPUTED_VALUE"""),44856.0)</f>
        <v>44856</v>
      </c>
      <c r="G3030" s="24" t="str">
        <f>IFERROR(__xludf.DUMMYFUNCTION("""COMPUTED_VALUE"""),"Claire")</f>
        <v>Claire</v>
      </c>
      <c r="H3030" s="24">
        <f>IFERROR(__xludf.DUMMYFUNCTION("""COMPUTED_VALUE"""),-33.0)</f>
        <v>-33</v>
      </c>
      <c r="I3030" s="24" t="str">
        <f>IFERROR(__xludf.DUMMYFUNCTION("""COMPUTED_VALUE"""),"Paper Supplies")</f>
        <v>Paper Supplies</v>
      </c>
    </row>
    <row r="3031">
      <c r="A3031" s="23">
        <f>IFERROR(__xludf.DUMMYFUNCTION("""COMPUTED_VALUE"""),44800.0)</f>
        <v>44800</v>
      </c>
      <c r="B3031" s="24" t="str">
        <f>IFERROR(__xludf.DUMMYFUNCTION("""COMPUTED_VALUE"""),"Adriana Hill")</f>
        <v>Adriana Hill</v>
      </c>
      <c r="C3031" s="24">
        <f>IFERROR(__xludf.DUMMYFUNCTION("""COMPUTED_VALUE"""),17.0)</f>
        <v>17</v>
      </c>
      <c r="D3031" s="24"/>
      <c r="F3031" s="23">
        <f>IFERROR(__xludf.DUMMYFUNCTION("""COMPUTED_VALUE"""),44856.0)</f>
        <v>44856</v>
      </c>
      <c r="G3031" s="24" t="str">
        <f>IFERROR(__xludf.DUMMYFUNCTION("""COMPUTED_VALUE"""),"Claire")</f>
        <v>Claire</v>
      </c>
      <c r="H3031" s="24">
        <f>IFERROR(__xludf.DUMMYFUNCTION("""COMPUTED_VALUE"""),-664.0)</f>
        <v>-664</v>
      </c>
      <c r="I3031" s="24" t="str">
        <f>IFERROR(__xludf.DUMMYFUNCTION("""COMPUTED_VALUE"""),"Fruit cups")</f>
        <v>Fruit cups</v>
      </c>
    </row>
    <row r="3032">
      <c r="A3032" s="23">
        <f>IFERROR(__xludf.DUMMYFUNCTION("""COMPUTED_VALUE"""),44800.0)</f>
        <v>44800</v>
      </c>
      <c r="B3032" s="24" t="str">
        <f>IFERROR(__xludf.DUMMYFUNCTION("""COMPUTED_VALUE"""),"Adriana Hill")</f>
        <v>Adriana Hill</v>
      </c>
      <c r="C3032" s="24">
        <f>IFERROR(__xludf.DUMMYFUNCTION("""COMPUTED_VALUE"""),3.0)</f>
        <v>3</v>
      </c>
      <c r="D3032" s="24"/>
      <c r="F3032" s="23">
        <f>IFERROR(__xludf.DUMMYFUNCTION("""COMPUTED_VALUE"""),44856.0)</f>
        <v>44856</v>
      </c>
      <c r="G3032" s="24" t="str">
        <f>IFERROR(__xludf.DUMMYFUNCTION("""COMPUTED_VALUE"""),"Claire")</f>
        <v>Claire</v>
      </c>
      <c r="H3032" s="24">
        <f>IFERROR(__xludf.DUMMYFUNCTION("""COMPUTED_VALUE"""),-456.0)</f>
        <v>-456</v>
      </c>
      <c r="I3032" s="24" t="str">
        <f>IFERROR(__xludf.DUMMYFUNCTION("""COMPUTED_VALUE"""),"Fruit cups")</f>
        <v>Fruit cups</v>
      </c>
    </row>
    <row r="3033">
      <c r="A3033" s="23">
        <f>IFERROR(__xludf.DUMMYFUNCTION("""COMPUTED_VALUE"""),44800.69824596065)</f>
        <v>44800.69825</v>
      </c>
      <c r="B3033" s="24" t="str">
        <f>IFERROR(__xludf.DUMMYFUNCTION("""COMPUTED_VALUE"""),"Angeles Cortes")</f>
        <v>Angeles Cortes</v>
      </c>
      <c r="C3033" s="24">
        <f>IFERROR(__xludf.DUMMYFUNCTION("""COMPUTED_VALUE"""),19.0)</f>
        <v>19</v>
      </c>
      <c r="D3033" s="24"/>
      <c r="F3033" s="23">
        <f>IFERROR(__xludf.DUMMYFUNCTION("""COMPUTED_VALUE"""),44856.0)</f>
        <v>44856</v>
      </c>
      <c r="G3033" s="24" t="str">
        <f>IFERROR(__xludf.DUMMYFUNCTION("""COMPUTED_VALUE"""),"Claire")</f>
        <v>Claire</v>
      </c>
      <c r="H3033" s="24">
        <f>IFERROR(__xludf.DUMMYFUNCTION("""COMPUTED_VALUE"""),-216.0)</f>
        <v>-216</v>
      </c>
      <c r="I3033" s="24" t="str">
        <f>IFERROR(__xludf.DUMMYFUNCTION("""COMPUTED_VALUE"""),"Assorted Dry")</f>
        <v>Assorted Dry</v>
      </c>
    </row>
    <row r="3034">
      <c r="A3034" s="23">
        <f>IFERROR(__xludf.DUMMYFUNCTION("""COMPUTED_VALUE"""),44800.698570312496)</f>
        <v>44800.69857</v>
      </c>
      <c r="B3034" s="24" t="str">
        <f>IFERROR(__xludf.DUMMYFUNCTION("""COMPUTED_VALUE"""),"Emily Stucke")</f>
        <v>Emily Stucke</v>
      </c>
      <c r="C3034" s="24">
        <f>IFERROR(__xludf.DUMMYFUNCTION("""COMPUTED_VALUE"""),13.0)</f>
        <v>13</v>
      </c>
      <c r="D3034" s="24"/>
      <c r="F3034" s="23">
        <f>IFERROR(__xludf.DUMMYFUNCTION("""COMPUTED_VALUE"""),44856.0)</f>
        <v>44856</v>
      </c>
      <c r="G3034" s="24" t="str">
        <f>IFERROR(__xludf.DUMMYFUNCTION("""COMPUTED_VALUE"""),"Claire")</f>
        <v>Claire</v>
      </c>
      <c r="H3034" s="24">
        <f>IFERROR(__xludf.DUMMYFUNCTION("""COMPUTED_VALUE"""),-136.0)</f>
        <v>-136</v>
      </c>
      <c r="I3034" s="24" t="str">
        <f>IFERROR(__xludf.DUMMYFUNCTION("""COMPUTED_VALUE"""),"Produce")</f>
        <v>Produce</v>
      </c>
    </row>
    <row r="3035">
      <c r="A3035" s="23">
        <f>IFERROR(__xludf.DUMMYFUNCTION("""COMPUTED_VALUE"""),44800.69897795138)</f>
        <v>44800.69898</v>
      </c>
      <c r="B3035" s="24" t="str">
        <f>IFERROR(__xludf.DUMMYFUNCTION("""COMPUTED_VALUE"""),"Gildacastillo ")</f>
        <v>Gildacastillo </v>
      </c>
      <c r="C3035" s="24">
        <f>IFERROR(__xludf.DUMMYFUNCTION("""COMPUTED_VALUE"""),17.0)</f>
        <v>17</v>
      </c>
      <c r="D3035" s="24"/>
      <c r="F3035" s="23">
        <f>IFERROR(__xludf.DUMMYFUNCTION("""COMPUTED_VALUE"""),44856.0)</f>
        <v>44856</v>
      </c>
      <c r="G3035" s="24" t="str">
        <f>IFERROR(__xludf.DUMMYFUNCTION("""COMPUTED_VALUE"""),"Claire")</f>
        <v>Claire</v>
      </c>
      <c r="H3035" s="24">
        <f>IFERROR(__xludf.DUMMYFUNCTION("""COMPUTED_VALUE"""),-108.0)</f>
        <v>-108</v>
      </c>
      <c r="I3035" s="24" t="str">
        <f>IFERROR(__xludf.DUMMYFUNCTION("""COMPUTED_VALUE"""),"Snacks")</f>
        <v>Snacks</v>
      </c>
    </row>
    <row r="3036">
      <c r="A3036" s="23">
        <f>IFERROR(__xludf.DUMMYFUNCTION("""COMPUTED_VALUE"""),44800.699784675926)</f>
        <v>44800.69978</v>
      </c>
      <c r="B3036" s="24" t="str">
        <f>IFERROR(__xludf.DUMMYFUNCTION("""COMPUTED_VALUE"""),"nathan ")</f>
        <v>nathan </v>
      </c>
      <c r="C3036" s="24">
        <f>IFERROR(__xludf.DUMMYFUNCTION("""COMPUTED_VALUE"""),19.0)</f>
        <v>19</v>
      </c>
      <c r="D3036" s="24"/>
      <c r="F3036" s="23">
        <f>IFERROR(__xludf.DUMMYFUNCTION("""COMPUTED_VALUE"""),44856.0)</f>
        <v>44856</v>
      </c>
      <c r="G3036" s="24" t="str">
        <f>IFERROR(__xludf.DUMMYFUNCTION("""COMPUTED_VALUE"""),"Janet Lomax")</f>
        <v>Janet Lomax</v>
      </c>
      <c r="H3036" s="24">
        <f>IFERROR(__xludf.DUMMYFUNCTION("""COMPUTED_VALUE"""),19.0)</f>
        <v>19</v>
      </c>
      <c r="I3036" s="24" t="str">
        <f>IFERROR(__xludf.DUMMYFUNCTION("""COMPUTED_VALUE"""),"Regular (up to 20lbs)")</f>
        <v>Regular (up to 20lbs)</v>
      </c>
    </row>
    <row r="3037">
      <c r="A3037" s="23">
        <f>IFERROR(__xludf.DUMMYFUNCTION("""COMPUTED_VALUE"""),44800.699904814806)</f>
        <v>44800.6999</v>
      </c>
      <c r="B3037" s="24" t="str">
        <f>IFERROR(__xludf.DUMMYFUNCTION("""COMPUTED_VALUE"""),"Evelyn jiang")</f>
        <v>Evelyn jiang</v>
      </c>
      <c r="C3037" s="24">
        <f>IFERROR(__xludf.DUMMYFUNCTION("""COMPUTED_VALUE"""),20.0)</f>
        <v>20</v>
      </c>
      <c r="D3037" s="24"/>
      <c r="F3037" s="23">
        <f>IFERROR(__xludf.DUMMYFUNCTION("""COMPUTED_VALUE"""),44856.0)</f>
        <v>44856</v>
      </c>
      <c r="G3037" s="24" t="str">
        <f>IFERROR(__xludf.DUMMYFUNCTION("""COMPUTED_VALUE"""),"Janet Lomax")</f>
        <v>Janet Lomax</v>
      </c>
      <c r="H3037" s="24">
        <f>IFERROR(__xludf.DUMMYFUNCTION("""COMPUTED_VALUE"""),3.0)</f>
        <v>3</v>
      </c>
      <c r="I3037" s="24" t="str">
        <f>IFERROR(__xludf.DUMMYFUNCTION("""COMPUTED_VALUE"""),"Damage/expired/extra")</f>
        <v>Damage/expired/extra</v>
      </c>
    </row>
    <row r="3038">
      <c r="A3038" s="23">
        <f>IFERROR(__xludf.DUMMYFUNCTION("""COMPUTED_VALUE"""),44800.0)</f>
        <v>44800</v>
      </c>
      <c r="B3038" s="24" t="str">
        <f>IFERROR(__xludf.DUMMYFUNCTION("""COMPUTED_VALUE"""),"Dean Chien")</f>
        <v>Dean Chien</v>
      </c>
      <c r="C3038" s="24">
        <f>IFERROR(__xludf.DUMMYFUNCTION("""COMPUTED_VALUE"""),4.0)</f>
        <v>4</v>
      </c>
      <c r="D3038" s="24"/>
      <c r="F3038" s="23">
        <f>IFERROR(__xludf.DUMMYFUNCTION("""COMPUTED_VALUE"""),44856.0)</f>
        <v>44856</v>
      </c>
      <c r="G3038" s="24" t="str">
        <f>IFERROR(__xludf.DUMMYFUNCTION("""COMPUTED_VALUE"""),"Lee Little")</f>
        <v>Lee Little</v>
      </c>
      <c r="H3038" s="24">
        <f>IFERROR(__xludf.DUMMYFUNCTION("""COMPUTED_VALUE"""),4.0)</f>
        <v>4</v>
      </c>
      <c r="I3038" s="24" t="str">
        <f>IFERROR(__xludf.DUMMYFUNCTION("""COMPUTED_VALUE"""),"Regular (up to 20lbs)")</f>
        <v>Regular (up to 20lbs)</v>
      </c>
    </row>
    <row r="3039">
      <c r="A3039" s="23">
        <f>IFERROR(__xludf.DUMMYFUNCTION("""COMPUTED_VALUE"""),44800.70970365741)</f>
        <v>44800.7097</v>
      </c>
      <c r="B3039" s="24" t="str">
        <f>IFERROR(__xludf.DUMMYFUNCTION("""COMPUTED_VALUE"""),"Dean Chien")</f>
        <v>Dean Chien</v>
      </c>
      <c r="C3039" s="24">
        <f>IFERROR(__xludf.DUMMYFUNCTION("""COMPUTED_VALUE"""),20.0)</f>
        <v>20</v>
      </c>
      <c r="D3039" s="24"/>
      <c r="F3039" s="23">
        <f>IFERROR(__xludf.DUMMYFUNCTION("""COMPUTED_VALUE"""),44856.0)</f>
        <v>44856</v>
      </c>
      <c r="G3039" s="24" t="str">
        <f>IFERROR(__xludf.DUMMYFUNCTION("""COMPUTED_VALUE"""),"Natalie Comas")</f>
        <v>Natalie Comas</v>
      </c>
      <c r="H3039" s="24">
        <f>IFERROR(__xludf.DUMMYFUNCTION("""COMPUTED_VALUE"""),20.0)</f>
        <v>20</v>
      </c>
      <c r="I3039" s="24" t="str">
        <f>IFERROR(__xludf.DUMMYFUNCTION("""COMPUTED_VALUE"""),"Regular (up to 20lbs)")</f>
        <v>Regular (up to 20lbs)</v>
      </c>
    </row>
    <row r="3040">
      <c r="A3040" s="23">
        <f>IFERROR(__xludf.DUMMYFUNCTION("""COMPUTED_VALUE"""),44800.71558072917)</f>
        <v>44800.71558</v>
      </c>
      <c r="B3040" s="24" t="str">
        <f>IFERROR(__xludf.DUMMYFUNCTION("""COMPUTED_VALUE"""),"Lynnette c")</f>
        <v>Lynnette c</v>
      </c>
      <c r="C3040" s="24">
        <f>IFERROR(__xludf.DUMMYFUNCTION("""COMPUTED_VALUE"""),21.0)</f>
        <v>21</v>
      </c>
      <c r="D3040" s="24"/>
      <c r="F3040" s="23">
        <f>IFERROR(__xludf.DUMMYFUNCTION("""COMPUTED_VALUE"""),44856.0)</f>
        <v>44856</v>
      </c>
      <c r="G3040" s="24" t="str">
        <f>IFERROR(__xludf.DUMMYFUNCTION("""COMPUTED_VALUE"""),"Natalie Comas")</f>
        <v>Natalie Comas</v>
      </c>
      <c r="H3040" s="24">
        <f>IFERROR(__xludf.DUMMYFUNCTION("""COMPUTED_VALUE"""),3.0)</f>
        <v>3</v>
      </c>
      <c r="I3040" s="24" t="str">
        <f>IFERROR(__xludf.DUMMYFUNCTION("""COMPUTED_VALUE"""),"Damage/expired/extra")</f>
        <v>Damage/expired/extra</v>
      </c>
    </row>
    <row r="3041">
      <c r="A3041" s="23">
        <f>IFERROR(__xludf.DUMMYFUNCTION("""COMPUTED_VALUE"""),44800.71577563657)</f>
        <v>44800.71578</v>
      </c>
      <c r="B3041" s="24" t="str">
        <f>IFERROR(__xludf.DUMMYFUNCTION("""COMPUTED_VALUE"""),"Lynnette c damage")</f>
        <v>Lynnette c damage</v>
      </c>
      <c r="C3041" s="24">
        <f>IFERROR(__xludf.DUMMYFUNCTION("""COMPUTED_VALUE"""),6.0)</f>
        <v>6</v>
      </c>
      <c r="D3041" s="24"/>
      <c r="F3041" s="23">
        <f>IFERROR(__xludf.DUMMYFUNCTION("""COMPUTED_VALUE"""),44856.0)</f>
        <v>44856</v>
      </c>
      <c r="G3041" s="24" t="str">
        <f>IFERROR(__xludf.DUMMYFUNCTION("""COMPUTED_VALUE"""),"Juanita")</f>
        <v>Juanita</v>
      </c>
      <c r="H3041" s="24">
        <f>IFERROR(__xludf.DUMMYFUNCTION("""COMPUTED_VALUE"""),9.0)</f>
        <v>9</v>
      </c>
      <c r="I3041" s="24" t="str">
        <f>IFERROR(__xludf.DUMMYFUNCTION("""COMPUTED_VALUE"""),"Regular (up to 20lbs)")</f>
        <v>Regular (up to 20lbs)</v>
      </c>
    </row>
    <row r="3042">
      <c r="A3042" s="23">
        <f>IFERROR(__xludf.DUMMYFUNCTION("""COMPUTED_VALUE"""),44800.72217248843)</f>
        <v>44800.72217</v>
      </c>
      <c r="B3042" s="24" t="str">
        <f>IFERROR(__xludf.DUMMYFUNCTION("""COMPUTED_VALUE"""),"Lynnette")</f>
        <v>Lynnette</v>
      </c>
      <c r="C3042" s="24">
        <f>IFERROR(__xludf.DUMMYFUNCTION("""COMPUTED_VALUE"""),3.0)</f>
        <v>3</v>
      </c>
      <c r="D3042" s="24"/>
      <c r="F3042" s="23">
        <f>IFERROR(__xludf.DUMMYFUNCTION("""COMPUTED_VALUE"""),44856.0)</f>
        <v>44856</v>
      </c>
      <c r="G3042" s="24" t="str">
        <f>IFERROR(__xludf.DUMMYFUNCTION("""COMPUTED_VALUE"""),"Cheryl Utsey")</f>
        <v>Cheryl Utsey</v>
      </c>
      <c r="H3042" s="24">
        <f>IFERROR(__xludf.DUMMYFUNCTION("""COMPUTED_VALUE"""),19.0)</f>
        <v>19</v>
      </c>
      <c r="I3042" s="24" t="str">
        <f>IFERROR(__xludf.DUMMYFUNCTION("""COMPUTED_VALUE"""),"Regular (up to 20lbs)")</f>
        <v>Regular (up to 20lbs)</v>
      </c>
    </row>
    <row r="3043">
      <c r="A3043" s="23">
        <f>IFERROR(__xludf.DUMMYFUNCTION("""COMPUTED_VALUE"""),44801.67260984954)</f>
        <v>44801.67261</v>
      </c>
      <c r="B3043" s="24" t="str">
        <f>IFERROR(__xludf.DUMMYFUNCTION("""COMPUTED_VALUE"""),"Dorja ")</f>
        <v>Dorja </v>
      </c>
      <c r="C3043" s="24">
        <f>IFERROR(__xludf.DUMMYFUNCTION("""COMPUTED_VALUE"""),23.0)</f>
        <v>23</v>
      </c>
      <c r="D3043" s="24"/>
      <c r="F3043" s="23">
        <f>IFERROR(__xludf.DUMMYFUNCTION("""COMPUTED_VALUE"""),44856.0)</f>
        <v>44856</v>
      </c>
      <c r="G3043" s="24" t="str">
        <f>IFERROR(__xludf.DUMMYFUNCTION("""COMPUTED_VALUE"""),"Cheryl Utsey")</f>
        <v>Cheryl Utsey</v>
      </c>
      <c r="H3043" s="24">
        <f>IFERROR(__xludf.DUMMYFUNCTION("""COMPUTED_VALUE"""),4.0)</f>
        <v>4</v>
      </c>
      <c r="I3043" s="24" t="str">
        <f>IFERROR(__xludf.DUMMYFUNCTION("""COMPUTED_VALUE"""),"Damage/expired/extra")</f>
        <v>Damage/expired/extra</v>
      </c>
    </row>
    <row r="3044">
      <c r="A3044" s="23">
        <f>IFERROR(__xludf.DUMMYFUNCTION("""COMPUTED_VALUE"""),44801.0)</f>
        <v>44801</v>
      </c>
      <c r="B3044" s="24" t="str">
        <f>IFERROR(__xludf.DUMMYFUNCTION("""COMPUTED_VALUE"""),"Alex Wang")</f>
        <v>Alex Wang</v>
      </c>
      <c r="C3044" s="24">
        <f>IFERROR(__xludf.DUMMYFUNCTION("""COMPUTED_VALUE"""),19.0)</f>
        <v>19</v>
      </c>
      <c r="D3044" s="24"/>
      <c r="F3044" s="23">
        <f>IFERROR(__xludf.DUMMYFUNCTION("""COMPUTED_VALUE"""),44856.0)</f>
        <v>44856</v>
      </c>
      <c r="G3044" s="24" t="str">
        <f>IFERROR(__xludf.DUMMYFUNCTION("""COMPUTED_VALUE"""),"Gilda Castillo")</f>
        <v>Gilda Castillo</v>
      </c>
      <c r="H3044" s="24">
        <f>IFERROR(__xludf.DUMMYFUNCTION("""COMPUTED_VALUE"""),19.0)</f>
        <v>19</v>
      </c>
      <c r="I3044" s="24" t="str">
        <f>IFERROR(__xludf.DUMMYFUNCTION("""COMPUTED_VALUE"""),"Regular (up to 20lbs)")</f>
        <v>Regular (up to 20lbs)</v>
      </c>
    </row>
    <row r="3045">
      <c r="A3045" s="23">
        <f>IFERROR(__xludf.DUMMYFUNCTION("""COMPUTED_VALUE"""),44801.0)</f>
        <v>44801</v>
      </c>
      <c r="B3045" s="24" t="str">
        <f>IFERROR(__xludf.DUMMYFUNCTION("""COMPUTED_VALUE"""),"Ladaisha Thompson")</f>
        <v>Ladaisha Thompson</v>
      </c>
      <c r="C3045" s="24">
        <f>IFERROR(__xludf.DUMMYFUNCTION("""COMPUTED_VALUE"""),20.0)</f>
        <v>20</v>
      </c>
      <c r="D3045" s="24"/>
      <c r="F3045" s="23">
        <f>IFERROR(__xludf.DUMMYFUNCTION("""COMPUTED_VALUE"""),44856.0)</f>
        <v>44856</v>
      </c>
      <c r="G3045" s="24" t="str">
        <f>IFERROR(__xludf.DUMMYFUNCTION("""COMPUTED_VALUE"""),"Angeles Cortes")</f>
        <v>Angeles Cortes</v>
      </c>
      <c r="H3045" s="24">
        <f>IFERROR(__xludf.DUMMYFUNCTION("""COMPUTED_VALUE"""),18.0)</f>
        <v>18</v>
      </c>
      <c r="I3045" s="24" t="str">
        <f>IFERROR(__xludf.DUMMYFUNCTION("""COMPUTED_VALUE"""),"Regular (up to 20lbs)")</f>
        <v>Regular (up to 20lbs)</v>
      </c>
    </row>
    <row r="3046">
      <c r="A3046" s="23">
        <f>IFERROR(__xludf.DUMMYFUNCTION("""COMPUTED_VALUE"""),44801.0)</f>
        <v>44801</v>
      </c>
      <c r="B3046" s="24" t="str">
        <f>IFERROR(__xludf.DUMMYFUNCTION("""COMPUTED_VALUE"""),"Ladaisha Thompson")</f>
        <v>Ladaisha Thompson</v>
      </c>
      <c r="C3046" s="24">
        <f>IFERROR(__xludf.DUMMYFUNCTION("""COMPUTED_VALUE"""),15.0)</f>
        <v>15</v>
      </c>
      <c r="D3046" s="24"/>
      <c r="F3046" s="23">
        <f>IFERROR(__xludf.DUMMYFUNCTION("""COMPUTED_VALUE"""),44856.0)</f>
        <v>44856</v>
      </c>
      <c r="G3046" s="24" t="str">
        <f>IFERROR(__xludf.DUMMYFUNCTION("""COMPUTED_VALUE"""),"Angeles Cortes")</f>
        <v>Angeles Cortes</v>
      </c>
      <c r="H3046" s="24">
        <f>IFERROR(__xludf.DUMMYFUNCTION("""COMPUTED_VALUE"""),2.0)</f>
        <v>2</v>
      </c>
      <c r="I3046" s="24" t="str">
        <f>IFERROR(__xludf.DUMMYFUNCTION("""COMPUTED_VALUE"""),"Damage/expired/extra")</f>
        <v>Damage/expired/extra</v>
      </c>
    </row>
    <row r="3047">
      <c r="A3047" s="23">
        <f>IFERROR(__xludf.DUMMYFUNCTION("""COMPUTED_VALUE"""),44801.0)</f>
        <v>44801</v>
      </c>
      <c r="B3047" s="24" t="str">
        <f>IFERROR(__xludf.DUMMYFUNCTION("""COMPUTED_VALUE"""),"Kendrick Johnson")</f>
        <v>Kendrick Johnson</v>
      </c>
      <c r="C3047" s="24">
        <f>IFERROR(__xludf.DUMMYFUNCTION("""COMPUTED_VALUE"""),9.0)</f>
        <v>9</v>
      </c>
      <c r="D3047" s="24"/>
      <c r="F3047" s="23">
        <f>IFERROR(__xludf.DUMMYFUNCTION("""COMPUTED_VALUE"""),44856.46143208333)</f>
        <v>44856.46143</v>
      </c>
      <c r="G3047" s="24" t="str">
        <f>IFERROR(__xludf.DUMMYFUNCTION("""COMPUTED_VALUE"""),"Jc")</f>
        <v>Jc</v>
      </c>
      <c r="H3047" s="24">
        <f>IFERROR(__xludf.DUMMYFUNCTION("""COMPUTED_VALUE"""),546.0)</f>
        <v>546</v>
      </c>
      <c r="I3047" s="24" t="str">
        <f>IFERROR(__xludf.DUMMYFUNCTION("""COMPUTED_VALUE"""),"Assorted Dry")</f>
        <v>Assorted Dry</v>
      </c>
    </row>
    <row r="3048">
      <c r="A3048" s="23">
        <f>IFERROR(__xludf.DUMMYFUNCTION("""COMPUTED_VALUE"""),44801.0)</f>
        <v>44801</v>
      </c>
      <c r="B3048" s="24" t="str">
        <f>IFERROR(__xludf.DUMMYFUNCTION("""COMPUTED_VALUE"""),"Marci")</f>
        <v>Marci</v>
      </c>
      <c r="C3048" s="24">
        <f>IFERROR(__xludf.DUMMYFUNCTION("""COMPUTED_VALUE"""),19.0)</f>
        <v>19</v>
      </c>
      <c r="D3048" s="24"/>
      <c r="F3048" s="23">
        <f>IFERROR(__xludf.DUMMYFUNCTION("""COMPUTED_VALUE"""),44856.50922537036)</f>
        <v>44856.50923</v>
      </c>
      <c r="G3048" s="24" t="str">
        <f>IFERROR(__xludf.DUMMYFUNCTION("""COMPUTED_VALUE"""),"Ryan Murphy")</f>
        <v>Ryan Murphy</v>
      </c>
      <c r="H3048" s="24">
        <f>IFERROR(__xludf.DUMMYFUNCTION("""COMPUTED_VALUE"""),25.0)</f>
        <v>25</v>
      </c>
      <c r="I3048" s="24" t="str">
        <f>IFERROR(__xludf.DUMMYFUNCTION("""COMPUTED_VALUE"""),"Regular (up to 20lbs)")</f>
        <v>Regular (up to 20lbs)</v>
      </c>
    </row>
    <row r="3049">
      <c r="A3049" s="23">
        <f>IFERROR(__xludf.DUMMYFUNCTION("""COMPUTED_VALUE"""),44801.0)</f>
        <v>44801</v>
      </c>
      <c r="B3049" s="24" t="str">
        <f>IFERROR(__xludf.DUMMYFUNCTION("""COMPUTED_VALUE"""),"Marci")</f>
        <v>Marci</v>
      </c>
      <c r="C3049" s="24">
        <f>IFERROR(__xludf.DUMMYFUNCTION("""COMPUTED_VALUE"""),41.0)</f>
        <v>41</v>
      </c>
      <c r="D3049" s="24"/>
      <c r="F3049" s="23">
        <f>IFERROR(__xludf.DUMMYFUNCTION("""COMPUTED_VALUE"""),44856.59222280092)</f>
        <v>44856.59222</v>
      </c>
      <c r="G3049" s="24" t="str">
        <f>IFERROR(__xludf.DUMMYFUNCTION("""COMPUTED_VALUE"""),"Dean Chien")</f>
        <v>Dean Chien</v>
      </c>
      <c r="H3049" s="24">
        <f>IFERROR(__xludf.DUMMYFUNCTION("""COMPUTED_VALUE"""),75.0)</f>
        <v>75</v>
      </c>
      <c r="I3049" s="24" t="str">
        <f>IFERROR(__xludf.DUMMYFUNCTION("""COMPUTED_VALUE"""),"Meat [Raw]")</f>
        <v>Meat [Raw]</v>
      </c>
    </row>
    <row r="3050">
      <c r="A3050" s="23">
        <f>IFERROR(__xludf.DUMMYFUNCTION("""COMPUTED_VALUE"""),44801.0)</f>
        <v>44801</v>
      </c>
      <c r="B3050" s="24" t="str">
        <f>IFERROR(__xludf.DUMMYFUNCTION("""COMPUTED_VALUE"""),"Denise Wilkins")</f>
        <v>Denise Wilkins</v>
      </c>
      <c r="C3050" s="24">
        <f>IFERROR(__xludf.DUMMYFUNCTION("""COMPUTED_VALUE"""),13.0)</f>
        <v>13</v>
      </c>
      <c r="D3050" s="24"/>
      <c r="F3050" s="23">
        <f>IFERROR(__xludf.DUMMYFUNCTION("""COMPUTED_VALUE"""),44856.70237752315)</f>
        <v>44856.70238</v>
      </c>
      <c r="G3050" s="24" t="str">
        <f>IFERROR(__xludf.DUMMYFUNCTION("""COMPUTED_VALUE"""),"Ashley")</f>
        <v>Ashley</v>
      </c>
      <c r="H3050" s="24">
        <f>IFERROR(__xludf.DUMMYFUNCTION("""COMPUTED_VALUE"""),2.0)</f>
        <v>2</v>
      </c>
      <c r="I3050" s="24" t="str">
        <f>IFERROR(__xludf.DUMMYFUNCTION("""COMPUTED_VALUE"""),"Regular (up to 20lbs)")</f>
        <v>Regular (up to 20lbs)</v>
      </c>
    </row>
    <row r="3051">
      <c r="A3051" s="23">
        <f>IFERROR(__xludf.DUMMYFUNCTION("""COMPUTED_VALUE"""),44801.0)</f>
        <v>44801</v>
      </c>
      <c r="B3051" s="24" t="str">
        <f>IFERROR(__xludf.DUMMYFUNCTION("""COMPUTED_VALUE"""),"Denise Wilkins")</f>
        <v>Denise Wilkins</v>
      </c>
      <c r="C3051" s="24">
        <f>IFERROR(__xludf.DUMMYFUNCTION("""COMPUTED_VALUE"""),16.0)</f>
        <v>16</v>
      </c>
      <c r="D3051" s="24" t="str">
        <f>IFERROR(__xludf.DUMMYFUNCTION("""COMPUTED_VALUE"""),"Produce")</f>
        <v>Produce</v>
      </c>
      <c r="F3051" s="23">
        <f>IFERROR(__xludf.DUMMYFUNCTION("""COMPUTED_VALUE"""),44856.70483253472)</f>
        <v>44856.70483</v>
      </c>
      <c r="G3051" s="24" t="str">
        <f>IFERROR(__xludf.DUMMYFUNCTION("""COMPUTED_VALUE"""),"Janiyah Blake ")</f>
        <v>Janiyah Blake </v>
      </c>
      <c r="H3051" s="24">
        <f>IFERROR(__xludf.DUMMYFUNCTION("""COMPUTED_VALUE"""),6.0)</f>
        <v>6</v>
      </c>
      <c r="I3051" s="24" t="str">
        <f>IFERROR(__xludf.DUMMYFUNCTION("""COMPUTED_VALUE"""),"Regular (up to 20lbs)")</f>
        <v>Regular (up to 20lbs)</v>
      </c>
    </row>
    <row r="3052">
      <c r="A3052" s="23">
        <f>IFERROR(__xludf.DUMMYFUNCTION("""COMPUTED_VALUE"""),44801.0)</f>
        <v>44801</v>
      </c>
      <c r="B3052" s="24" t="str">
        <f>IFERROR(__xludf.DUMMYFUNCTION("""COMPUTED_VALUE"""),"Treston Codrington")</f>
        <v>Treston Codrington</v>
      </c>
      <c r="C3052" s="24">
        <f>IFERROR(__xludf.DUMMYFUNCTION("""COMPUTED_VALUE"""),20.0)</f>
        <v>20</v>
      </c>
      <c r="D3052" s="24"/>
      <c r="F3052" s="23">
        <f>IFERROR(__xludf.DUMMYFUNCTION("""COMPUTED_VALUE"""),44856.70677266204)</f>
        <v>44856.70677</v>
      </c>
      <c r="G3052" s="24" t="str">
        <f>IFERROR(__xludf.DUMMYFUNCTION("""COMPUTED_VALUE"""),"Tashai Houston")</f>
        <v>Tashai Houston</v>
      </c>
      <c r="H3052" s="24">
        <f>IFERROR(__xludf.DUMMYFUNCTION("""COMPUTED_VALUE"""),8.0)</f>
        <v>8</v>
      </c>
      <c r="I3052" s="24" t="str">
        <f>IFERROR(__xludf.DUMMYFUNCTION("""COMPUTED_VALUE"""),"Regular (up to 20lbs)")</f>
        <v>Regular (up to 20lbs)</v>
      </c>
    </row>
    <row r="3053">
      <c r="A3053" s="23">
        <f>IFERROR(__xludf.DUMMYFUNCTION("""COMPUTED_VALUE"""),44801.0)</f>
        <v>44801</v>
      </c>
      <c r="B3053" s="24" t="str">
        <f>IFERROR(__xludf.DUMMYFUNCTION("""COMPUTED_VALUE"""),"Kaneesha Bailey")</f>
        <v>Kaneesha Bailey</v>
      </c>
      <c r="C3053" s="24">
        <f>IFERROR(__xludf.DUMMYFUNCTION("""COMPUTED_VALUE"""),20.0)</f>
        <v>20</v>
      </c>
      <c r="D3053" s="24"/>
      <c r="F3053" s="23">
        <f>IFERROR(__xludf.DUMMYFUNCTION("""COMPUTED_VALUE"""),44856.70699597222)</f>
        <v>44856.707</v>
      </c>
      <c r="G3053" s="24" t="str">
        <f>IFERROR(__xludf.DUMMYFUNCTION("""COMPUTED_VALUE"""),"Tashai Houston")</f>
        <v>Tashai Houston</v>
      </c>
      <c r="H3053" s="24">
        <f>IFERROR(__xludf.DUMMYFUNCTION("""COMPUTED_VALUE"""),1.0)</f>
        <v>1</v>
      </c>
      <c r="I3053" s="24" t="str">
        <f>IFERROR(__xludf.DUMMYFUNCTION("""COMPUTED_VALUE"""),"Damage/expired/extra")</f>
        <v>Damage/expired/extra</v>
      </c>
    </row>
    <row r="3054">
      <c r="A3054" s="23">
        <f>IFERROR(__xludf.DUMMYFUNCTION("""COMPUTED_VALUE"""),44801.0)</f>
        <v>44801</v>
      </c>
      <c r="B3054" s="24" t="str">
        <f>IFERROR(__xludf.DUMMYFUNCTION("""COMPUTED_VALUE"""),"Kaneesha Bailey")</f>
        <v>Kaneesha Bailey</v>
      </c>
      <c r="C3054" s="24">
        <f>IFERROR(__xludf.DUMMYFUNCTION("""COMPUTED_VALUE"""),28.0)</f>
        <v>28</v>
      </c>
      <c r="D3054" s="24"/>
      <c r="F3054" s="23">
        <f>IFERROR(__xludf.DUMMYFUNCTION("""COMPUTED_VALUE"""),44856.707160555554)</f>
        <v>44856.70716</v>
      </c>
      <c r="G3054" s="24" t="str">
        <f>IFERROR(__xludf.DUMMYFUNCTION("""COMPUTED_VALUE"""),"Amore Johnson")</f>
        <v>Amore Johnson</v>
      </c>
      <c r="H3054" s="24">
        <f>IFERROR(__xludf.DUMMYFUNCTION("""COMPUTED_VALUE"""),15.0)</f>
        <v>15</v>
      </c>
      <c r="I3054" s="24" t="str">
        <f>IFERROR(__xludf.DUMMYFUNCTION("""COMPUTED_VALUE"""),"Regular (up to 20lbs)")</f>
        <v>Regular (up to 20lbs)</v>
      </c>
    </row>
    <row r="3055">
      <c r="A3055" s="23">
        <f>IFERROR(__xludf.DUMMYFUNCTION("""COMPUTED_VALUE"""),44801.0)</f>
        <v>44801</v>
      </c>
      <c r="B3055" s="24" t="str">
        <f>IFERROR(__xludf.DUMMYFUNCTION("""COMPUTED_VALUE"""),"Yulia")</f>
        <v>Yulia</v>
      </c>
      <c r="C3055" s="24">
        <f>IFERROR(__xludf.DUMMYFUNCTION("""COMPUTED_VALUE"""),19.0)</f>
        <v>19</v>
      </c>
      <c r="D3055" s="24"/>
      <c r="F3055" s="23">
        <f>IFERROR(__xludf.DUMMYFUNCTION("""COMPUTED_VALUE"""),44856.7097566088)</f>
        <v>44856.70976</v>
      </c>
      <c r="G3055" s="24" t="str">
        <f>IFERROR(__xludf.DUMMYFUNCTION("""COMPUTED_VALUE"""),"Nailah Bishop ")</f>
        <v>Nailah Bishop </v>
      </c>
      <c r="H3055" s="24">
        <f>IFERROR(__xludf.DUMMYFUNCTION("""COMPUTED_VALUE"""),4.0)</f>
        <v>4</v>
      </c>
      <c r="I3055" s="24" t="str">
        <f>IFERROR(__xludf.DUMMYFUNCTION("""COMPUTED_VALUE"""),"Regular (up to 20lbs)")</f>
        <v>Regular (up to 20lbs)</v>
      </c>
    </row>
    <row r="3056">
      <c r="A3056" s="23">
        <f>IFERROR(__xludf.DUMMYFUNCTION("""COMPUTED_VALUE"""),44801.677677395826)</f>
        <v>44801.67768</v>
      </c>
      <c r="B3056" s="24" t="str">
        <f>IFERROR(__xludf.DUMMYFUNCTION("""COMPUTED_VALUE"""),"Yulia")</f>
        <v>Yulia</v>
      </c>
      <c r="C3056" s="24">
        <f>IFERROR(__xludf.DUMMYFUNCTION("""COMPUTED_VALUE"""),19.0)</f>
        <v>19</v>
      </c>
      <c r="D3056" s="24"/>
      <c r="F3056" s="23">
        <f>IFERROR(__xludf.DUMMYFUNCTION("""COMPUTED_VALUE"""),44856.71135802083)</f>
        <v>44856.71136</v>
      </c>
      <c r="G3056" s="24" t="str">
        <f>IFERROR(__xludf.DUMMYFUNCTION("""COMPUTED_VALUE"""),"Brielle Redd")</f>
        <v>Brielle Redd</v>
      </c>
      <c r="H3056" s="24">
        <f>IFERROR(__xludf.DUMMYFUNCTION("""COMPUTED_VALUE"""),10.0)</f>
        <v>10</v>
      </c>
      <c r="I3056" s="24" t="str">
        <f>IFERROR(__xludf.DUMMYFUNCTION("""COMPUTED_VALUE"""),"Regular (up to 20lbs)")</f>
        <v>Regular (up to 20lbs)</v>
      </c>
    </row>
    <row r="3057">
      <c r="A3057" s="23">
        <f>IFERROR(__xludf.DUMMYFUNCTION("""COMPUTED_VALUE"""),44801.685628761574)</f>
        <v>44801.68563</v>
      </c>
      <c r="B3057" s="24" t="str">
        <f>IFERROR(__xludf.DUMMYFUNCTION("""COMPUTED_VALUE"""),"James williams")</f>
        <v>James williams</v>
      </c>
      <c r="C3057" s="24">
        <f>IFERROR(__xludf.DUMMYFUNCTION("""COMPUTED_VALUE"""),13.0)</f>
        <v>13</v>
      </c>
      <c r="D3057" s="24"/>
      <c r="F3057" s="23">
        <f>IFERROR(__xludf.DUMMYFUNCTION("""COMPUTED_VALUE"""),44856.71717403935)</f>
        <v>44856.71717</v>
      </c>
      <c r="G3057" s="24" t="str">
        <f>IFERROR(__xludf.DUMMYFUNCTION("""COMPUTED_VALUE"""),"Dean Chien")</f>
        <v>Dean Chien</v>
      </c>
      <c r="H3057" s="24">
        <f>IFERROR(__xludf.DUMMYFUNCTION("""COMPUTED_VALUE"""),20.0)</f>
        <v>20</v>
      </c>
      <c r="I3057" s="24" t="str">
        <f>IFERROR(__xludf.DUMMYFUNCTION("""COMPUTED_VALUE"""),"Regular (up to 20lbs)")</f>
        <v>Regular (up to 20lbs)</v>
      </c>
    </row>
    <row r="3058">
      <c r="A3058" s="23">
        <f>IFERROR(__xludf.DUMMYFUNCTION("""COMPUTED_VALUE"""),44801.69943163195)</f>
        <v>44801.69943</v>
      </c>
      <c r="B3058" s="24" t="str">
        <f>IFERROR(__xludf.DUMMYFUNCTION("""COMPUTED_VALUE"""),"Zoe")</f>
        <v>Zoe</v>
      </c>
      <c r="C3058" s="24">
        <f>IFERROR(__xludf.DUMMYFUNCTION("""COMPUTED_VALUE"""),20.0)</f>
        <v>20</v>
      </c>
      <c r="D3058" s="24"/>
      <c r="F3058" s="23">
        <f>IFERROR(__xludf.DUMMYFUNCTION("""COMPUTED_VALUE"""),44856.71725898148)</f>
        <v>44856.71726</v>
      </c>
      <c r="G3058" s="24" t="str">
        <f>IFERROR(__xludf.DUMMYFUNCTION("""COMPUTED_VALUE"""),"Dean Chien")</f>
        <v>Dean Chien</v>
      </c>
      <c r="H3058" s="24">
        <f>IFERROR(__xludf.DUMMYFUNCTION("""COMPUTED_VALUE"""),3.0)</f>
        <v>3</v>
      </c>
      <c r="I3058" s="24" t="str">
        <f>IFERROR(__xludf.DUMMYFUNCTION("""COMPUTED_VALUE"""),"Damage/expired/extra")</f>
        <v>Damage/expired/extra</v>
      </c>
    </row>
    <row r="3059">
      <c r="A3059" s="23">
        <f>IFERROR(__xludf.DUMMYFUNCTION("""COMPUTED_VALUE"""),44801.710805138886)</f>
        <v>44801.71081</v>
      </c>
      <c r="B3059" s="24" t="str">
        <f>IFERROR(__xludf.DUMMYFUNCTION("""COMPUTED_VALUE"""),"Opey")</f>
        <v>Opey</v>
      </c>
      <c r="C3059" s="24">
        <f>IFERROR(__xludf.DUMMYFUNCTION("""COMPUTED_VALUE"""),13.0)</f>
        <v>13</v>
      </c>
      <c r="D3059" s="24"/>
      <c r="F3059" s="23">
        <f>IFERROR(__xludf.DUMMYFUNCTION("""COMPUTED_VALUE"""),44857.0)</f>
        <v>44857</v>
      </c>
      <c r="G3059" s="24" t="str">
        <f>IFERROR(__xludf.DUMMYFUNCTION("""COMPUTED_VALUE"""),"Denise Rivers")</f>
        <v>Denise Rivers</v>
      </c>
      <c r="H3059" s="24">
        <f>IFERROR(__xludf.DUMMYFUNCTION("""COMPUTED_VALUE"""),20.0)</f>
        <v>20</v>
      </c>
      <c r="I3059" s="24" t="str">
        <f>IFERROR(__xludf.DUMMYFUNCTION("""COMPUTED_VALUE"""),"Regular (up to 20lbs)")</f>
        <v>Regular (up to 20lbs)</v>
      </c>
    </row>
    <row r="3060">
      <c r="A3060" s="23">
        <f>IFERROR(__xludf.DUMMYFUNCTION("""COMPUTED_VALUE"""),44801.73175392362)</f>
        <v>44801.73175</v>
      </c>
      <c r="B3060" s="24" t="str">
        <f>IFERROR(__xludf.DUMMYFUNCTION("""COMPUTED_VALUE"""),"Dorja ")</f>
        <v>Dorja </v>
      </c>
      <c r="C3060" s="24">
        <f>IFERROR(__xludf.DUMMYFUNCTION("""COMPUTED_VALUE"""),36.0)</f>
        <v>36</v>
      </c>
      <c r="D3060" s="24"/>
      <c r="F3060" s="23">
        <f>IFERROR(__xludf.DUMMYFUNCTION("""COMPUTED_VALUE"""),44857.0)</f>
        <v>44857</v>
      </c>
      <c r="G3060" s="24" t="str">
        <f>IFERROR(__xludf.DUMMYFUNCTION("""COMPUTED_VALUE"""),"Denise Rivers")</f>
        <v>Denise Rivers</v>
      </c>
      <c r="H3060" s="24">
        <f>IFERROR(__xludf.DUMMYFUNCTION("""COMPUTED_VALUE"""),15.0)</f>
        <v>15</v>
      </c>
      <c r="I3060" s="24" t="str">
        <f>IFERROR(__xludf.DUMMYFUNCTION("""COMPUTED_VALUE"""),"Damage/expired/extra")</f>
        <v>Damage/expired/extra</v>
      </c>
    </row>
    <row r="3061">
      <c r="A3061" s="23">
        <f>IFERROR(__xludf.DUMMYFUNCTION("""COMPUTED_VALUE"""),44803.0)</f>
        <v>44803</v>
      </c>
      <c r="B3061" s="24" t="str">
        <f>IFERROR(__xludf.DUMMYFUNCTION("""COMPUTED_VALUE"""),"Barbara Jordan")</f>
        <v>Barbara Jordan</v>
      </c>
      <c r="C3061" s="24">
        <f>IFERROR(__xludf.DUMMYFUNCTION("""COMPUTED_VALUE"""),19.0)</f>
        <v>19</v>
      </c>
      <c r="D3061" s="24"/>
      <c r="F3061" s="23">
        <f>IFERROR(__xludf.DUMMYFUNCTION("""COMPUTED_VALUE"""),44857.55434604167)</f>
        <v>44857.55435</v>
      </c>
      <c r="G3061" s="24" t="str">
        <f>IFERROR(__xludf.DUMMYFUNCTION("""COMPUTED_VALUE"""),"Claire")</f>
        <v>Claire</v>
      </c>
      <c r="H3061" s="24">
        <f>IFERROR(__xludf.DUMMYFUNCTION("""COMPUTED_VALUE"""),14.0)</f>
        <v>14</v>
      </c>
      <c r="I3061" s="24" t="str">
        <f>IFERROR(__xludf.DUMMYFUNCTION("""COMPUTED_VALUE"""),"Tubman House")</f>
        <v>Tubman House</v>
      </c>
    </row>
    <row r="3062">
      <c r="A3062" s="23">
        <f>IFERROR(__xludf.DUMMYFUNCTION("""COMPUTED_VALUE"""),44803.0)</f>
        <v>44803</v>
      </c>
      <c r="B3062" s="24" t="str">
        <f>IFERROR(__xludf.DUMMYFUNCTION("""COMPUTED_VALUE"""),"Barbara Jordan")</f>
        <v>Barbara Jordan</v>
      </c>
      <c r="C3062" s="24">
        <f>IFERROR(__xludf.DUMMYFUNCTION("""COMPUTED_VALUE"""),15.0)</f>
        <v>15</v>
      </c>
      <c r="D3062" s="24"/>
      <c r="F3062" s="23">
        <f>IFERROR(__xludf.DUMMYFUNCTION("""COMPUTED_VALUE"""),44857.55458471065)</f>
        <v>44857.55458</v>
      </c>
      <c r="G3062" s="24" t="str">
        <f>IFERROR(__xludf.DUMMYFUNCTION("""COMPUTED_VALUE"""),"Claire")</f>
        <v>Claire</v>
      </c>
      <c r="H3062" s="24">
        <f>IFERROR(__xludf.DUMMYFUNCTION("""COMPUTED_VALUE"""),36.0)</f>
        <v>36</v>
      </c>
      <c r="I3062" s="24" t="str">
        <f>IFERROR(__xludf.DUMMYFUNCTION("""COMPUTED_VALUE"""),"Amazon")</f>
        <v>Amazon</v>
      </c>
    </row>
    <row r="3063">
      <c r="A3063" s="23">
        <f>IFERROR(__xludf.DUMMYFUNCTION("""COMPUTED_VALUE"""),44803.685249050926)</f>
        <v>44803.68525</v>
      </c>
      <c r="B3063" s="24" t="str">
        <f>IFERROR(__xludf.DUMMYFUNCTION("""COMPUTED_VALUE"""),"Jean.  ExtrA")</f>
        <v>Jean.  ExtrA</v>
      </c>
      <c r="C3063" s="24">
        <f>IFERROR(__xludf.DUMMYFUNCTION("""COMPUTED_VALUE"""),44.0)</f>
        <v>44</v>
      </c>
      <c r="D3063" s="24"/>
      <c r="F3063" s="23">
        <f>IFERROR(__xludf.DUMMYFUNCTION("""COMPUTED_VALUE"""),44857.554887349535)</f>
        <v>44857.55489</v>
      </c>
      <c r="G3063" s="24" t="str">
        <f>IFERROR(__xludf.DUMMYFUNCTION("""COMPUTED_VALUE"""),"Claire ")</f>
        <v>Claire </v>
      </c>
      <c r="H3063" s="24">
        <f>IFERROR(__xludf.DUMMYFUNCTION("""COMPUTED_VALUE"""),729.0)</f>
        <v>729</v>
      </c>
      <c r="I3063" s="24" t="str">
        <f>IFERROR(__xludf.DUMMYFUNCTION("""COMPUTED_VALUE"""),"Amazon")</f>
        <v>Amazon</v>
      </c>
    </row>
    <row r="3064">
      <c r="A3064" s="23">
        <f>IFERROR(__xludf.DUMMYFUNCTION("""COMPUTED_VALUE"""),44803.68547571759)</f>
        <v>44803.68548</v>
      </c>
      <c r="B3064" s="24" t="str">
        <f>IFERROR(__xludf.DUMMYFUNCTION("""COMPUTED_VALUE"""),"Jean")</f>
        <v>Jean</v>
      </c>
      <c r="C3064" s="24">
        <f>IFERROR(__xludf.DUMMYFUNCTION("""COMPUTED_VALUE"""),29.0)</f>
        <v>29</v>
      </c>
      <c r="D3064" s="24"/>
      <c r="F3064" s="23">
        <f>IFERROR(__xludf.DUMMYFUNCTION("""COMPUTED_VALUE"""),44857.55511059027)</f>
        <v>44857.55511</v>
      </c>
      <c r="G3064" s="24" t="str">
        <f>IFERROR(__xludf.DUMMYFUNCTION("""COMPUTED_VALUE"""),"Claire ")</f>
        <v>Claire </v>
      </c>
      <c r="H3064" s="24">
        <f>IFERROR(__xludf.DUMMYFUNCTION("""COMPUTED_VALUE"""),572.0)</f>
        <v>572</v>
      </c>
      <c r="I3064" s="24" t="str">
        <f>IFERROR(__xludf.DUMMYFUNCTION("""COMPUTED_VALUE"""),"Amazon")</f>
        <v>Amazon</v>
      </c>
    </row>
    <row r="3065">
      <c r="A3065" s="23">
        <f>IFERROR(__xludf.DUMMYFUNCTION("""COMPUTED_VALUE"""),44803.0)</f>
        <v>44803</v>
      </c>
      <c r="B3065" s="24" t="str">
        <f>IFERROR(__xludf.DUMMYFUNCTION("""COMPUTED_VALUE"""),"Debra Davis")</f>
        <v>Debra Davis</v>
      </c>
      <c r="C3065" s="24">
        <f>IFERROR(__xludf.DUMMYFUNCTION("""COMPUTED_VALUE"""),20.0)</f>
        <v>20</v>
      </c>
      <c r="D3065" s="24"/>
      <c r="F3065" s="23">
        <f>IFERROR(__xludf.DUMMYFUNCTION("""COMPUTED_VALUE"""),44857.555377592595)</f>
        <v>44857.55538</v>
      </c>
      <c r="G3065" s="24" t="str">
        <f>IFERROR(__xludf.DUMMYFUNCTION("""COMPUTED_VALUE"""),"Claire ")</f>
        <v>Claire </v>
      </c>
      <c r="H3065" s="24">
        <f>IFERROR(__xludf.DUMMYFUNCTION("""COMPUTED_VALUE"""),543.0)</f>
        <v>543</v>
      </c>
      <c r="I3065" s="24" t="str">
        <f>IFERROR(__xludf.DUMMYFUNCTION("""COMPUTED_VALUE"""),"Amazon")</f>
        <v>Amazon</v>
      </c>
    </row>
    <row r="3066">
      <c r="A3066" s="23">
        <f>IFERROR(__xludf.DUMMYFUNCTION("""COMPUTED_VALUE"""),44803.68754303241)</f>
        <v>44803.68754</v>
      </c>
      <c r="B3066" s="24" t="str">
        <f>IFERROR(__xludf.DUMMYFUNCTION("""COMPUTED_VALUE"""),"Debra Davis")</f>
        <v>Debra Davis</v>
      </c>
      <c r="C3066" s="24">
        <f>IFERROR(__xludf.DUMMYFUNCTION("""COMPUTED_VALUE"""),18.0)</f>
        <v>18</v>
      </c>
      <c r="D3066" s="24"/>
      <c r="F3066" s="23">
        <f>IFERROR(__xludf.DUMMYFUNCTION("""COMPUTED_VALUE"""),44857.55568480324)</f>
        <v>44857.55568</v>
      </c>
      <c r="G3066" s="24" t="str">
        <f>IFERROR(__xludf.DUMMYFUNCTION("""COMPUTED_VALUE"""),"Claire ")</f>
        <v>Claire </v>
      </c>
      <c r="H3066" s="24">
        <f>IFERROR(__xludf.DUMMYFUNCTION("""COMPUTED_VALUE"""),643.0)</f>
        <v>643</v>
      </c>
      <c r="I3066" s="24" t="str">
        <f>IFERROR(__xludf.DUMMYFUNCTION("""COMPUTED_VALUE"""),"Amazon")</f>
        <v>Amazon</v>
      </c>
    </row>
    <row r="3067">
      <c r="A3067" s="23">
        <f>IFERROR(__xludf.DUMMYFUNCTION("""COMPUTED_VALUE"""),44803.68841592593)</f>
        <v>44803.68842</v>
      </c>
      <c r="B3067" s="24" t="str">
        <f>IFERROR(__xludf.DUMMYFUNCTION("""COMPUTED_VALUE"""),"Kaneesha")</f>
        <v>Kaneesha</v>
      </c>
      <c r="C3067" s="24">
        <f>IFERROR(__xludf.DUMMYFUNCTION("""COMPUTED_VALUE"""),20.0)</f>
        <v>20</v>
      </c>
      <c r="D3067" s="24"/>
      <c r="F3067" s="23">
        <f>IFERROR(__xludf.DUMMYFUNCTION("""COMPUTED_VALUE"""),44857.63083916666)</f>
        <v>44857.63084</v>
      </c>
      <c r="G3067" s="24" t="str">
        <f>IFERROR(__xludf.DUMMYFUNCTION("""COMPUTED_VALUE"""),"Carla")</f>
        <v>Carla</v>
      </c>
      <c r="H3067" s="24">
        <f>IFERROR(__xludf.DUMMYFUNCTION("""COMPUTED_VALUE"""),8.0)</f>
        <v>8</v>
      </c>
      <c r="I3067" s="24" t="str">
        <f>IFERROR(__xludf.DUMMYFUNCTION("""COMPUTED_VALUE"""),"Regular (up to 20lbs)")</f>
        <v>Regular (up to 20lbs)</v>
      </c>
    </row>
    <row r="3068">
      <c r="A3068" s="23">
        <f>IFERROR(__xludf.DUMMYFUNCTION("""COMPUTED_VALUE"""),44803.69128733797)</f>
        <v>44803.69129</v>
      </c>
      <c r="B3068" s="24" t="str">
        <f>IFERROR(__xludf.DUMMYFUNCTION("""COMPUTED_VALUE"""),"Kaneesha (expired) ")</f>
        <v>Kaneesha (expired) </v>
      </c>
      <c r="C3068" s="24">
        <f>IFERROR(__xludf.DUMMYFUNCTION("""COMPUTED_VALUE"""),16.0)</f>
        <v>16</v>
      </c>
      <c r="D3068" s="24"/>
      <c r="F3068" s="23">
        <f>IFERROR(__xludf.DUMMYFUNCTION("""COMPUTED_VALUE"""),44857.63106356481)</f>
        <v>44857.63106</v>
      </c>
      <c r="G3068" s="24" t="str">
        <f>IFERROR(__xludf.DUMMYFUNCTION("""COMPUTED_VALUE"""),"Carla")</f>
        <v>Carla</v>
      </c>
      <c r="H3068" s="24">
        <f>IFERROR(__xludf.DUMMYFUNCTION("""COMPUTED_VALUE"""),9.0)</f>
        <v>9</v>
      </c>
      <c r="I3068" s="24" t="str">
        <f>IFERROR(__xludf.DUMMYFUNCTION("""COMPUTED_VALUE"""),"Damage/expired/extra")</f>
        <v>Damage/expired/extra</v>
      </c>
    </row>
    <row r="3069">
      <c r="A3069" s="23">
        <f>IFERROR(__xludf.DUMMYFUNCTION("""COMPUTED_VALUE"""),44804.0)</f>
        <v>44804</v>
      </c>
      <c r="B3069" s="24" t="str">
        <f>IFERROR(__xludf.DUMMYFUNCTION("""COMPUTED_VALUE"""),"Lynette c")</f>
        <v>Lynette c</v>
      </c>
      <c r="C3069" s="24">
        <f>IFERROR(__xludf.DUMMYFUNCTION("""COMPUTED_VALUE"""),14.0)</f>
        <v>14</v>
      </c>
      <c r="D3069" s="24"/>
      <c r="F3069" s="23">
        <f>IFERROR(__xludf.DUMMYFUNCTION("""COMPUTED_VALUE"""),44857.651300844904)</f>
        <v>44857.6513</v>
      </c>
      <c r="G3069" s="24" t="str">
        <f>IFERROR(__xludf.DUMMYFUNCTION("""COMPUTED_VALUE"""),"Claire")</f>
        <v>Claire</v>
      </c>
      <c r="H3069" s="24">
        <f>IFERROR(__xludf.DUMMYFUNCTION("""COMPUTED_VALUE"""),170.0)</f>
        <v>170</v>
      </c>
      <c r="I3069" s="24" t="str">
        <f>IFERROR(__xludf.DUMMYFUNCTION("""COMPUTED_VALUE"""),"Assorted Dry")</f>
        <v>Assorted Dry</v>
      </c>
    </row>
    <row r="3070">
      <c r="A3070" s="23">
        <f>IFERROR(__xludf.DUMMYFUNCTION("""COMPUTED_VALUE"""),44804.0)</f>
        <v>44804</v>
      </c>
      <c r="B3070" s="24" t="str">
        <f>IFERROR(__xludf.DUMMYFUNCTION("""COMPUTED_VALUE"""),"Lynette c")</f>
        <v>Lynette c</v>
      </c>
      <c r="C3070" s="24">
        <f>IFERROR(__xludf.DUMMYFUNCTION("""COMPUTED_VALUE"""),15.0)</f>
        <v>15</v>
      </c>
      <c r="D3070" s="24"/>
      <c r="F3070" s="23">
        <f>IFERROR(__xludf.DUMMYFUNCTION("""COMPUTED_VALUE"""),44857.65287225694)</f>
        <v>44857.65287</v>
      </c>
      <c r="G3070" s="24" t="str">
        <f>IFERROR(__xludf.DUMMYFUNCTION("""COMPUTED_VALUE"""),"Claire")</f>
        <v>Claire</v>
      </c>
      <c r="H3070" s="24">
        <f>IFERROR(__xludf.DUMMYFUNCTION("""COMPUTED_VALUE"""),114.0)</f>
        <v>114</v>
      </c>
      <c r="I3070" s="24" t="str">
        <f>IFERROR(__xludf.DUMMYFUNCTION("""COMPUTED_VALUE"""),"Drinks [Dry]")</f>
        <v>Drinks [Dry]</v>
      </c>
    </row>
    <row r="3071">
      <c r="A3071" s="23">
        <f>IFERROR(__xludf.DUMMYFUNCTION("""COMPUTED_VALUE"""),44804.0)</f>
        <v>44804</v>
      </c>
      <c r="B3071" s="24" t="str">
        <f>IFERROR(__xludf.DUMMYFUNCTION("""COMPUTED_VALUE"""),"Cybil Bailey")</f>
        <v>Cybil Bailey</v>
      </c>
      <c r="C3071" s="24">
        <f>IFERROR(__xludf.DUMMYFUNCTION("""COMPUTED_VALUE"""),9.0)</f>
        <v>9</v>
      </c>
      <c r="D3071" s="24"/>
      <c r="F3071" s="23">
        <f>IFERROR(__xludf.DUMMYFUNCTION("""COMPUTED_VALUE"""),44857.65312571759)</f>
        <v>44857.65313</v>
      </c>
      <c r="G3071" s="24" t="str">
        <f>IFERROR(__xludf.DUMMYFUNCTION("""COMPUTED_VALUE"""),"Claire")</f>
        <v>Claire</v>
      </c>
      <c r="H3071" s="24">
        <f>IFERROR(__xludf.DUMMYFUNCTION("""COMPUTED_VALUE"""),172.0)</f>
        <v>172</v>
      </c>
      <c r="I3071" s="24" t="str">
        <f>IFERROR(__xludf.DUMMYFUNCTION("""COMPUTED_VALUE"""),"Assorted Dry")</f>
        <v>Assorted Dry</v>
      </c>
    </row>
    <row r="3072">
      <c r="A3072" s="23">
        <f>IFERROR(__xludf.DUMMYFUNCTION("""COMPUTED_VALUE"""),44804.0)</f>
        <v>44804</v>
      </c>
      <c r="B3072" s="24" t="str">
        <f>IFERROR(__xludf.DUMMYFUNCTION("""COMPUTED_VALUE"""),"Tyrese Springer")</f>
        <v>Tyrese Springer</v>
      </c>
      <c r="C3072" s="24">
        <f>IFERROR(__xludf.DUMMYFUNCTION("""COMPUTED_VALUE"""),18.0)</f>
        <v>18</v>
      </c>
      <c r="D3072" s="24"/>
      <c r="F3072" s="23">
        <f>IFERROR(__xludf.DUMMYFUNCTION("""COMPUTED_VALUE"""),44857.653518611114)</f>
        <v>44857.65352</v>
      </c>
      <c r="G3072" s="24" t="str">
        <f>IFERROR(__xludf.DUMMYFUNCTION("""COMPUTED_VALUE"""),"Claire")</f>
        <v>Claire</v>
      </c>
      <c r="H3072" s="24">
        <f>IFERROR(__xludf.DUMMYFUNCTION("""COMPUTED_VALUE"""),619.0)</f>
        <v>619</v>
      </c>
      <c r="I3072" s="24" t="str">
        <f>IFERROR(__xludf.DUMMYFUNCTION("""COMPUTED_VALUE"""),"Drinks [Dry]")</f>
        <v>Drinks [Dry]</v>
      </c>
    </row>
    <row r="3073">
      <c r="A3073" s="23">
        <f>IFERROR(__xludf.DUMMYFUNCTION("""COMPUTED_VALUE"""),44804.0)</f>
        <v>44804</v>
      </c>
      <c r="B3073" s="24" t="str">
        <f>IFERROR(__xludf.DUMMYFUNCTION("""COMPUTED_VALUE"""),"Alana Thomas")</f>
        <v>Alana Thomas</v>
      </c>
      <c r="C3073" s="24">
        <f>IFERROR(__xludf.DUMMYFUNCTION("""COMPUTED_VALUE"""),20.0)</f>
        <v>20</v>
      </c>
      <c r="D3073" s="24"/>
      <c r="F3073" s="23">
        <f>IFERROR(__xludf.DUMMYFUNCTION("""COMPUTED_VALUE"""),44857.65401534722)</f>
        <v>44857.65402</v>
      </c>
      <c r="G3073" s="24" t="str">
        <f>IFERROR(__xludf.DUMMYFUNCTION("""COMPUTED_VALUE"""),"Claire ")</f>
        <v>Claire </v>
      </c>
      <c r="H3073" s="24">
        <f>IFERROR(__xludf.DUMMYFUNCTION("""COMPUTED_VALUE"""),417.0)</f>
        <v>417</v>
      </c>
      <c r="I3073" s="24" t="str">
        <f>IFERROR(__xludf.DUMMYFUNCTION("""COMPUTED_VALUE"""),"Fruit cups")</f>
        <v>Fruit cups</v>
      </c>
    </row>
    <row r="3074">
      <c r="A3074" s="23">
        <f>IFERROR(__xludf.DUMMYFUNCTION("""COMPUTED_VALUE"""),44804.0)</f>
        <v>44804</v>
      </c>
      <c r="B3074" s="24" t="str">
        <f>IFERROR(__xludf.DUMMYFUNCTION("""COMPUTED_VALUE"""),"Julia Buckson")</f>
        <v>Julia Buckson</v>
      </c>
      <c r="C3074" s="24">
        <f>IFERROR(__xludf.DUMMYFUNCTION("""COMPUTED_VALUE"""),20.0)</f>
        <v>20</v>
      </c>
      <c r="D3074" s="24"/>
      <c r="F3074" s="23">
        <f>IFERROR(__xludf.DUMMYFUNCTION("""COMPUTED_VALUE"""),44857.654627083335)</f>
        <v>44857.65463</v>
      </c>
      <c r="G3074" s="24" t="str">
        <f>IFERROR(__xludf.DUMMYFUNCTION("""COMPUTED_VALUE"""),"Alex")</f>
        <v>Alex</v>
      </c>
      <c r="H3074" s="24">
        <f>IFERROR(__xludf.DUMMYFUNCTION("""COMPUTED_VALUE"""),20.0)</f>
        <v>20</v>
      </c>
      <c r="I3074" s="24" t="str">
        <f>IFERROR(__xludf.DUMMYFUNCTION("""COMPUTED_VALUE"""),"Regular (up to 20lbs)")</f>
        <v>Regular (up to 20lbs)</v>
      </c>
    </row>
    <row r="3075">
      <c r="A3075" s="23">
        <f>IFERROR(__xludf.DUMMYFUNCTION("""COMPUTED_VALUE"""),44804.0)</f>
        <v>44804</v>
      </c>
      <c r="B3075" s="24" t="str">
        <f>IFERROR(__xludf.DUMMYFUNCTION("""COMPUTED_VALUE"""),"Sharron Robinson")</f>
        <v>Sharron Robinson</v>
      </c>
      <c r="C3075" s="24">
        <f>IFERROR(__xludf.DUMMYFUNCTION("""COMPUTED_VALUE"""),20.0)</f>
        <v>20</v>
      </c>
      <c r="D3075" s="24"/>
      <c r="F3075" s="23">
        <f>IFERROR(__xludf.DUMMYFUNCTION("""COMPUTED_VALUE"""),44857.654762673614)</f>
        <v>44857.65476</v>
      </c>
      <c r="G3075" s="24" t="str">
        <f>IFERROR(__xludf.DUMMYFUNCTION("""COMPUTED_VALUE"""),"Claire ")</f>
        <v>Claire </v>
      </c>
      <c r="H3075" s="24">
        <f>IFERROR(__xludf.DUMMYFUNCTION("""COMPUTED_VALUE"""),115.0)</f>
        <v>115</v>
      </c>
      <c r="I3075" s="24" t="str">
        <f>IFERROR(__xludf.DUMMYFUNCTION("""COMPUTED_VALUE"""),"Assorted Dry")</f>
        <v>Assorted Dry</v>
      </c>
    </row>
    <row r="3076">
      <c r="A3076" s="23">
        <f>IFERROR(__xludf.DUMMYFUNCTION("""COMPUTED_VALUE"""),44804.0)</f>
        <v>44804</v>
      </c>
      <c r="B3076" s="24" t="str">
        <f>IFERROR(__xludf.DUMMYFUNCTION("""COMPUTED_VALUE"""),"Sharron Robinson")</f>
        <v>Sharron Robinson</v>
      </c>
      <c r="C3076" s="24">
        <f>IFERROR(__xludf.DUMMYFUNCTION("""COMPUTED_VALUE"""),30.0)</f>
        <v>30</v>
      </c>
      <c r="D3076" s="24"/>
      <c r="F3076" s="23">
        <f>IFERROR(__xludf.DUMMYFUNCTION("""COMPUTED_VALUE"""),44857.654895844906)</f>
        <v>44857.6549</v>
      </c>
      <c r="G3076" s="24" t="str">
        <f>IFERROR(__xludf.DUMMYFUNCTION("""COMPUTED_VALUE"""),"Alex")</f>
        <v>Alex</v>
      </c>
      <c r="H3076" s="24">
        <f>IFERROR(__xludf.DUMMYFUNCTION("""COMPUTED_VALUE"""),5.0)</f>
        <v>5</v>
      </c>
      <c r="I3076" s="24" t="str">
        <f>IFERROR(__xludf.DUMMYFUNCTION("""COMPUTED_VALUE"""),"Damage/expired/extra")</f>
        <v>Damage/expired/extra</v>
      </c>
    </row>
    <row r="3077">
      <c r="A3077" s="23">
        <f>IFERROR(__xludf.DUMMYFUNCTION("""COMPUTED_VALUE"""),44804.0)</f>
        <v>44804</v>
      </c>
      <c r="B3077" s="24" t="str">
        <f>IFERROR(__xludf.DUMMYFUNCTION("""COMPUTED_VALUE"""),"Melissa Thomas")</f>
        <v>Melissa Thomas</v>
      </c>
      <c r="C3077" s="24">
        <f>IFERROR(__xludf.DUMMYFUNCTION("""COMPUTED_VALUE"""),18.0)</f>
        <v>18</v>
      </c>
      <c r="D3077" s="24"/>
      <c r="F3077" s="23">
        <f>IFERROR(__xludf.DUMMYFUNCTION("""COMPUTED_VALUE"""),44857.65565929399)</f>
        <v>44857.65566</v>
      </c>
      <c r="G3077" s="24" t="str">
        <f>IFERROR(__xludf.DUMMYFUNCTION("""COMPUTED_VALUE"""),"Claire ")</f>
        <v>Claire </v>
      </c>
      <c r="H3077" s="24">
        <f>IFERROR(__xludf.DUMMYFUNCTION("""COMPUTED_VALUE"""),92.0)</f>
        <v>92</v>
      </c>
      <c r="I3077" s="24" t="str">
        <f>IFERROR(__xludf.DUMMYFUNCTION("""COMPUTED_VALUE"""),"Assorted Dry")</f>
        <v>Assorted Dry</v>
      </c>
    </row>
    <row r="3078">
      <c r="A3078" s="23">
        <f>IFERROR(__xludf.DUMMYFUNCTION("""COMPUTED_VALUE"""),44804.0)</f>
        <v>44804</v>
      </c>
      <c r="B3078" s="24" t="str">
        <f>IFERROR(__xludf.DUMMYFUNCTION("""COMPUTED_VALUE"""),"Sydni Demby")</f>
        <v>Sydni Demby</v>
      </c>
      <c r="C3078" s="24">
        <f>IFERROR(__xludf.DUMMYFUNCTION("""COMPUTED_VALUE"""),20.0)</f>
        <v>20</v>
      </c>
      <c r="D3078" s="24"/>
      <c r="F3078" s="23">
        <f>IFERROR(__xludf.DUMMYFUNCTION("""COMPUTED_VALUE"""),44857.65618479167)</f>
        <v>44857.65618</v>
      </c>
      <c r="G3078" s="24" t="str">
        <f>IFERROR(__xludf.DUMMYFUNCTION("""COMPUTED_VALUE"""),"Claire ")</f>
        <v>Claire </v>
      </c>
      <c r="H3078" s="24">
        <f>IFERROR(__xludf.DUMMYFUNCTION("""COMPUTED_VALUE"""),410.0)</f>
        <v>410</v>
      </c>
      <c r="I3078" s="24" t="str">
        <f>IFERROR(__xludf.DUMMYFUNCTION("""COMPUTED_VALUE"""),"Assorted Dry")</f>
        <v>Assorted Dry</v>
      </c>
    </row>
    <row r="3079">
      <c r="A3079" s="23">
        <f>IFERROR(__xludf.DUMMYFUNCTION("""COMPUTED_VALUE"""),44804.0)</f>
        <v>44804</v>
      </c>
      <c r="B3079" s="24" t="str">
        <f>IFERROR(__xludf.DUMMYFUNCTION("""COMPUTED_VALUE"""),"Jonathan Ibironke")</f>
        <v>Jonathan Ibironke</v>
      </c>
      <c r="C3079" s="24">
        <f>IFERROR(__xludf.DUMMYFUNCTION("""COMPUTED_VALUE"""),20.0)</f>
        <v>20</v>
      </c>
      <c r="D3079" s="24"/>
      <c r="F3079" s="23">
        <f>IFERROR(__xludf.DUMMYFUNCTION("""COMPUTED_VALUE"""),44857.65818116898)</f>
        <v>44857.65818</v>
      </c>
      <c r="G3079" s="24" t="str">
        <f>IFERROR(__xludf.DUMMYFUNCTION("""COMPUTED_VALUE"""),"Lynnette")</f>
        <v>Lynnette</v>
      </c>
      <c r="H3079" s="24">
        <f>IFERROR(__xludf.DUMMYFUNCTION("""COMPUTED_VALUE"""),11.0)</f>
        <v>11</v>
      </c>
      <c r="I3079" s="24" t="str">
        <f>IFERROR(__xludf.DUMMYFUNCTION("""COMPUTED_VALUE"""),"Damage/expired/extra")</f>
        <v>Damage/expired/extra</v>
      </c>
    </row>
    <row r="3080">
      <c r="A3080" s="23">
        <f>IFERROR(__xludf.DUMMYFUNCTION("""COMPUTED_VALUE"""),44804.0)</f>
        <v>44804</v>
      </c>
      <c r="B3080" s="24" t="str">
        <f>IFERROR(__xludf.DUMMYFUNCTION("""COMPUTED_VALUE"""),"Shinaya Todd")</f>
        <v>Shinaya Todd</v>
      </c>
      <c r="C3080" s="24">
        <f>IFERROR(__xludf.DUMMYFUNCTION("""COMPUTED_VALUE"""),20.0)</f>
        <v>20</v>
      </c>
      <c r="D3080" s="24"/>
      <c r="F3080" s="23">
        <f>IFERROR(__xludf.DUMMYFUNCTION("""COMPUTED_VALUE"""),44857.65934384259)</f>
        <v>44857.65934</v>
      </c>
      <c r="G3080" s="24" t="str">
        <f>IFERROR(__xludf.DUMMYFUNCTION("""COMPUTED_VALUE"""),"Kaneesha ")</f>
        <v>Kaneesha </v>
      </c>
      <c r="H3080" s="24">
        <f>IFERROR(__xludf.DUMMYFUNCTION("""COMPUTED_VALUE"""),20.0)</f>
        <v>20</v>
      </c>
      <c r="I3080" s="24" t="str">
        <f>IFERROR(__xludf.DUMMYFUNCTION("""COMPUTED_VALUE"""),"Regular (up to 20lbs)")</f>
        <v>Regular (up to 20lbs)</v>
      </c>
    </row>
    <row r="3081">
      <c r="A3081" s="23">
        <f>IFERROR(__xludf.DUMMYFUNCTION("""COMPUTED_VALUE"""),44804.0)</f>
        <v>44804</v>
      </c>
      <c r="B3081" s="24" t="str">
        <f>IFERROR(__xludf.DUMMYFUNCTION("""COMPUTED_VALUE"""),"Dee Satterfield")</f>
        <v>Dee Satterfield</v>
      </c>
      <c r="C3081" s="24">
        <f>IFERROR(__xludf.DUMMYFUNCTION("""COMPUTED_VALUE"""),20.0)</f>
        <v>20</v>
      </c>
      <c r="D3081" s="24"/>
      <c r="F3081" s="23">
        <f>IFERROR(__xludf.DUMMYFUNCTION("""COMPUTED_VALUE"""),44857.659818761575)</f>
        <v>44857.65982</v>
      </c>
      <c r="G3081" s="24" t="str">
        <f>IFERROR(__xludf.DUMMYFUNCTION("""COMPUTED_VALUE"""),"Kaneesha ")</f>
        <v>Kaneesha </v>
      </c>
      <c r="H3081" s="24">
        <f>IFERROR(__xludf.DUMMYFUNCTION("""COMPUTED_VALUE"""),15.0)</f>
        <v>15</v>
      </c>
      <c r="I3081" s="24" t="str">
        <f>IFERROR(__xludf.DUMMYFUNCTION("""COMPUTED_VALUE"""),"Damage/expired/extra")</f>
        <v>Damage/expired/extra</v>
      </c>
    </row>
    <row r="3082">
      <c r="A3082" s="23">
        <f>IFERROR(__xludf.DUMMYFUNCTION("""COMPUTED_VALUE"""),44804.0)</f>
        <v>44804</v>
      </c>
      <c r="B3082" s="24" t="str">
        <f>IFERROR(__xludf.DUMMYFUNCTION("""COMPUTED_VALUE"""),"Juanita Chandler ")</f>
        <v>Juanita Chandler </v>
      </c>
      <c r="C3082" s="24">
        <f>IFERROR(__xludf.DUMMYFUNCTION("""COMPUTED_VALUE"""),18.0)</f>
        <v>18</v>
      </c>
      <c r="D3082" s="24"/>
      <c r="F3082" s="23">
        <f>IFERROR(__xludf.DUMMYFUNCTION("""COMPUTED_VALUE"""),44857.66227857638)</f>
        <v>44857.66228</v>
      </c>
      <c r="G3082" s="24" t="str">
        <f>IFERROR(__xludf.DUMMYFUNCTION("""COMPUTED_VALUE"""),"James")</f>
        <v>James</v>
      </c>
      <c r="H3082" s="24">
        <f>IFERROR(__xludf.DUMMYFUNCTION("""COMPUTED_VALUE"""),17.0)</f>
        <v>17</v>
      </c>
      <c r="I3082" s="24" t="str">
        <f>IFERROR(__xludf.DUMMYFUNCTION("""COMPUTED_VALUE"""),"Regular (up to 20lbs)")</f>
        <v>Regular (up to 20lbs)</v>
      </c>
    </row>
    <row r="3083">
      <c r="A3083" s="23">
        <f>IFERROR(__xludf.DUMMYFUNCTION("""COMPUTED_VALUE"""),44804.0)</f>
        <v>44804</v>
      </c>
      <c r="B3083" s="24" t="str">
        <f>IFERROR(__xludf.DUMMYFUNCTION("""COMPUTED_VALUE"""),"Juanita Chandler")</f>
        <v>Juanita Chandler</v>
      </c>
      <c r="C3083" s="24">
        <f>IFERROR(__xludf.DUMMYFUNCTION("""COMPUTED_VALUE"""),10.0)</f>
        <v>10</v>
      </c>
      <c r="D3083" s="24"/>
      <c r="F3083" s="23">
        <f>IFERROR(__xludf.DUMMYFUNCTION("""COMPUTED_VALUE"""),44857.662737280094)</f>
        <v>44857.66274</v>
      </c>
      <c r="G3083" s="24" t="str">
        <f>IFERROR(__xludf.DUMMYFUNCTION("""COMPUTED_VALUE"""),"Lynnette")</f>
        <v>Lynnette</v>
      </c>
      <c r="H3083" s="24">
        <f>IFERROR(__xludf.DUMMYFUNCTION("""COMPUTED_VALUE"""),5.0)</f>
        <v>5</v>
      </c>
      <c r="I3083" s="24" t="str">
        <f>IFERROR(__xludf.DUMMYFUNCTION("""COMPUTED_VALUE"""),"Regular (up to 20lbs)")</f>
        <v>Regular (up to 20lbs)</v>
      </c>
    </row>
    <row r="3084">
      <c r="A3084" s="23">
        <f>IFERROR(__xludf.DUMMYFUNCTION("""COMPUTED_VALUE"""),44804.0)</f>
        <v>44804</v>
      </c>
      <c r="B3084" s="24" t="str">
        <f>IFERROR(__xludf.DUMMYFUNCTION("""COMPUTED_VALUE"""),"Davente Jones")</f>
        <v>Davente Jones</v>
      </c>
      <c r="C3084" s="24">
        <f>IFERROR(__xludf.DUMMYFUNCTION("""COMPUTED_VALUE"""),20.0)</f>
        <v>20</v>
      </c>
      <c r="D3084" s="24"/>
      <c r="F3084" s="23">
        <f>IFERROR(__xludf.DUMMYFUNCTION("""COMPUTED_VALUE"""),44857.664132881946)</f>
        <v>44857.66413</v>
      </c>
      <c r="G3084" s="24" t="str">
        <f>IFERROR(__xludf.DUMMYFUNCTION("""COMPUTED_VALUE"""),"John Henry Williams")</f>
        <v>John Henry Williams</v>
      </c>
      <c r="H3084" s="24">
        <f>IFERROR(__xludf.DUMMYFUNCTION("""COMPUTED_VALUE"""),15.0)</f>
        <v>15</v>
      </c>
      <c r="I3084" s="24" t="str">
        <f>IFERROR(__xludf.DUMMYFUNCTION("""COMPUTED_VALUE"""),"Regular (up to 20lbs)")</f>
        <v>Regular (up to 20lbs)</v>
      </c>
    </row>
    <row r="3085">
      <c r="A3085" s="23">
        <f>IFERROR(__xludf.DUMMYFUNCTION("""COMPUTED_VALUE"""),44804.0)</f>
        <v>44804</v>
      </c>
      <c r="B3085" s="24" t="str">
        <f>IFERROR(__xludf.DUMMYFUNCTION("""COMPUTED_VALUE"""),"Cheryl Utsey")</f>
        <v>Cheryl Utsey</v>
      </c>
      <c r="C3085" s="24">
        <f>IFERROR(__xludf.DUMMYFUNCTION("""COMPUTED_VALUE"""),147.0)</f>
        <v>147</v>
      </c>
      <c r="D3085" s="24"/>
      <c r="F3085" s="23">
        <f>IFERROR(__xludf.DUMMYFUNCTION("""COMPUTED_VALUE"""),44859.0)</f>
        <v>44859</v>
      </c>
      <c r="G3085" s="24" t="str">
        <f>IFERROR(__xludf.DUMMYFUNCTION("""COMPUTED_VALUE"""),"Hong Xue")</f>
        <v>Hong Xue</v>
      </c>
      <c r="H3085" s="24">
        <f>IFERROR(__xludf.DUMMYFUNCTION("""COMPUTED_VALUE"""),19.0)</f>
        <v>19</v>
      </c>
      <c r="I3085" s="24" t="str">
        <f>IFERROR(__xludf.DUMMYFUNCTION("""COMPUTED_VALUE"""),"Regular (up to 20lbs)")</f>
        <v>Regular (up to 20lbs)</v>
      </c>
    </row>
    <row r="3086">
      <c r="A3086" s="23">
        <f>IFERROR(__xludf.DUMMYFUNCTION("""COMPUTED_VALUE"""),44804.565871770836)</f>
        <v>44804.56587</v>
      </c>
      <c r="B3086" s="24" t="str">
        <f>IFERROR(__xludf.DUMMYFUNCTION("""COMPUTED_VALUE"""),"Bud- sisson st dranks")</f>
        <v>Bud- sisson st dranks</v>
      </c>
      <c r="C3086" s="24">
        <f>IFERROR(__xludf.DUMMYFUNCTION("""COMPUTED_VALUE"""),15.0)</f>
        <v>15</v>
      </c>
      <c r="D3086" s="24"/>
      <c r="F3086" s="23">
        <f>IFERROR(__xludf.DUMMYFUNCTION("""COMPUTED_VALUE"""),44859.0)</f>
        <v>44859</v>
      </c>
      <c r="G3086" s="24" t="str">
        <f>IFERROR(__xludf.DUMMYFUNCTION("""COMPUTED_VALUE"""),"Hong Xue")</f>
        <v>Hong Xue</v>
      </c>
      <c r="H3086" s="24">
        <f>IFERROR(__xludf.DUMMYFUNCTION("""COMPUTED_VALUE"""),15.0)</f>
        <v>15</v>
      </c>
      <c r="I3086" s="24" t="str">
        <f>IFERROR(__xludf.DUMMYFUNCTION("""COMPUTED_VALUE"""),"Damage/expired/extra")</f>
        <v>Damage/expired/extra</v>
      </c>
    </row>
    <row r="3087">
      <c r="A3087" s="23">
        <f>IFERROR(__xludf.DUMMYFUNCTION("""COMPUTED_VALUE"""),44804.56622862268)</f>
        <v>44804.56623</v>
      </c>
      <c r="B3087" s="24" t="str">
        <f>IFERROR(__xludf.DUMMYFUNCTION("""COMPUTED_VALUE"""),"Bud Stracker personal ")</f>
        <v>Bud Stracker personal </v>
      </c>
      <c r="C3087" s="24">
        <f>IFERROR(__xludf.DUMMYFUNCTION("""COMPUTED_VALUE"""),11.0)</f>
        <v>11</v>
      </c>
      <c r="D3087" s="24"/>
      <c r="F3087" s="23">
        <f>IFERROR(__xludf.DUMMYFUNCTION("""COMPUTED_VALUE"""),44859.66201526621)</f>
        <v>44859.66202</v>
      </c>
      <c r="G3087" s="24" t="str">
        <f>IFERROR(__xludf.DUMMYFUNCTION("""COMPUTED_VALUE"""),"Kaneesha ")</f>
        <v>Kaneesha </v>
      </c>
      <c r="H3087" s="24">
        <f>IFERROR(__xludf.DUMMYFUNCTION("""COMPUTED_VALUE"""),20.0)</f>
        <v>20</v>
      </c>
      <c r="I3087" s="24" t="str">
        <f>IFERROR(__xludf.DUMMYFUNCTION("""COMPUTED_VALUE"""),"Regular (up to 20lbs)")</f>
        <v>Regular (up to 20lbs)</v>
      </c>
    </row>
    <row r="3088">
      <c r="A3088" s="23">
        <f>IFERROR(__xludf.DUMMYFUNCTION("""COMPUTED_VALUE"""),44804.71696413194)</f>
        <v>44804.71696</v>
      </c>
      <c r="B3088" s="24" t="str">
        <f>IFERROR(__xludf.DUMMYFUNCTION("""COMPUTED_VALUE"""),"Karen")</f>
        <v>Karen</v>
      </c>
      <c r="C3088" s="24">
        <f>IFERROR(__xludf.DUMMYFUNCTION("""COMPUTED_VALUE"""),17.0)</f>
        <v>17</v>
      </c>
      <c r="D3088" s="24"/>
      <c r="F3088" s="23">
        <f>IFERROR(__xludf.DUMMYFUNCTION("""COMPUTED_VALUE"""),44859.66232697917)</f>
        <v>44859.66233</v>
      </c>
      <c r="G3088" s="24" t="str">
        <f>IFERROR(__xludf.DUMMYFUNCTION("""COMPUTED_VALUE"""),"Kaneesha ")</f>
        <v>Kaneesha </v>
      </c>
      <c r="H3088" s="24">
        <f>IFERROR(__xludf.DUMMYFUNCTION("""COMPUTED_VALUE"""),5.0)</f>
        <v>5</v>
      </c>
      <c r="I3088" s="24" t="str">
        <f>IFERROR(__xludf.DUMMYFUNCTION("""COMPUTED_VALUE"""),"Damage/expired/extra")</f>
        <v>Damage/expired/extra</v>
      </c>
    </row>
    <row r="3089">
      <c r="A3089" s="23">
        <f>IFERROR(__xludf.DUMMYFUNCTION("""COMPUTED_VALUE"""),44804.717526273154)</f>
        <v>44804.71753</v>
      </c>
      <c r="B3089" s="24" t="str">
        <f>IFERROR(__xludf.DUMMYFUNCTION("""COMPUTED_VALUE"""),"Karen expired")</f>
        <v>Karen expired</v>
      </c>
      <c r="C3089" s="24">
        <f>IFERROR(__xludf.DUMMYFUNCTION("""COMPUTED_VALUE"""),23.0)</f>
        <v>23</v>
      </c>
      <c r="D3089" s="24"/>
      <c r="F3089" s="23">
        <f>IFERROR(__xludf.DUMMYFUNCTION("""COMPUTED_VALUE"""),44859.66320293982)</f>
        <v>44859.6632</v>
      </c>
      <c r="G3089" s="24" t="str">
        <f>IFERROR(__xludf.DUMMYFUNCTION("""COMPUTED_VALUE"""),"Beverly Graham ")</f>
        <v>Beverly Graham </v>
      </c>
      <c r="H3089" s="24">
        <f>IFERROR(__xludf.DUMMYFUNCTION("""COMPUTED_VALUE"""),14.0)</f>
        <v>14</v>
      </c>
      <c r="I3089" s="24" t="str">
        <f>IFERROR(__xludf.DUMMYFUNCTION("""COMPUTED_VALUE"""),"Regular (up to 20lbs)")</f>
        <v>Regular (up to 20lbs)</v>
      </c>
    </row>
    <row r="3090">
      <c r="A3090" s="23">
        <f>IFERROR(__xludf.DUMMYFUNCTION("""COMPUTED_VALUE"""),44804.7199890625)</f>
        <v>44804.71999</v>
      </c>
      <c r="B3090" s="24" t="str">
        <f>IFERROR(__xludf.DUMMYFUNCTION("""COMPUTED_VALUE"""),"Beverly Pinn")</f>
        <v>Beverly Pinn</v>
      </c>
      <c r="C3090" s="24">
        <f>IFERROR(__xludf.DUMMYFUNCTION("""COMPUTED_VALUE"""),19.0)</f>
        <v>19</v>
      </c>
      <c r="D3090" s="24"/>
      <c r="F3090" s="23">
        <f>IFERROR(__xludf.DUMMYFUNCTION("""COMPUTED_VALUE"""),44859.66339944445)</f>
        <v>44859.6634</v>
      </c>
      <c r="G3090" s="24" t="str">
        <f>IFERROR(__xludf.DUMMYFUNCTION("""COMPUTED_VALUE"""),"Beverly Graham ")</f>
        <v>Beverly Graham </v>
      </c>
      <c r="H3090" s="24">
        <f>IFERROR(__xludf.DUMMYFUNCTION("""COMPUTED_VALUE"""),3.0)</f>
        <v>3</v>
      </c>
      <c r="I3090" s="24" t="str">
        <f>IFERROR(__xludf.DUMMYFUNCTION("""COMPUTED_VALUE"""),"Damage/expired/extra")</f>
        <v>Damage/expired/extra</v>
      </c>
    </row>
    <row r="3091">
      <c r="A3091" s="23">
        <f>IFERROR(__xludf.DUMMYFUNCTION("""COMPUTED_VALUE"""),44804.72033315973)</f>
        <v>44804.72033</v>
      </c>
      <c r="B3091" s="24" t="str">
        <f>IFERROR(__xludf.DUMMYFUNCTION("""COMPUTED_VALUE"""),"Beverly Pinn")</f>
        <v>Beverly Pinn</v>
      </c>
      <c r="C3091" s="24">
        <f>IFERROR(__xludf.DUMMYFUNCTION("""COMPUTED_VALUE"""),11.0)</f>
        <v>11</v>
      </c>
      <c r="D3091" s="24"/>
      <c r="F3091" s="23">
        <f>IFERROR(__xludf.DUMMYFUNCTION("""COMPUTED_VALUE"""),44859.66360546296)</f>
        <v>44859.66361</v>
      </c>
      <c r="G3091" s="24" t="str">
        <f>IFERROR(__xludf.DUMMYFUNCTION("""COMPUTED_VALUE"""),"Romaine Bouldin ")</f>
        <v>Romaine Bouldin </v>
      </c>
      <c r="H3091" s="24">
        <f>IFERROR(__xludf.DUMMYFUNCTION("""COMPUTED_VALUE"""),17.0)</f>
        <v>17</v>
      </c>
      <c r="I3091" s="24" t="str">
        <f>IFERROR(__xludf.DUMMYFUNCTION("""COMPUTED_VALUE"""),"Regular (up to 20lbs)")</f>
        <v>Regular (up to 20lbs)</v>
      </c>
    </row>
    <row r="3092">
      <c r="A3092" s="23">
        <f>IFERROR(__xludf.DUMMYFUNCTION("""COMPUTED_VALUE"""),44804.8170424537)</f>
        <v>44804.81704</v>
      </c>
      <c r="B3092" s="24" t="str">
        <f>IFERROR(__xludf.DUMMYFUNCTION("""COMPUTED_VALUE"""),"Connor Gephart")</f>
        <v>Connor Gephart</v>
      </c>
      <c r="C3092" s="24">
        <f>IFERROR(__xludf.DUMMYFUNCTION("""COMPUTED_VALUE"""),13.0)</f>
        <v>13</v>
      </c>
      <c r="D3092" s="24"/>
      <c r="F3092" s="23">
        <f>IFERROR(__xludf.DUMMYFUNCTION("""COMPUTED_VALUE"""),44859.663860891196)</f>
        <v>44859.66386</v>
      </c>
      <c r="G3092" s="24" t="str">
        <f>IFERROR(__xludf.DUMMYFUNCTION("""COMPUTED_VALUE"""),"Beverly Pinn")</f>
        <v>Beverly Pinn</v>
      </c>
      <c r="H3092" s="24">
        <f>IFERROR(__xludf.DUMMYFUNCTION("""COMPUTED_VALUE"""),12.0)</f>
        <v>12</v>
      </c>
      <c r="I3092" s="24" t="str">
        <f>IFERROR(__xludf.DUMMYFUNCTION("""COMPUTED_VALUE"""),"Regular (up to 20lbs)")</f>
        <v>Regular (up to 20lbs)</v>
      </c>
    </row>
    <row r="3093">
      <c r="A3093" s="23">
        <f>IFERROR(__xludf.DUMMYFUNCTION("""COMPUTED_VALUE"""),44804.81718019676)</f>
        <v>44804.81718</v>
      </c>
      <c r="B3093" s="24" t="str">
        <f>IFERROR(__xludf.DUMMYFUNCTION("""COMPUTED_VALUE"""),"Maddie Pardes ")</f>
        <v>Maddie Pardes </v>
      </c>
      <c r="C3093" s="24">
        <f>IFERROR(__xludf.DUMMYFUNCTION("""COMPUTED_VALUE"""),9.0)</f>
        <v>9</v>
      </c>
      <c r="D3093" s="24"/>
      <c r="F3093" s="23">
        <f>IFERROR(__xludf.DUMMYFUNCTION("""COMPUTED_VALUE"""),44859.66386688658)</f>
        <v>44859.66387</v>
      </c>
      <c r="G3093" s="24" t="str">
        <f>IFERROR(__xludf.DUMMYFUNCTION("""COMPUTED_VALUE"""),"Romaine Bouldin ")</f>
        <v>Romaine Bouldin </v>
      </c>
      <c r="H3093" s="24">
        <f>IFERROR(__xludf.DUMMYFUNCTION("""COMPUTED_VALUE"""),6.0)</f>
        <v>6</v>
      </c>
      <c r="I3093" s="24" t="str">
        <f>IFERROR(__xludf.DUMMYFUNCTION("""COMPUTED_VALUE"""),"Damage/expired/extra")</f>
        <v>Damage/expired/extra</v>
      </c>
    </row>
    <row r="3094">
      <c r="A3094" s="23">
        <f>IFERROR(__xludf.DUMMYFUNCTION("""COMPUTED_VALUE"""),44804.0)</f>
        <v>44804</v>
      </c>
      <c r="B3094" s="24" t="str">
        <f>IFERROR(__xludf.DUMMYFUNCTION("""COMPUTED_VALUE"""),"Camille")</f>
        <v>Camille</v>
      </c>
      <c r="C3094" s="24">
        <f>IFERROR(__xludf.DUMMYFUNCTION("""COMPUTED_VALUE"""),1.5)</f>
        <v>1.5</v>
      </c>
      <c r="D3094" s="24"/>
      <c r="F3094" s="23">
        <f>IFERROR(__xludf.DUMMYFUNCTION("""COMPUTED_VALUE"""),44859.66402833333)</f>
        <v>44859.66403</v>
      </c>
      <c r="G3094" s="24" t="str">
        <f>IFERROR(__xludf.DUMMYFUNCTION("""COMPUTED_VALUE"""),"Beverly Pinn")</f>
        <v>Beverly Pinn</v>
      </c>
      <c r="H3094" s="24">
        <f>IFERROR(__xludf.DUMMYFUNCTION("""COMPUTED_VALUE"""),5.0)</f>
        <v>5</v>
      </c>
      <c r="I3094" s="24" t="str">
        <f>IFERROR(__xludf.DUMMYFUNCTION("""COMPUTED_VALUE"""),"Damage/expired/extra")</f>
        <v>Damage/expired/extra</v>
      </c>
    </row>
    <row r="3095">
      <c r="A3095" s="23">
        <f>IFERROR(__xludf.DUMMYFUNCTION("""COMPUTED_VALUE"""),44804.821952893515)</f>
        <v>44804.82195</v>
      </c>
      <c r="B3095" s="24" t="str">
        <f>IFERROR(__xludf.DUMMYFUNCTION("""COMPUTED_VALUE"""),"Camille")</f>
        <v>Camille</v>
      </c>
      <c r="C3095" s="24">
        <f>IFERROR(__xludf.DUMMYFUNCTION("""COMPUTED_VALUE"""),17.0)</f>
        <v>17</v>
      </c>
      <c r="D3095" s="24"/>
      <c r="F3095" s="23">
        <f>IFERROR(__xludf.DUMMYFUNCTION("""COMPUTED_VALUE"""),44859.66441638889)</f>
        <v>44859.66442</v>
      </c>
      <c r="G3095" s="24" t="str">
        <f>IFERROR(__xludf.DUMMYFUNCTION("""COMPUTED_VALUE"""),"Anna West")</f>
        <v>Anna West</v>
      </c>
      <c r="H3095" s="24">
        <f>IFERROR(__xludf.DUMMYFUNCTION("""COMPUTED_VALUE"""),20.0)</f>
        <v>20</v>
      </c>
      <c r="I3095" s="24" t="str">
        <f>IFERROR(__xludf.DUMMYFUNCTION("""COMPUTED_VALUE"""),"Regular (up to 20lbs)")</f>
        <v>Regular (up to 20lbs)</v>
      </c>
    </row>
    <row r="3096">
      <c r="A3096" s="23">
        <f>IFERROR(__xludf.DUMMYFUNCTION("""COMPUTED_VALUE"""),44805.0)</f>
        <v>44805</v>
      </c>
      <c r="B3096" s="24" t="str">
        <f>IFERROR(__xludf.DUMMYFUNCTION("""COMPUTED_VALUE"""),"Denise Brown")</f>
        <v>Denise Brown</v>
      </c>
      <c r="C3096" s="24">
        <f>IFERROR(__xludf.DUMMYFUNCTION("""COMPUTED_VALUE"""),17.0)</f>
        <v>17</v>
      </c>
      <c r="D3096" s="24"/>
      <c r="F3096" s="23">
        <f>IFERROR(__xludf.DUMMYFUNCTION("""COMPUTED_VALUE"""),44859.66453675926)</f>
        <v>44859.66454</v>
      </c>
      <c r="G3096" s="24" t="str">
        <f>IFERROR(__xludf.DUMMYFUNCTION("""COMPUTED_VALUE"""),"Anna West")</f>
        <v>Anna West</v>
      </c>
      <c r="H3096" s="24">
        <f>IFERROR(__xludf.DUMMYFUNCTION("""COMPUTED_VALUE"""),8.0)</f>
        <v>8</v>
      </c>
      <c r="I3096" s="24" t="str">
        <f>IFERROR(__xludf.DUMMYFUNCTION("""COMPUTED_VALUE"""),"Damage/expired/extra")</f>
        <v>Damage/expired/extra</v>
      </c>
    </row>
    <row r="3097">
      <c r="A3097" s="23">
        <f>IFERROR(__xludf.DUMMYFUNCTION("""COMPUTED_VALUE"""),44805.0)</f>
        <v>44805</v>
      </c>
      <c r="B3097" s="24" t="str">
        <f>IFERROR(__xludf.DUMMYFUNCTION("""COMPUTED_VALUE"""),"Hong Xue")</f>
        <v>Hong Xue</v>
      </c>
      <c r="C3097" s="24">
        <f>IFERROR(__xludf.DUMMYFUNCTION("""COMPUTED_VALUE"""),19.0)</f>
        <v>19</v>
      </c>
      <c r="D3097" s="24"/>
      <c r="F3097" s="23">
        <f>IFERROR(__xludf.DUMMYFUNCTION("""COMPUTED_VALUE"""),44859.66748288195)</f>
        <v>44859.66748</v>
      </c>
      <c r="G3097" s="24" t="str">
        <f>IFERROR(__xludf.DUMMYFUNCTION("""COMPUTED_VALUE"""),"Jean")</f>
        <v>Jean</v>
      </c>
      <c r="H3097" s="24">
        <f>IFERROR(__xludf.DUMMYFUNCTION("""COMPUTED_VALUE"""),30.0)</f>
        <v>30</v>
      </c>
      <c r="I3097" s="24" t="str">
        <f>IFERROR(__xludf.DUMMYFUNCTION("""COMPUTED_VALUE"""),"Regular (up to 20lbs)")</f>
        <v>Regular (up to 20lbs)</v>
      </c>
    </row>
    <row r="3098">
      <c r="A3098" s="23">
        <f>IFERROR(__xludf.DUMMYFUNCTION("""COMPUTED_VALUE"""),44805.0)</f>
        <v>44805</v>
      </c>
      <c r="B3098" s="24" t="str">
        <f>IFERROR(__xludf.DUMMYFUNCTION("""COMPUTED_VALUE"""),"Hong Xue")</f>
        <v>Hong Xue</v>
      </c>
      <c r="C3098" s="24">
        <f>IFERROR(__xludf.DUMMYFUNCTION("""COMPUTED_VALUE"""),8.0)</f>
        <v>8</v>
      </c>
      <c r="D3098" s="24"/>
      <c r="F3098" s="23">
        <f>IFERROR(__xludf.DUMMYFUNCTION("""COMPUTED_VALUE"""),44859.667711435184)</f>
        <v>44859.66771</v>
      </c>
      <c r="G3098" s="24" t="str">
        <f>IFERROR(__xludf.DUMMYFUNCTION("""COMPUTED_VALUE"""),"Jean")</f>
        <v>Jean</v>
      </c>
      <c r="H3098" s="24">
        <f>IFERROR(__xludf.DUMMYFUNCTION("""COMPUTED_VALUE"""),2.0)</f>
        <v>2</v>
      </c>
      <c r="I3098" s="24" t="str">
        <f>IFERROR(__xludf.DUMMYFUNCTION("""COMPUTED_VALUE"""),"Damage/expired/extra")</f>
        <v>Damage/expired/extra</v>
      </c>
    </row>
    <row r="3099">
      <c r="A3099" s="23">
        <f>IFERROR(__xludf.DUMMYFUNCTION("""COMPUTED_VALUE"""),44805.0)</f>
        <v>44805</v>
      </c>
      <c r="B3099" s="24" t="str">
        <f>IFERROR(__xludf.DUMMYFUNCTION("""COMPUTED_VALUE"""),"Melissa Thomas")</f>
        <v>Melissa Thomas</v>
      </c>
      <c r="C3099" s="24">
        <f>IFERROR(__xludf.DUMMYFUNCTION("""COMPUTED_VALUE"""),21.0)</f>
        <v>21</v>
      </c>
      <c r="D3099" s="24"/>
      <c r="F3099" s="23">
        <f>IFERROR(__xludf.DUMMYFUNCTION("""COMPUTED_VALUE"""),44860.0)</f>
        <v>44860</v>
      </c>
      <c r="G3099" s="24" t="str">
        <f>IFERROR(__xludf.DUMMYFUNCTION("""COMPUTED_VALUE"""),"Juanita Chandler ")</f>
        <v>Juanita Chandler </v>
      </c>
      <c r="H3099" s="24">
        <f>IFERROR(__xludf.DUMMYFUNCTION("""COMPUTED_VALUE"""),12.0)</f>
        <v>12</v>
      </c>
      <c r="I3099" s="24" t="str">
        <f>IFERROR(__xludf.DUMMYFUNCTION("""COMPUTED_VALUE"""),"Regular (up to 20lbs)")</f>
        <v>Regular (up to 20lbs)</v>
      </c>
    </row>
    <row r="3100">
      <c r="A3100" s="23">
        <f>IFERROR(__xludf.DUMMYFUNCTION("""COMPUTED_VALUE"""),44805.0)</f>
        <v>44805</v>
      </c>
      <c r="B3100" s="24" t="str">
        <f>IFERROR(__xludf.DUMMYFUNCTION("""COMPUTED_VALUE"""),"Kendrick Johnson")</f>
        <v>Kendrick Johnson</v>
      </c>
      <c r="C3100" s="24">
        <f>IFERROR(__xludf.DUMMYFUNCTION("""COMPUTED_VALUE"""),20.0)</f>
        <v>20</v>
      </c>
      <c r="D3100" s="24"/>
      <c r="F3100" s="23">
        <f>IFERROR(__xludf.DUMMYFUNCTION("""COMPUTED_VALUE"""),44860.5895097338)</f>
        <v>44860.58951</v>
      </c>
      <c r="G3100" s="24" t="str">
        <f>IFERROR(__xludf.DUMMYFUNCTION("""COMPUTED_VALUE"""),"Bud Stracker - DPW sisson st drinks")</f>
        <v>Bud Stracker - DPW sisson st drinks</v>
      </c>
      <c r="H3100" s="24">
        <f>IFERROR(__xludf.DUMMYFUNCTION("""COMPUTED_VALUE"""),13.0)</f>
        <v>13</v>
      </c>
      <c r="I3100" s="24" t="str">
        <f>IFERROR(__xludf.DUMMYFUNCTION("""COMPUTED_VALUE"""),"Regular (up to 20lbs)")</f>
        <v>Regular (up to 20lbs)</v>
      </c>
    </row>
    <row r="3101">
      <c r="A3101" s="23">
        <f>IFERROR(__xludf.DUMMYFUNCTION("""COMPUTED_VALUE"""),44805.0)</f>
        <v>44805</v>
      </c>
      <c r="B3101" s="24" t="str">
        <f>IFERROR(__xludf.DUMMYFUNCTION("""COMPUTED_VALUE"""),"Sheneil Black")</f>
        <v>Sheneil Black</v>
      </c>
      <c r="C3101" s="24">
        <f>IFERROR(__xludf.DUMMYFUNCTION("""COMPUTED_VALUE"""),20.0)</f>
        <v>20</v>
      </c>
      <c r="D3101" s="24"/>
      <c r="F3101" s="23">
        <f>IFERROR(__xludf.DUMMYFUNCTION("""COMPUTED_VALUE"""),44860.5896916551)</f>
        <v>44860.58969</v>
      </c>
      <c r="G3101" s="24" t="str">
        <f>IFERROR(__xludf.DUMMYFUNCTION("""COMPUTED_VALUE"""),"Bud Stracker - personal ")</f>
        <v>Bud Stracker - personal </v>
      </c>
      <c r="H3101" s="24">
        <f>IFERROR(__xludf.DUMMYFUNCTION("""COMPUTED_VALUE"""),2.0)</f>
        <v>2</v>
      </c>
      <c r="I3101" s="24" t="str">
        <f>IFERROR(__xludf.DUMMYFUNCTION("""COMPUTED_VALUE"""),"Regular (up to 20lbs)")</f>
        <v>Regular (up to 20lbs)</v>
      </c>
    </row>
    <row r="3102">
      <c r="A3102" s="23">
        <f>IFERROR(__xludf.DUMMYFUNCTION("""COMPUTED_VALUE"""),44805.0)</f>
        <v>44805</v>
      </c>
      <c r="B3102" s="24" t="str">
        <f>IFERROR(__xludf.DUMMYFUNCTION("""COMPUTED_VALUE"""),"Sheneil Black")</f>
        <v>Sheneil Black</v>
      </c>
      <c r="C3102" s="24">
        <f>IFERROR(__xludf.DUMMYFUNCTION("""COMPUTED_VALUE"""),2.0)</f>
        <v>2</v>
      </c>
      <c r="D3102" s="24"/>
      <c r="F3102" s="23">
        <f>IFERROR(__xludf.DUMMYFUNCTION("""COMPUTED_VALUE"""),44860.69485341435)</f>
        <v>44860.69485</v>
      </c>
      <c r="G3102" s="24" t="str">
        <f>IFERROR(__xludf.DUMMYFUNCTION("""COMPUTED_VALUE"""),"Claire")</f>
        <v>Claire</v>
      </c>
      <c r="H3102" s="24">
        <f>IFERROR(__xludf.DUMMYFUNCTION("""COMPUTED_VALUE"""),1312.0)</f>
        <v>1312</v>
      </c>
      <c r="I3102" s="24" t="str">
        <f>IFERROR(__xludf.DUMMYFUNCTION("""COMPUTED_VALUE"""),"Drinks [Dry]")</f>
        <v>Drinks [Dry]</v>
      </c>
    </row>
    <row r="3103">
      <c r="A3103" s="23">
        <f>IFERROR(__xludf.DUMMYFUNCTION("""COMPUTED_VALUE"""),44805.0)</f>
        <v>44805</v>
      </c>
      <c r="B3103" s="24" t="str">
        <f>IFERROR(__xludf.DUMMYFUNCTION("""COMPUTED_VALUE"""),"Nathaniel McClean")</f>
        <v>Nathaniel McClean</v>
      </c>
      <c r="C3103" s="24">
        <f>IFERROR(__xludf.DUMMYFUNCTION("""COMPUTED_VALUE"""),18.0)</f>
        <v>18</v>
      </c>
      <c r="D3103" s="24"/>
      <c r="F3103" s="23">
        <f>IFERROR(__xludf.DUMMYFUNCTION("""COMPUTED_VALUE"""),44860.6951046412)</f>
        <v>44860.6951</v>
      </c>
      <c r="G3103" s="24" t="str">
        <f>IFERROR(__xludf.DUMMYFUNCTION("""COMPUTED_VALUE"""),"Claire")</f>
        <v>Claire</v>
      </c>
      <c r="H3103" s="24">
        <f>IFERROR(__xludf.DUMMYFUNCTION("""COMPUTED_VALUE"""),1007.0)</f>
        <v>1007</v>
      </c>
      <c r="I3103" s="24" t="str">
        <f>IFERROR(__xludf.DUMMYFUNCTION("""COMPUTED_VALUE"""),"Fruit cups")</f>
        <v>Fruit cups</v>
      </c>
    </row>
    <row r="3104">
      <c r="A3104" s="23">
        <f>IFERROR(__xludf.DUMMYFUNCTION("""COMPUTED_VALUE"""),44805.0)</f>
        <v>44805</v>
      </c>
      <c r="B3104" s="24" t="str">
        <f>IFERROR(__xludf.DUMMYFUNCTION("""COMPUTED_VALUE"""),"Vincent Faulk")</f>
        <v>Vincent Faulk</v>
      </c>
      <c r="C3104" s="24">
        <f>IFERROR(__xludf.DUMMYFUNCTION("""COMPUTED_VALUE"""),80.0)</f>
        <v>80</v>
      </c>
      <c r="D3104" s="24"/>
      <c r="F3104" s="23">
        <f>IFERROR(__xludf.DUMMYFUNCTION("""COMPUTED_VALUE"""),44860.69537004629)</f>
        <v>44860.69537</v>
      </c>
      <c r="G3104" s="24" t="str">
        <f>IFERROR(__xludf.DUMMYFUNCTION("""COMPUTED_VALUE"""),"Claire")</f>
        <v>Claire</v>
      </c>
      <c r="H3104" s="24">
        <f>IFERROR(__xludf.DUMMYFUNCTION("""COMPUTED_VALUE"""),1008.0)</f>
        <v>1008</v>
      </c>
      <c r="I3104" s="24" t="str">
        <f>IFERROR(__xludf.DUMMYFUNCTION("""COMPUTED_VALUE"""),"Fruit cups")</f>
        <v>Fruit cups</v>
      </c>
    </row>
    <row r="3105">
      <c r="A3105" s="23">
        <f>IFERROR(__xludf.DUMMYFUNCTION("""COMPUTED_VALUE"""),44805.68370971065)</f>
        <v>44805.68371</v>
      </c>
      <c r="B3105" s="24" t="str">
        <f>IFERROR(__xludf.DUMMYFUNCTION("""COMPUTED_VALUE"""),"Norma Kriger")</f>
        <v>Norma Kriger</v>
      </c>
      <c r="C3105" s="24">
        <f>IFERROR(__xludf.DUMMYFUNCTION("""COMPUTED_VALUE"""),24.0)</f>
        <v>24</v>
      </c>
      <c r="D3105" s="24"/>
      <c r="F3105" s="23">
        <f>IFERROR(__xludf.DUMMYFUNCTION("""COMPUTED_VALUE"""),44860.69561559027)</f>
        <v>44860.69562</v>
      </c>
      <c r="G3105" s="24" t="str">
        <f>IFERROR(__xludf.DUMMYFUNCTION("""COMPUTED_VALUE"""),"Claire")</f>
        <v>Claire</v>
      </c>
      <c r="H3105" s="24">
        <f>IFERROR(__xludf.DUMMYFUNCTION("""COMPUTED_VALUE"""),217.0)</f>
        <v>217</v>
      </c>
      <c r="I3105" s="24" t="str">
        <f>IFERROR(__xludf.DUMMYFUNCTION("""COMPUTED_VALUE"""),"Snacks")</f>
        <v>Snacks</v>
      </c>
    </row>
    <row r="3106">
      <c r="A3106" s="23">
        <f>IFERROR(__xludf.DUMMYFUNCTION("""COMPUTED_VALUE"""),44805.69085517361)</f>
        <v>44805.69086</v>
      </c>
      <c r="B3106" s="24" t="str">
        <f>IFERROR(__xludf.DUMMYFUNCTION("""COMPUTED_VALUE"""),"Jean.  Extra. ")</f>
        <v>Jean.  Extra. </v>
      </c>
      <c r="C3106" s="24">
        <f>IFERROR(__xludf.DUMMYFUNCTION("""COMPUTED_VALUE"""),2.0)</f>
        <v>2</v>
      </c>
      <c r="D3106" s="24"/>
      <c r="F3106" s="23">
        <f>IFERROR(__xludf.DUMMYFUNCTION("""COMPUTED_VALUE"""),44860.69582832176)</f>
        <v>44860.69583</v>
      </c>
      <c r="G3106" s="24" t="str">
        <f>IFERROR(__xludf.DUMMYFUNCTION("""COMPUTED_VALUE"""),"Claire")</f>
        <v>Claire</v>
      </c>
      <c r="H3106" s="24">
        <f>IFERROR(__xludf.DUMMYFUNCTION("""COMPUTED_VALUE"""),212.0)</f>
        <v>212</v>
      </c>
      <c r="I3106" s="24" t="str">
        <f>IFERROR(__xludf.DUMMYFUNCTION("""COMPUTED_VALUE"""),"Snacks")</f>
        <v>Snacks</v>
      </c>
    </row>
    <row r="3107">
      <c r="A3107" s="23">
        <f>IFERROR(__xludf.DUMMYFUNCTION("""COMPUTED_VALUE"""),44805.691356574076)</f>
        <v>44805.69136</v>
      </c>
      <c r="B3107" s="24" t="str">
        <f>IFERROR(__xludf.DUMMYFUNCTION("""COMPUTED_VALUE"""),"Jean")</f>
        <v>Jean</v>
      </c>
      <c r="C3107" s="24">
        <f>IFERROR(__xludf.DUMMYFUNCTION("""COMPUTED_VALUE"""),6.0)</f>
        <v>6</v>
      </c>
      <c r="D3107" s="24"/>
      <c r="F3107" s="23">
        <f>IFERROR(__xludf.DUMMYFUNCTION("""COMPUTED_VALUE"""),44860.6961017824)</f>
        <v>44860.6961</v>
      </c>
      <c r="G3107" s="24" t="str">
        <f>IFERROR(__xludf.DUMMYFUNCTION("""COMPUTED_VALUE"""),"Claire")</f>
        <v>Claire</v>
      </c>
      <c r="H3107" s="24">
        <f>IFERROR(__xludf.DUMMYFUNCTION("""COMPUTED_VALUE"""),1069.0)</f>
        <v>1069</v>
      </c>
      <c r="I3107" s="24" t="str">
        <f>IFERROR(__xludf.DUMMYFUNCTION("""COMPUTED_VALUE"""),"Fruit cups")</f>
        <v>Fruit cups</v>
      </c>
    </row>
    <row r="3108">
      <c r="A3108" s="23">
        <f>IFERROR(__xludf.DUMMYFUNCTION("""COMPUTED_VALUE"""),44805.0)</f>
        <v>44805</v>
      </c>
      <c r="B3108" s="24" t="str">
        <f>IFERROR(__xludf.DUMMYFUNCTION("""COMPUTED_VALUE"""),"Aziza")</f>
        <v>Aziza</v>
      </c>
      <c r="C3108" s="24">
        <f>IFERROR(__xludf.DUMMYFUNCTION("""COMPUTED_VALUE"""),1.0)</f>
        <v>1</v>
      </c>
      <c r="D3108" s="24"/>
      <c r="F3108" s="23">
        <f>IFERROR(__xludf.DUMMYFUNCTION("""COMPUTED_VALUE"""),44860.70508341435)</f>
        <v>44860.70508</v>
      </c>
      <c r="G3108" s="24" t="str">
        <f>IFERROR(__xludf.DUMMYFUNCTION("""COMPUTED_VALUE"""),"Luke mayhew")</f>
        <v>Luke mayhew</v>
      </c>
      <c r="H3108" s="24">
        <f>IFERROR(__xludf.DUMMYFUNCTION("""COMPUTED_VALUE"""),16.0)</f>
        <v>16</v>
      </c>
      <c r="I3108" s="24" t="str">
        <f>IFERROR(__xludf.DUMMYFUNCTION("""COMPUTED_VALUE"""),"Regular (up to 20lbs)")</f>
        <v>Regular (up to 20lbs)</v>
      </c>
    </row>
    <row r="3109">
      <c r="A3109" s="23">
        <f>IFERROR(__xludf.DUMMYFUNCTION("""COMPUTED_VALUE"""),44805.8474525)</f>
        <v>44805.84745</v>
      </c>
      <c r="B3109" s="24" t="str">
        <f>IFERROR(__xludf.DUMMYFUNCTION("""COMPUTED_VALUE"""),"Aziza ")</f>
        <v>Aziza </v>
      </c>
      <c r="C3109" s="24">
        <f>IFERROR(__xludf.DUMMYFUNCTION("""COMPUTED_VALUE"""),19.0)</f>
        <v>19</v>
      </c>
      <c r="D3109" s="24"/>
      <c r="F3109" s="23">
        <f>IFERROR(__xludf.DUMMYFUNCTION("""COMPUTED_VALUE"""),44860.705220578704)</f>
        <v>44860.70522</v>
      </c>
      <c r="G3109" s="24" t="str">
        <f>IFERROR(__xludf.DUMMYFUNCTION("""COMPUTED_VALUE"""),"Luke mayhew ")</f>
        <v>Luke mayhew </v>
      </c>
      <c r="H3109" s="24">
        <f>IFERROR(__xludf.DUMMYFUNCTION("""COMPUTED_VALUE"""),20.0)</f>
        <v>20</v>
      </c>
      <c r="I3109" s="24" t="str">
        <f>IFERROR(__xludf.DUMMYFUNCTION("""COMPUTED_VALUE"""),"Damage/expired/extra")</f>
        <v>Damage/expired/extra</v>
      </c>
    </row>
    <row r="3110">
      <c r="A3110" s="23">
        <f>IFERROR(__xludf.DUMMYFUNCTION("""COMPUTED_VALUE"""),44806.0)</f>
        <v>44806</v>
      </c>
      <c r="B3110" s="24" t="str">
        <f>IFERROR(__xludf.DUMMYFUNCTION("""COMPUTED_VALUE"""),"Juanita Chandler")</f>
        <v>Juanita Chandler</v>
      </c>
      <c r="C3110" s="24">
        <f>IFERROR(__xludf.DUMMYFUNCTION("""COMPUTED_VALUE"""),8.0)</f>
        <v>8</v>
      </c>
      <c r="D3110" s="24"/>
      <c r="F3110" s="23">
        <f>IFERROR(__xludf.DUMMYFUNCTION("""COMPUTED_VALUE"""),44860.79221194445)</f>
        <v>44860.79221</v>
      </c>
      <c r="G3110" s="24" t="str">
        <f>IFERROR(__xludf.DUMMYFUNCTION("""COMPUTED_VALUE"""),"Lynnette ")</f>
        <v>Lynnette </v>
      </c>
      <c r="H3110" s="24">
        <f>IFERROR(__xludf.DUMMYFUNCTION("""COMPUTED_VALUE"""),5.0)</f>
        <v>5</v>
      </c>
      <c r="I3110" s="24" t="str">
        <f>IFERROR(__xludf.DUMMYFUNCTION("""COMPUTED_VALUE"""),"Damage/expired/extra")</f>
        <v>Damage/expired/extra</v>
      </c>
    </row>
    <row r="3111">
      <c r="A3111" s="23">
        <f>IFERROR(__xludf.DUMMYFUNCTION("""COMPUTED_VALUE"""),44806.0)</f>
        <v>44806</v>
      </c>
      <c r="B3111" s="24" t="str">
        <f>IFERROR(__xludf.DUMMYFUNCTION("""COMPUTED_VALUE"""),"Juanita Chandler")</f>
        <v>Juanita Chandler</v>
      </c>
      <c r="C3111" s="24">
        <f>IFERROR(__xludf.DUMMYFUNCTION("""COMPUTED_VALUE"""),9.0)</f>
        <v>9</v>
      </c>
      <c r="D3111" s="24"/>
      <c r="F3111" s="23">
        <f>IFERROR(__xludf.DUMMYFUNCTION("""COMPUTED_VALUE"""),44860.7924540625)</f>
        <v>44860.79245</v>
      </c>
      <c r="G3111" s="24" t="str">
        <f>IFERROR(__xludf.DUMMYFUNCTION("""COMPUTED_VALUE"""),"Lynnette")</f>
        <v>Lynnette</v>
      </c>
      <c r="H3111" s="24">
        <f>IFERROR(__xludf.DUMMYFUNCTION("""COMPUTED_VALUE"""),2.0)</f>
        <v>2</v>
      </c>
      <c r="I3111" s="24" t="str">
        <f>IFERROR(__xludf.DUMMYFUNCTION("""COMPUTED_VALUE"""),"Regular (up to 20lbs)")</f>
        <v>Regular (up to 20lbs)</v>
      </c>
    </row>
    <row r="3112">
      <c r="A3112" s="23">
        <f>IFERROR(__xludf.DUMMYFUNCTION("""COMPUTED_VALUE"""),44806.0)</f>
        <v>44806</v>
      </c>
      <c r="B3112" s="24" t="str">
        <f>IFERROR(__xludf.DUMMYFUNCTION("""COMPUTED_VALUE"""),"Obi Nwokoro")</f>
        <v>Obi Nwokoro</v>
      </c>
      <c r="C3112" s="24">
        <f>IFERROR(__xludf.DUMMYFUNCTION("""COMPUTED_VALUE"""),20.0)</f>
        <v>20</v>
      </c>
      <c r="D3112" s="24"/>
      <c r="F3112" s="23">
        <f>IFERROR(__xludf.DUMMYFUNCTION("""COMPUTED_VALUE"""),44860.851449525464)</f>
        <v>44860.85145</v>
      </c>
      <c r="G3112" s="24" t="str">
        <f>IFERROR(__xludf.DUMMYFUNCTION("""COMPUTED_VALUE"""),"Connor Gephart")</f>
        <v>Connor Gephart</v>
      </c>
      <c r="H3112" s="24">
        <f>IFERROR(__xludf.DUMMYFUNCTION("""COMPUTED_VALUE"""),8.0)</f>
        <v>8</v>
      </c>
      <c r="I3112" s="24" t="str">
        <f>IFERROR(__xludf.DUMMYFUNCTION("""COMPUTED_VALUE"""),"Regular (up to 20lbs)")</f>
        <v>Regular (up to 20lbs)</v>
      </c>
    </row>
    <row r="3113">
      <c r="A3113" s="23">
        <f>IFERROR(__xludf.DUMMYFUNCTION("""COMPUTED_VALUE"""),44806.0)</f>
        <v>44806</v>
      </c>
      <c r="B3113" s="24" t="str">
        <f>IFERROR(__xludf.DUMMYFUNCTION("""COMPUTED_VALUE"""),"Adeola Sulaiman")</f>
        <v>Adeola Sulaiman</v>
      </c>
      <c r="C3113" s="24">
        <f>IFERROR(__xludf.DUMMYFUNCTION("""COMPUTED_VALUE"""),20.0)</f>
        <v>20</v>
      </c>
      <c r="D3113" s="24"/>
      <c r="F3113" s="23">
        <f>IFERROR(__xludf.DUMMYFUNCTION("""COMPUTED_VALUE"""),44861.0)</f>
        <v>44861</v>
      </c>
      <c r="G3113" s="24" t="str">
        <f>IFERROR(__xludf.DUMMYFUNCTION("""COMPUTED_VALUE"""),"Melissa Thomas")</f>
        <v>Melissa Thomas</v>
      </c>
      <c r="H3113" s="24">
        <f>IFERROR(__xludf.DUMMYFUNCTION("""COMPUTED_VALUE"""),20.0)</f>
        <v>20</v>
      </c>
      <c r="I3113" s="24" t="str">
        <f>IFERROR(__xludf.DUMMYFUNCTION("""COMPUTED_VALUE"""),"Regular (up to 20lbs)")</f>
        <v>Regular (up to 20lbs)</v>
      </c>
    </row>
    <row r="3114">
      <c r="A3114" s="23">
        <f>IFERROR(__xludf.DUMMYFUNCTION("""COMPUTED_VALUE"""),44806.0)</f>
        <v>44806</v>
      </c>
      <c r="B3114" s="24" t="str">
        <f>IFERROR(__xludf.DUMMYFUNCTION("""COMPUTED_VALUE"""),"Adeola Sulaiman")</f>
        <v>Adeola Sulaiman</v>
      </c>
      <c r="C3114" s="24">
        <f>IFERROR(__xludf.DUMMYFUNCTION("""COMPUTED_VALUE"""),17.0)</f>
        <v>17</v>
      </c>
      <c r="D3114" s="24"/>
      <c r="F3114" s="23">
        <f>IFERROR(__xludf.DUMMYFUNCTION("""COMPUTED_VALUE"""),44861.0)</f>
        <v>44861</v>
      </c>
      <c r="G3114" s="24" t="str">
        <f>IFERROR(__xludf.DUMMYFUNCTION("""COMPUTED_VALUE"""),"Julia Buckson")</f>
        <v>Julia Buckson</v>
      </c>
      <c r="H3114" s="24">
        <f>IFERROR(__xludf.DUMMYFUNCTION("""COMPUTED_VALUE"""),1.0)</f>
        <v>1</v>
      </c>
      <c r="I3114" s="24" t="str">
        <f>IFERROR(__xludf.DUMMYFUNCTION("""COMPUTED_VALUE"""),"Regular (up to 20lbs)")</f>
        <v>Regular (up to 20lbs)</v>
      </c>
    </row>
    <row r="3115">
      <c r="A3115" s="23">
        <f>IFERROR(__xludf.DUMMYFUNCTION("""COMPUTED_VALUE"""),44806.0)</f>
        <v>44806</v>
      </c>
      <c r="B3115" s="24" t="str">
        <f>IFERROR(__xludf.DUMMYFUNCTION("""COMPUTED_VALUE"""),"Janet Lomax")</f>
        <v>Janet Lomax</v>
      </c>
      <c r="C3115" s="24">
        <f>IFERROR(__xludf.DUMMYFUNCTION("""COMPUTED_VALUE"""),20.0)</f>
        <v>20</v>
      </c>
      <c r="D3115" s="24"/>
      <c r="F3115" s="23">
        <f>IFERROR(__xludf.DUMMYFUNCTION("""COMPUTED_VALUE"""),44861.0)</f>
        <v>44861</v>
      </c>
      <c r="G3115" s="24" t="str">
        <f>IFERROR(__xludf.DUMMYFUNCTION("""COMPUTED_VALUE"""),"Julia Buckson")</f>
        <v>Julia Buckson</v>
      </c>
      <c r="H3115" s="24">
        <f>IFERROR(__xludf.DUMMYFUNCTION("""COMPUTED_VALUE"""),18.0)</f>
        <v>18</v>
      </c>
      <c r="I3115" s="24" t="str">
        <f>IFERROR(__xludf.DUMMYFUNCTION("""COMPUTED_VALUE"""),"Damage/expired/extra")</f>
        <v>Damage/expired/extra</v>
      </c>
    </row>
    <row r="3116">
      <c r="A3116" s="23">
        <f>IFERROR(__xludf.DUMMYFUNCTION("""COMPUTED_VALUE"""),44806.678959687495)</f>
        <v>44806.67896</v>
      </c>
      <c r="B3116" s="24" t="str">
        <f>IFERROR(__xludf.DUMMYFUNCTION("""COMPUTED_VALUE"""),"Jan Kleinman ")</f>
        <v>Jan Kleinman </v>
      </c>
      <c r="C3116" s="24">
        <f>IFERROR(__xludf.DUMMYFUNCTION("""COMPUTED_VALUE"""),17.0)</f>
        <v>17</v>
      </c>
      <c r="D3116" s="24"/>
      <c r="F3116" s="23">
        <f>IFERROR(__xludf.DUMMYFUNCTION("""COMPUTED_VALUE"""),44861.0)</f>
        <v>44861</v>
      </c>
      <c r="G3116" s="24" t="str">
        <f>IFERROR(__xludf.DUMMYFUNCTION("""COMPUTED_VALUE"""),"Aziza Frank")</f>
        <v>Aziza Frank</v>
      </c>
      <c r="H3116" s="24">
        <f>IFERROR(__xludf.DUMMYFUNCTION("""COMPUTED_VALUE"""),20.0)</f>
        <v>20</v>
      </c>
      <c r="I3116" s="24" t="str">
        <f>IFERROR(__xludf.DUMMYFUNCTION("""COMPUTED_VALUE"""),"Regular (up to 20lbs)")</f>
        <v>Regular (up to 20lbs)</v>
      </c>
    </row>
    <row r="3117">
      <c r="A3117" s="23">
        <f>IFERROR(__xludf.DUMMYFUNCTION("""COMPUTED_VALUE"""),44806.70556809027)</f>
        <v>44806.70557</v>
      </c>
      <c r="B3117" s="24" t="str">
        <f>IFERROR(__xludf.DUMMYFUNCTION("""COMPUTED_VALUE"""),"Sunita pathik")</f>
        <v>Sunita pathik</v>
      </c>
      <c r="C3117" s="24">
        <f>IFERROR(__xludf.DUMMYFUNCTION("""COMPUTED_VALUE"""),10.0)</f>
        <v>10</v>
      </c>
      <c r="D3117" s="24"/>
      <c r="F3117" s="23">
        <f>IFERROR(__xludf.DUMMYFUNCTION("""COMPUTED_VALUE"""),44861.0)</f>
        <v>44861</v>
      </c>
      <c r="G3117" s="24" t="str">
        <f>IFERROR(__xludf.DUMMYFUNCTION("""COMPUTED_VALUE"""),"Aziza Frank")</f>
        <v>Aziza Frank</v>
      </c>
      <c r="H3117" s="24">
        <f>IFERROR(__xludf.DUMMYFUNCTION("""COMPUTED_VALUE"""),3.0)</f>
        <v>3</v>
      </c>
      <c r="I3117" s="24" t="str">
        <f>IFERROR(__xludf.DUMMYFUNCTION("""COMPUTED_VALUE"""),"Damage/expired/extra")</f>
        <v>Damage/expired/extra</v>
      </c>
    </row>
    <row r="3118">
      <c r="A3118" s="23">
        <f>IFERROR(__xludf.DUMMYFUNCTION("""COMPUTED_VALUE"""),44807.0)</f>
        <v>44807</v>
      </c>
      <c r="B3118" s="24" t="str">
        <f>IFERROR(__xludf.DUMMYFUNCTION("""COMPUTED_VALUE"""),"Denise Brown")</f>
        <v>Denise Brown</v>
      </c>
      <c r="C3118" s="24">
        <f>IFERROR(__xludf.DUMMYFUNCTION("""COMPUTED_VALUE"""),2.0)</f>
        <v>2</v>
      </c>
      <c r="D3118" s="24"/>
      <c r="F3118" s="23">
        <f>IFERROR(__xludf.DUMMYFUNCTION("""COMPUTED_VALUE"""),44861.0)</f>
        <v>44861</v>
      </c>
      <c r="G3118" s="24" t="str">
        <f>IFERROR(__xludf.DUMMYFUNCTION("""COMPUTED_VALUE"""),"Raquel Bailey")</f>
        <v>Raquel Bailey</v>
      </c>
      <c r="H3118" s="24">
        <f>IFERROR(__xludf.DUMMYFUNCTION("""COMPUTED_VALUE"""),20.0)</f>
        <v>20</v>
      </c>
      <c r="I3118" s="24" t="str">
        <f>IFERROR(__xludf.DUMMYFUNCTION("""COMPUTED_VALUE"""),"Regular (up to 20lbs)")</f>
        <v>Regular (up to 20lbs)</v>
      </c>
    </row>
    <row r="3119">
      <c r="A3119" s="23">
        <f>IFERROR(__xludf.DUMMYFUNCTION("""COMPUTED_VALUE"""),44807.7285446875)</f>
        <v>44807.72854</v>
      </c>
      <c r="B3119" s="24" t="str">
        <f>IFERROR(__xludf.DUMMYFUNCTION("""COMPUTED_VALUE"""),"Angeles Cortes")</f>
        <v>Angeles Cortes</v>
      </c>
      <c r="C3119" s="24">
        <f>IFERROR(__xludf.DUMMYFUNCTION("""COMPUTED_VALUE"""),17.0)</f>
        <v>17</v>
      </c>
      <c r="D3119" s="24"/>
      <c r="F3119" s="23">
        <f>IFERROR(__xludf.DUMMYFUNCTION("""COMPUTED_VALUE"""),44861.0)</f>
        <v>44861</v>
      </c>
      <c r="G3119" s="24" t="str">
        <f>IFERROR(__xludf.DUMMYFUNCTION("""COMPUTED_VALUE"""),"Raquel Bailey")</f>
        <v>Raquel Bailey</v>
      </c>
      <c r="H3119" s="24">
        <f>IFERROR(__xludf.DUMMYFUNCTION("""COMPUTED_VALUE"""),3.0)</f>
        <v>3</v>
      </c>
      <c r="I3119" s="24" t="str">
        <f>IFERROR(__xludf.DUMMYFUNCTION("""COMPUTED_VALUE"""),"Damage/expired/extra")</f>
        <v>Damage/expired/extra</v>
      </c>
    </row>
    <row r="3120">
      <c r="A3120" s="23">
        <f>IFERROR(__xludf.DUMMYFUNCTION("""COMPUTED_VALUE"""),44807.729353912044)</f>
        <v>44807.72935</v>
      </c>
      <c r="B3120" s="24" t="str">
        <f>IFERROR(__xludf.DUMMYFUNCTION("""COMPUTED_VALUE"""),"Evelyn jiang ")</f>
        <v>Evelyn jiang </v>
      </c>
      <c r="C3120" s="24">
        <f>IFERROR(__xludf.DUMMYFUNCTION("""COMPUTED_VALUE"""),13.0)</f>
        <v>13</v>
      </c>
      <c r="D3120" s="24"/>
      <c r="F3120" s="23">
        <f>IFERROR(__xludf.DUMMYFUNCTION("""COMPUTED_VALUE"""),44861.0)</f>
        <v>44861</v>
      </c>
      <c r="G3120" s="24" t="str">
        <f>IFERROR(__xludf.DUMMYFUNCTION("""COMPUTED_VALUE"""),"Sheneil Black")</f>
        <v>Sheneil Black</v>
      </c>
      <c r="H3120" s="24">
        <f>IFERROR(__xludf.DUMMYFUNCTION("""COMPUTED_VALUE"""),15.0)</f>
        <v>15</v>
      </c>
      <c r="I3120" s="24" t="str">
        <f>IFERROR(__xludf.DUMMYFUNCTION("""COMPUTED_VALUE"""),"Regular (up to 20lbs)")</f>
        <v>Regular (up to 20lbs)</v>
      </c>
    </row>
    <row r="3121">
      <c r="A3121" s="23">
        <f>IFERROR(__xludf.DUMMYFUNCTION("""COMPUTED_VALUE"""),44807.7313096412)</f>
        <v>44807.73131</v>
      </c>
      <c r="B3121" s="24" t="str">
        <f>IFERROR(__xludf.DUMMYFUNCTION("""COMPUTED_VALUE"""),"Adriana Hill")</f>
        <v>Adriana Hill</v>
      </c>
      <c r="C3121" s="24">
        <f>IFERROR(__xludf.DUMMYFUNCTION("""COMPUTED_VALUE"""),14.0)</f>
        <v>14</v>
      </c>
      <c r="D3121" s="24"/>
      <c r="F3121" s="23">
        <f>IFERROR(__xludf.DUMMYFUNCTION("""COMPUTED_VALUE"""),44861.0)</f>
        <v>44861</v>
      </c>
      <c r="G3121" s="24" t="str">
        <f>IFERROR(__xludf.DUMMYFUNCTION("""COMPUTED_VALUE"""),"Nathaniel McClean")</f>
        <v>Nathaniel McClean</v>
      </c>
      <c r="H3121" s="24">
        <f>IFERROR(__xludf.DUMMYFUNCTION("""COMPUTED_VALUE"""),19.0)</f>
        <v>19</v>
      </c>
      <c r="I3121" s="24" t="str">
        <f>IFERROR(__xludf.DUMMYFUNCTION("""COMPUTED_VALUE"""),"Regular (up to 20lbs)")</f>
        <v>Regular (up to 20lbs)</v>
      </c>
    </row>
    <row r="3122">
      <c r="A3122" s="23">
        <f>IFERROR(__xludf.DUMMYFUNCTION("""COMPUTED_VALUE"""),44807.731982743055)</f>
        <v>44807.73198</v>
      </c>
      <c r="B3122" s="24" t="str">
        <f>IFERROR(__xludf.DUMMYFUNCTION("""COMPUTED_VALUE"""),"Dinez Urquhart ")</f>
        <v>Dinez Urquhart </v>
      </c>
      <c r="C3122" s="24">
        <f>IFERROR(__xludf.DUMMYFUNCTION("""COMPUTED_VALUE"""),20.0)</f>
        <v>20</v>
      </c>
      <c r="D3122" s="24"/>
      <c r="F3122" s="23">
        <f>IFERROR(__xludf.DUMMYFUNCTION("""COMPUTED_VALUE"""),44861.0)</f>
        <v>44861</v>
      </c>
      <c r="G3122" s="24" t="str">
        <f>IFERROR(__xludf.DUMMYFUNCTION("""COMPUTED_VALUE"""),"Nathaniel McClean")</f>
        <v>Nathaniel McClean</v>
      </c>
      <c r="H3122" s="24">
        <f>IFERROR(__xludf.DUMMYFUNCTION("""COMPUTED_VALUE"""),8.0)</f>
        <v>8</v>
      </c>
      <c r="I3122" s="24" t="str">
        <f>IFERROR(__xludf.DUMMYFUNCTION("""COMPUTED_VALUE"""),"Damage/expired/extra")</f>
        <v>Damage/expired/extra</v>
      </c>
    </row>
    <row r="3123">
      <c r="A3123" s="23">
        <f>IFERROR(__xludf.DUMMYFUNCTION("""COMPUTED_VALUE"""),44807.732000405085)</f>
        <v>44807.732</v>
      </c>
      <c r="B3123" s="24" t="str">
        <f>IFERROR(__xludf.DUMMYFUNCTION("""COMPUTED_VALUE"""),"Kye Toussaint ")</f>
        <v>Kye Toussaint </v>
      </c>
      <c r="C3123" s="24">
        <f>IFERROR(__xludf.DUMMYFUNCTION("""COMPUTED_VALUE"""),13.0)</f>
        <v>13</v>
      </c>
      <c r="D3123" s="24"/>
      <c r="F3123" s="23">
        <f>IFERROR(__xludf.DUMMYFUNCTION("""COMPUTED_VALUE"""),44861.5807924537)</f>
        <v>44861.58079</v>
      </c>
      <c r="G3123" s="24" t="str">
        <f>IFERROR(__xludf.DUMMYFUNCTION("""COMPUTED_VALUE"""),"Jean")</f>
        <v>Jean</v>
      </c>
      <c r="H3123" s="24">
        <f>IFERROR(__xludf.DUMMYFUNCTION("""COMPUTED_VALUE"""),544.0)</f>
        <v>544</v>
      </c>
      <c r="I3123" s="24" t="str">
        <f>IFERROR(__xludf.DUMMYFUNCTION("""COMPUTED_VALUE"""),"First Fruits Farm")</f>
        <v>First Fruits Farm</v>
      </c>
    </row>
    <row r="3124">
      <c r="A3124" s="23">
        <f>IFERROR(__xludf.DUMMYFUNCTION("""COMPUTED_VALUE"""),44807.73287876157)</f>
        <v>44807.73288</v>
      </c>
      <c r="B3124" s="24" t="str">
        <f>IFERROR(__xludf.DUMMYFUNCTION("""COMPUTED_VALUE"""),"nathan")</f>
        <v>nathan</v>
      </c>
      <c r="C3124" s="24">
        <f>IFERROR(__xludf.DUMMYFUNCTION("""COMPUTED_VALUE"""),13.0)</f>
        <v>13</v>
      </c>
      <c r="D3124" s="24"/>
      <c r="F3124" s="23">
        <f>IFERROR(__xludf.DUMMYFUNCTION("""COMPUTED_VALUE"""),44861.581504375004)</f>
        <v>44861.5815</v>
      </c>
      <c r="G3124" s="24" t="str">
        <f>IFERROR(__xludf.DUMMYFUNCTION("""COMPUTED_VALUE"""),"Jean")</f>
        <v>Jean</v>
      </c>
      <c r="H3124" s="24">
        <f>IFERROR(__xludf.DUMMYFUNCTION("""COMPUTED_VALUE"""),565.0)</f>
        <v>565</v>
      </c>
      <c r="I3124" s="24" t="str">
        <f>IFERROR(__xludf.DUMMYFUNCTION("""COMPUTED_VALUE"""),"First Fruits Farm")</f>
        <v>First Fruits Farm</v>
      </c>
    </row>
    <row r="3125">
      <c r="A3125" s="23">
        <f>IFERROR(__xludf.DUMMYFUNCTION("""COMPUTED_VALUE"""),44807.73397303241)</f>
        <v>44807.73397</v>
      </c>
      <c r="B3125" s="24" t="str">
        <f>IFERROR(__xludf.DUMMYFUNCTION("""COMPUTED_VALUE"""),"Tiffany Jiang")</f>
        <v>Tiffany Jiang</v>
      </c>
      <c r="C3125" s="24">
        <f>IFERROR(__xludf.DUMMYFUNCTION("""COMPUTED_VALUE"""),11.0)</f>
        <v>11</v>
      </c>
      <c r="D3125" s="24"/>
      <c r="F3125" s="23">
        <f>IFERROR(__xludf.DUMMYFUNCTION("""COMPUTED_VALUE"""),44861.58232642361)</f>
        <v>44861.58233</v>
      </c>
      <c r="G3125" s="24" t="str">
        <f>IFERROR(__xludf.DUMMYFUNCTION("""COMPUTED_VALUE"""),"Jean")</f>
        <v>Jean</v>
      </c>
      <c r="H3125" s="24">
        <f>IFERROR(__xludf.DUMMYFUNCTION("""COMPUTED_VALUE"""),1260.0)</f>
        <v>1260</v>
      </c>
      <c r="I3125" s="24" t="str">
        <f>IFERROR(__xludf.DUMMYFUNCTION("""COMPUTED_VALUE"""),"First Fruits Farm")</f>
        <v>First Fruits Farm</v>
      </c>
    </row>
    <row r="3126">
      <c r="A3126" s="23">
        <f>IFERROR(__xludf.DUMMYFUNCTION("""COMPUTED_VALUE"""),44807.74188271991)</f>
        <v>44807.74188</v>
      </c>
      <c r="B3126" s="24" t="str">
        <f>IFERROR(__xludf.DUMMYFUNCTION("""COMPUTED_VALUE"""),"Dean Chien")</f>
        <v>Dean Chien</v>
      </c>
      <c r="C3126" s="24">
        <f>IFERROR(__xludf.DUMMYFUNCTION("""COMPUTED_VALUE"""),20.0)</f>
        <v>20</v>
      </c>
      <c r="D3126" s="24"/>
      <c r="F3126" s="23">
        <f>IFERROR(__xludf.DUMMYFUNCTION("""COMPUTED_VALUE"""),44861.582932604164)</f>
        <v>44861.58293</v>
      </c>
      <c r="G3126" s="24" t="str">
        <f>IFERROR(__xludf.DUMMYFUNCTION("""COMPUTED_VALUE"""),"Jean")</f>
        <v>Jean</v>
      </c>
      <c r="H3126" s="24">
        <f>IFERROR(__xludf.DUMMYFUNCTION("""COMPUTED_VALUE"""),1275.0)</f>
        <v>1275</v>
      </c>
      <c r="I3126" s="24" t="str">
        <f>IFERROR(__xludf.DUMMYFUNCTION("""COMPUTED_VALUE"""),"First Fruits Farm")</f>
        <v>First Fruits Farm</v>
      </c>
    </row>
    <row r="3127">
      <c r="A3127" s="23">
        <f>IFERROR(__xludf.DUMMYFUNCTION("""COMPUTED_VALUE"""),44807.0)</f>
        <v>44807</v>
      </c>
      <c r="B3127" s="24" t="str">
        <f>IFERROR(__xludf.DUMMYFUNCTION("""COMPUTED_VALUE"""),"Dean Chien")</f>
        <v>Dean Chien</v>
      </c>
      <c r="C3127" s="24">
        <f>IFERROR(__xludf.DUMMYFUNCTION("""COMPUTED_VALUE"""),2.0)</f>
        <v>2</v>
      </c>
      <c r="D3127" s="24"/>
      <c r="F3127" s="23">
        <f>IFERROR(__xludf.DUMMYFUNCTION("""COMPUTED_VALUE"""),44861.58749304398)</f>
        <v>44861.58749</v>
      </c>
      <c r="G3127" s="24" t="str">
        <f>IFERROR(__xludf.DUMMYFUNCTION("""COMPUTED_VALUE"""),"Jean")</f>
        <v>Jean</v>
      </c>
      <c r="H3127" s="24">
        <f>IFERROR(__xludf.DUMMYFUNCTION("""COMPUTED_VALUE"""),378.0)</f>
        <v>378</v>
      </c>
      <c r="I3127" s="24" t="str">
        <f>IFERROR(__xludf.DUMMYFUNCTION("""COMPUTED_VALUE"""),"Toys")</f>
        <v>Toys</v>
      </c>
    </row>
    <row r="3128">
      <c r="A3128" s="23">
        <f>IFERROR(__xludf.DUMMYFUNCTION("""COMPUTED_VALUE"""),44807.74452569445)</f>
        <v>44807.74453</v>
      </c>
      <c r="B3128" s="24" t="str">
        <f>IFERROR(__xludf.DUMMYFUNCTION("""COMPUTED_VALUE"""),"Beverly Pinn")</f>
        <v>Beverly Pinn</v>
      </c>
      <c r="C3128" s="24">
        <f>IFERROR(__xludf.DUMMYFUNCTION("""COMPUTED_VALUE"""),15.0)</f>
        <v>15</v>
      </c>
      <c r="D3128" s="24"/>
      <c r="F3128" s="23">
        <f>IFERROR(__xludf.DUMMYFUNCTION("""COMPUTED_VALUE"""),44861.58861535879)</f>
        <v>44861.58862</v>
      </c>
      <c r="G3128" s="24" t="str">
        <f>IFERROR(__xludf.DUMMYFUNCTION("""COMPUTED_VALUE"""),"Jean")</f>
        <v>Jean</v>
      </c>
      <c r="H3128" s="24">
        <f>IFERROR(__xludf.DUMMYFUNCTION("""COMPUTED_VALUE"""),112.0)</f>
        <v>112</v>
      </c>
      <c r="I3128" s="24" t="str">
        <f>IFERROR(__xludf.DUMMYFUNCTION("""COMPUTED_VALUE"""),"Toys")</f>
        <v>Toys</v>
      </c>
    </row>
    <row r="3129">
      <c r="A3129" s="23">
        <f>IFERROR(__xludf.DUMMYFUNCTION("""COMPUTED_VALUE"""),44807.7463859838)</f>
        <v>44807.74639</v>
      </c>
      <c r="B3129" s="24" t="str">
        <f>IFERROR(__xludf.DUMMYFUNCTION("""COMPUTED_VALUE"""),"Lynnette")</f>
        <v>Lynnette</v>
      </c>
      <c r="C3129" s="24">
        <f>IFERROR(__xludf.DUMMYFUNCTION("""COMPUTED_VALUE"""),14.0)</f>
        <v>14</v>
      </c>
      <c r="D3129" s="24"/>
      <c r="F3129" s="23">
        <f>IFERROR(__xludf.DUMMYFUNCTION("""COMPUTED_VALUE"""),44861.612612013894)</f>
        <v>44861.61261</v>
      </c>
      <c r="G3129" s="24" t="str">
        <f>IFERROR(__xludf.DUMMYFUNCTION("""COMPUTED_VALUE"""),"J.C.")</f>
        <v>J.C.</v>
      </c>
      <c r="H3129" s="24">
        <f>IFERROR(__xludf.DUMMYFUNCTION("""COMPUTED_VALUE"""),81.0)</f>
        <v>81</v>
      </c>
      <c r="I3129" s="24" t="str">
        <f>IFERROR(__xludf.DUMMYFUNCTION("""COMPUTED_VALUE"""),"Assorted Dry")</f>
        <v>Assorted Dry</v>
      </c>
    </row>
    <row r="3130">
      <c r="A3130" s="23">
        <f>IFERROR(__xludf.DUMMYFUNCTION("""COMPUTED_VALUE"""),44808.0)</f>
        <v>44808</v>
      </c>
      <c r="B3130" s="24" t="str">
        <f>IFERROR(__xludf.DUMMYFUNCTION("""COMPUTED_VALUE"""),"Alex Wang")</f>
        <v>Alex Wang</v>
      </c>
      <c r="C3130" s="24">
        <f>IFERROR(__xludf.DUMMYFUNCTION("""COMPUTED_VALUE"""),20.0)</f>
        <v>20</v>
      </c>
      <c r="D3130" s="24"/>
      <c r="F3130" s="23">
        <f>IFERROR(__xludf.DUMMYFUNCTION("""COMPUTED_VALUE"""),44861.69799335648)</f>
        <v>44861.69799</v>
      </c>
      <c r="G3130" s="24" t="str">
        <f>IFERROR(__xludf.DUMMYFUNCTION("""COMPUTED_VALUE"""),"Jean")</f>
        <v>Jean</v>
      </c>
      <c r="H3130" s="24">
        <f>IFERROR(__xludf.DUMMYFUNCTION("""COMPUTED_VALUE"""),15.0)</f>
        <v>15</v>
      </c>
      <c r="I3130" s="24" t="str">
        <f>IFERROR(__xludf.DUMMYFUNCTION("""COMPUTED_VALUE"""),"Regular (up to 20lbs)")</f>
        <v>Regular (up to 20lbs)</v>
      </c>
    </row>
    <row r="3131">
      <c r="A3131" s="23">
        <f>IFERROR(__xludf.DUMMYFUNCTION("""COMPUTED_VALUE"""),44808.0)</f>
        <v>44808</v>
      </c>
      <c r="B3131" s="24" t="str">
        <f>IFERROR(__xludf.DUMMYFUNCTION("""COMPUTED_VALUE"""),"Kate Weeks")</f>
        <v>Kate Weeks</v>
      </c>
      <c r="C3131" s="24">
        <f>IFERROR(__xludf.DUMMYFUNCTION("""COMPUTED_VALUE"""),20.0)</f>
        <v>20</v>
      </c>
      <c r="D3131" s="24"/>
      <c r="F3131" s="23">
        <f>IFERROR(__xludf.DUMMYFUNCTION("""COMPUTED_VALUE"""),44861.69829796297)</f>
        <v>44861.6983</v>
      </c>
      <c r="G3131" s="24" t="str">
        <f>IFERROR(__xludf.DUMMYFUNCTION("""COMPUTED_VALUE"""),"Jean")</f>
        <v>Jean</v>
      </c>
      <c r="H3131" s="24">
        <f>IFERROR(__xludf.DUMMYFUNCTION("""COMPUTED_VALUE"""),13.0)</f>
        <v>13</v>
      </c>
      <c r="I3131" s="24" t="str">
        <f>IFERROR(__xludf.DUMMYFUNCTION("""COMPUTED_VALUE"""),"Damage/expired/extra")</f>
        <v>Damage/expired/extra</v>
      </c>
    </row>
    <row r="3132">
      <c r="A3132" s="23">
        <f>IFERROR(__xludf.DUMMYFUNCTION("""COMPUTED_VALUE"""),44808.0)</f>
        <v>44808</v>
      </c>
      <c r="B3132" s="24" t="str">
        <f>IFERROR(__xludf.DUMMYFUNCTION("""COMPUTED_VALUE"""),"Kate Weeks")</f>
        <v>Kate Weeks</v>
      </c>
      <c r="C3132" s="24">
        <f>IFERROR(__xludf.DUMMYFUNCTION("""COMPUTED_VALUE"""),9.0)</f>
        <v>9</v>
      </c>
      <c r="D3132" s="24"/>
      <c r="F3132" s="23">
        <f>IFERROR(__xludf.DUMMYFUNCTION("""COMPUTED_VALUE"""),44861.70131012732)</f>
        <v>44861.70131</v>
      </c>
      <c r="G3132" s="24" t="str">
        <f>IFERROR(__xludf.DUMMYFUNCTION("""COMPUTED_VALUE"""),"Barbara")</f>
        <v>Barbara</v>
      </c>
      <c r="H3132" s="24">
        <f>IFERROR(__xludf.DUMMYFUNCTION("""COMPUTED_VALUE"""),13.0)</f>
        <v>13</v>
      </c>
      <c r="I3132" s="24" t="str">
        <f>IFERROR(__xludf.DUMMYFUNCTION("""COMPUTED_VALUE"""),"Regular (up to 20lbs)")</f>
        <v>Regular (up to 20lbs)</v>
      </c>
    </row>
    <row r="3133">
      <c r="A3133" s="23">
        <f>IFERROR(__xludf.DUMMYFUNCTION("""COMPUTED_VALUE"""),44808.671264293975)</f>
        <v>44808.67126</v>
      </c>
      <c r="B3133" s="24" t="str">
        <f>IFERROR(__xludf.DUMMYFUNCTION("""COMPUTED_VALUE"""),"Carla")</f>
        <v>Carla</v>
      </c>
      <c r="C3133" s="24">
        <f>IFERROR(__xludf.DUMMYFUNCTION("""COMPUTED_VALUE"""),13.0)</f>
        <v>13</v>
      </c>
      <c r="D3133" s="24"/>
      <c r="F3133" s="23">
        <f>IFERROR(__xludf.DUMMYFUNCTION("""COMPUTED_VALUE"""),44861.70158792824)</f>
        <v>44861.70159</v>
      </c>
      <c r="G3133" s="24" t="str">
        <f>IFERROR(__xludf.DUMMYFUNCTION("""COMPUTED_VALUE"""),"Barbara")</f>
        <v>Barbara</v>
      </c>
      <c r="H3133" s="24">
        <f>IFERROR(__xludf.DUMMYFUNCTION("""COMPUTED_VALUE"""),4.0)</f>
        <v>4</v>
      </c>
      <c r="I3133" s="24" t="str">
        <f>IFERROR(__xludf.DUMMYFUNCTION("""COMPUTED_VALUE"""),"Damage/expired/extra")</f>
        <v>Damage/expired/extra</v>
      </c>
    </row>
    <row r="3134">
      <c r="A3134" s="23">
        <f>IFERROR(__xludf.DUMMYFUNCTION("""COMPUTED_VALUE"""),44808.67283142362)</f>
        <v>44808.67283</v>
      </c>
      <c r="B3134" s="24" t="str">
        <f>IFERROR(__xludf.DUMMYFUNCTION("""COMPUTED_VALUE"""),"Dorja ")</f>
        <v>Dorja </v>
      </c>
      <c r="C3134" s="24">
        <f>IFERROR(__xludf.DUMMYFUNCTION("""COMPUTED_VALUE"""),26.0)</f>
        <v>26</v>
      </c>
      <c r="D3134" s="24"/>
      <c r="F3134" s="23">
        <f>IFERROR(__xludf.DUMMYFUNCTION("""COMPUTED_VALUE"""),44861.70667888889)</f>
        <v>44861.70668</v>
      </c>
      <c r="G3134" s="24" t="str">
        <f>IFERROR(__xludf.DUMMYFUNCTION("""COMPUTED_VALUE"""),"Hong")</f>
        <v>Hong</v>
      </c>
      <c r="H3134" s="24">
        <f>IFERROR(__xludf.DUMMYFUNCTION("""COMPUTED_VALUE"""),45.0)</f>
        <v>45</v>
      </c>
      <c r="I3134" s="24" t="str">
        <f>IFERROR(__xludf.DUMMYFUNCTION("""COMPUTED_VALUE"""),"Damage/expired/extra")</f>
        <v>Damage/expired/extra</v>
      </c>
    </row>
    <row r="3135">
      <c r="A3135" s="23">
        <f>IFERROR(__xludf.DUMMYFUNCTION("""COMPUTED_VALUE"""),44808.69772787036)</f>
        <v>44808.69773</v>
      </c>
      <c r="B3135" s="24" t="str">
        <f>IFERROR(__xludf.DUMMYFUNCTION("""COMPUTED_VALUE"""),"Opey")</f>
        <v>Opey</v>
      </c>
      <c r="C3135" s="24">
        <f>IFERROR(__xludf.DUMMYFUNCTION("""COMPUTED_VALUE"""),20.0)</f>
        <v>20</v>
      </c>
      <c r="D3135" s="24"/>
      <c r="F3135" s="23">
        <f>IFERROR(__xludf.DUMMYFUNCTION("""COMPUTED_VALUE"""),44861.70704291666)</f>
        <v>44861.70704</v>
      </c>
      <c r="G3135" s="24" t="str">
        <f>IFERROR(__xludf.DUMMYFUNCTION("""COMPUTED_VALUE"""),"Hong")</f>
        <v>Hong</v>
      </c>
      <c r="H3135" s="24">
        <f>IFERROR(__xludf.DUMMYFUNCTION("""COMPUTED_VALUE"""),19.0)</f>
        <v>19</v>
      </c>
      <c r="I3135" s="24" t="str">
        <f>IFERROR(__xludf.DUMMYFUNCTION("""COMPUTED_VALUE"""),"Regular (up to 20lbs)")</f>
        <v>Regular (up to 20lbs)</v>
      </c>
    </row>
    <row r="3136">
      <c r="A3136" s="23">
        <f>IFERROR(__xludf.DUMMYFUNCTION("""COMPUTED_VALUE"""),44808.69803417824)</f>
        <v>44808.69803</v>
      </c>
      <c r="B3136" s="24" t="str">
        <f>IFERROR(__xludf.DUMMYFUNCTION("""COMPUTED_VALUE"""),"Zoe")</f>
        <v>Zoe</v>
      </c>
      <c r="C3136" s="24">
        <f>IFERROR(__xludf.DUMMYFUNCTION("""COMPUTED_VALUE"""),20.0)</f>
        <v>20</v>
      </c>
      <c r="D3136" s="24"/>
      <c r="F3136" s="23">
        <f>IFERROR(__xludf.DUMMYFUNCTION("""COMPUTED_VALUE"""),44861.70741532407)</f>
        <v>44861.70742</v>
      </c>
      <c r="G3136" s="24" t="str">
        <f>IFERROR(__xludf.DUMMYFUNCTION("""COMPUTED_VALUE"""),"Denise")</f>
        <v>Denise</v>
      </c>
      <c r="H3136" s="24">
        <f>IFERROR(__xludf.DUMMYFUNCTION("""COMPUTED_VALUE"""),29.0)</f>
        <v>29</v>
      </c>
      <c r="I3136" s="24" t="str">
        <f>IFERROR(__xludf.DUMMYFUNCTION("""COMPUTED_VALUE"""),"Regular (up to 20lbs)")</f>
        <v>Regular (up to 20lbs)</v>
      </c>
    </row>
    <row r="3137">
      <c r="A3137" s="23">
        <f>IFERROR(__xludf.DUMMYFUNCTION("""COMPUTED_VALUE"""),44810.0)</f>
        <v>44810</v>
      </c>
      <c r="B3137" s="24" t="str">
        <f>IFERROR(__xludf.DUMMYFUNCTION("""COMPUTED_VALUE"""),"Hong Xue")</f>
        <v>Hong Xue</v>
      </c>
      <c r="C3137" s="24">
        <f>IFERROR(__xludf.DUMMYFUNCTION("""COMPUTED_VALUE"""),21.0)</f>
        <v>21</v>
      </c>
      <c r="D3137" s="24"/>
      <c r="F3137" s="23">
        <f>IFERROR(__xludf.DUMMYFUNCTION("""COMPUTED_VALUE"""),44861.707903194445)</f>
        <v>44861.7079</v>
      </c>
      <c r="G3137" s="24" t="str">
        <f>IFERROR(__xludf.DUMMYFUNCTION("""COMPUTED_VALUE"""),"Denise")</f>
        <v>Denise</v>
      </c>
      <c r="H3137" s="24">
        <f>IFERROR(__xludf.DUMMYFUNCTION("""COMPUTED_VALUE"""),14.0)</f>
        <v>14</v>
      </c>
      <c r="I3137" s="24" t="str">
        <f>IFERROR(__xludf.DUMMYFUNCTION("""COMPUTED_VALUE"""),"Damage/expired/extra")</f>
        <v>Damage/expired/extra</v>
      </c>
    </row>
    <row r="3138">
      <c r="A3138" s="23">
        <f>IFERROR(__xludf.DUMMYFUNCTION("""COMPUTED_VALUE"""),44810.0)</f>
        <v>44810</v>
      </c>
      <c r="B3138" s="24" t="str">
        <f>IFERROR(__xludf.DUMMYFUNCTION("""COMPUTED_VALUE"""),"Hong Xue")</f>
        <v>Hong Xue</v>
      </c>
      <c r="C3138" s="24">
        <f>IFERROR(__xludf.DUMMYFUNCTION("""COMPUTED_VALUE"""),40.0)</f>
        <v>40</v>
      </c>
      <c r="D3138" s="24"/>
      <c r="F3138" s="23">
        <f>IFERROR(__xludf.DUMMYFUNCTION("""COMPUTED_VALUE"""),44862.588746828704)</f>
        <v>44862.58875</v>
      </c>
      <c r="G3138" s="24" t="str">
        <f>IFERROR(__xludf.DUMMYFUNCTION("""COMPUTED_VALUE"""),"Jean")</f>
        <v>Jean</v>
      </c>
      <c r="H3138" s="24">
        <f>IFERROR(__xludf.DUMMYFUNCTION("""COMPUTED_VALUE"""),146.0)</f>
        <v>146</v>
      </c>
      <c r="I3138" s="24" t="str">
        <f>IFERROR(__xludf.DUMMYFUNCTION("""COMPUTED_VALUE"""),"Snacks")</f>
        <v>Snacks</v>
      </c>
    </row>
    <row r="3139">
      <c r="A3139" s="23">
        <f>IFERROR(__xludf.DUMMYFUNCTION("""COMPUTED_VALUE"""),44810.0)</f>
        <v>44810</v>
      </c>
      <c r="B3139" s="24" t="str">
        <f>IFERROR(__xludf.DUMMYFUNCTION("""COMPUTED_VALUE"""),"Marci")</f>
        <v>Marci</v>
      </c>
      <c r="C3139" s="24">
        <f>IFERROR(__xludf.DUMMYFUNCTION("""COMPUTED_VALUE"""),10.0)</f>
        <v>10</v>
      </c>
      <c r="D3139" s="24"/>
      <c r="F3139" s="23">
        <f>IFERROR(__xludf.DUMMYFUNCTION("""COMPUTED_VALUE"""),44862.58998858796)</f>
        <v>44862.58999</v>
      </c>
      <c r="G3139" s="24" t="str">
        <f>IFERROR(__xludf.DUMMYFUNCTION("""COMPUTED_VALUE"""),"Jean")</f>
        <v>Jean</v>
      </c>
      <c r="H3139" s="24">
        <f>IFERROR(__xludf.DUMMYFUNCTION("""COMPUTED_VALUE"""),429.0)</f>
        <v>429</v>
      </c>
      <c r="I3139" s="24" t="str">
        <f>IFERROR(__xludf.DUMMYFUNCTION("""COMPUTED_VALUE"""),"Drinks [Dry]")</f>
        <v>Drinks [Dry]</v>
      </c>
    </row>
    <row r="3140">
      <c r="A3140" s="23">
        <f>IFERROR(__xludf.DUMMYFUNCTION("""COMPUTED_VALUE"""),44810.0)</f>
        <v>44810</v>
      </c>
      <c r="B3140" s="24" t="str">
        <f>IFERROR(__xludf.DUMMYFUNCTION("""COMPUTED_VALUE"""),"Marci")</f>
        <v>Marci</v>
      </c>
      <c r="C3140" s="24">
        <f>IFERROR(__xludf.DUMMYFUNCTION("""COMPUTED_VALUE"""),84.0)</f>
        <v>84</v>
      </c>
      <c r="D3140" s="24"/>
      <c r="F3140" s="23">
        <f>IFERROR(__xludf.DUMMYFUNCTION("""COMPUTED_VALUE"""),44862.59135048612)</f>
        <v>44862.59135</v>
      </c>
      <c r="G3140" s="24" t="str">
        <f>IFERROR(__xludf.DUMMYFUNCTION("""COMPUTED_VALUE"""),"Jean")</f>
        <v>Jean</v>
      </c>
      <c r="H3140" s="24">
        <f>IFERROR(__xludf.DUMMYFUNCTION("""COMPUTED_VALUE"""),468.0)</f>
        <v>468</v>
      </c>
      <c r="I3140" s="24" t="str">
        <f>IFERROR(__xludf.DUMMYFUNCTION("""COMPUTED_VALUE"""),"Assorted Dry")</f>
        <v>Assorted Dry</v>
      </c>
    </row>
    <row r="3141">
      <c r="A3141" s="23">
        <f>IFERROR(__xludf.DUMMYFUNCTION("""COMPUTED_VALUE"""),44810.698604548605)</f>
        <v>44810.6986</v>
      </c>
      <c r="B3141" s="24" t="str">
        <f>IFERROR(__xludf.DUMMYFUNCTION("""COMPUTED_VALUE"""),"Barbara")</f>
        <v>Barbara</v>
      </c>
      <c r="C3141" s="24">
        <f>IFERROR(__xludf.DUMMYFUNCTION("""COMPUTED_VALUE"""),15.0)</f>
        <v>15</v>
      </c>
      <c r="D3141" s="24"/>
      <c r="F3141" s="23">
        <f>IFERROR(__xludf.DUMMYFUNCTION("""COMPUTED_VALUE"""),44862.59211827547)</f>
        <v>44862.59212</v>
      </c>
      <c r="G3141" s="24" t="str">
        <f>IFERROR(__xludf.DUMMYFUNCTION("""COMPUTED_VALUE"""),"Jean")</f>
        <v>Jean</v>
      </c>
      <c r="H3141" s="24">
        <f>IFERROR(__xludf.DUMMYFUNCTION("""COMPUTED_VALUE"""),354.0)</f>
        <v>354</v>
      </c>
      <c r="I3141" s="24" t="str">
        <f>IFERROR(__xludf.DUMMYFUNCTION("""COMPUTED_VALUE"""),"Produce")</f>
        <v>Produce</v>
      </c>
    </row>
    <row r="3142">
      <c r="A3142" s="23">
        <f>IFERROR(__xludf.DUMMYFUNCTION("""COMPUTED_VALUE"""),44810.698852615744)</f>
        <v>44810.69885</v>
      </c>
      <c r="B3142" s="24" t="str">
        <f>IFERROR(__xludf.DUMMYFUNCTION("""COMPUTED_VALUE"""),"Babara")</f>
        <v>Babara</v>
      </c>
      <c r="C3142" s="24">
        <f>IFERROR(__xludf.DUMMYFUNCTION("""COMPUTED_VALUE"""),19.0)</f>
        <v>19</v>
      </c>
      <c r="D3142" s="24"/>
      <c r="F3142" s="23">
        <f>IFERROR(__xludf.DUMMYFUNCTION("""COMPUTED_VALUE"""),44862.59352847223)</f>
        <v>44862.59353</v>
      </c>
      <c r="G3142" s="24" t="str">
        <f>IFERROR(__xludf.DUMMYFUNCTION("""COMPUTED_VALUE"""),"Jean")</f>
        <v>Jean</v>
      </c>
      <c r="H3142" s="24">
        <f>IFERROR(__xludf.DUMMYFUNCTION("""COMPUTED_VALUE"""),383.0)</f>
        <v>383</v>
      </c>
      <c r="I3142" s="24" t="str">
        <f>IFERROR(__xludf.DUMMYFUNCTION("""COMPUTED_VALUE"""),"Produce")</f>
        <v>Produce</v>
      </c>
    </row>
    <row r="3143">
      <c r="A3143" s="23">
        <f>IFERROR(__xludf.DUMMYFUNCTION("""COMPUTED_VALUE"""),44810.700949375)</f>
        <v>44810.70095</v>
      </c>
      <c r="B3143" s="24" t="str">
        <f>IFERROR(__xludf.DUMMYFUNCTION("""COMPUTED_VALUE"""),"Jean")</f>
        <v>Jean</v>
      </c>
      <c r="C3143" s="24">
        <f>IFERROR(__xludf.DUMMYFUNCTION("""COMPUTED_VALUE"""),51.0)</f>
        <v>51</v>
      </c>
      <c r="D3143" s="24"/>
      <c r="F3143" s="23">
        <f>IFERROR(__xludf.DUMMYFUNCTION("""COMPUTED_VALUE"""),44862.594075486115)</f>
        <v>44862.59408</v>
      </c>
      <c r="G3143" s="24" t="str">
        <f>IFERROR(__xludf.DUMMYFUNCTION("""COMPUTED_VALUE"""),"Jean")</f>
        <v>Jean</v>
      </c>
      <c r="H3143" s="24">
        <f>IFERROR(__xludf.DUMMYFUNCTION("""COMPUTED_VALUE"""),231.0)</f>
        <v>231</v>
      </c>
      <c r="I3143" s="24" t="str">
        <f>IFERROR(__xludf.DUMMYFUNCTION("""COMPUTED_VALUE"""),"Produce")</f>
        <v>Produce</v>
      </c>
    </row>
    <row r="3144">
      <c r="A3144" s="23">
        <f>IFERROR(__xludf.DUMMYFUNCTION("""COMPUTED_VALUE"""),44810.70146768519)</f>
        <v>44810.70147</v>
      </c>
      <c r="B3144" s="24" t="str">
        <f>IFERROR(__xludf.DUMMYFUNCTION("""COMPUTED_VALUE"""),"Jean")</f>
        <v>Jean</v>
      </c>
      <c r="C3144" s="24">
        <f>IFERROR(__xludf.DUMMYFUNCTION("""COMPUTED_VALUE"""),32.0)</f>
        <v>32</v>
      </c>
      <c r="D3144" s="24"/>
      <c r="F3144" s="23">
        <f>IFERROR(__xludf.DUMMYFUNCTION("""COMPUTED_VALUE"""),44862.59494916666)</f>
        <v>44862.59495</v>
      </c>
      <c r="G3144" s="24" t="str">
        <f>IFERROR(__xludf.DUMMYFUNCTION("""COMPUTED_VALUE"""),"Jean")</f>
        <v>Jean</v>
      </c>
      <c r="H3144" s="24">
        <f>IFERROR(__xludf.DUMMYFUNCTION("""COMPUTED_VALUE"""),113.0)</f>
        <v>113</v>
      </c>
      <c r="I3144" s="24" t="str">
        <f>IFERROR(__xludf.DUMMYFUNCTION("""COMPUTED_VALUE"""),"Snacks")</f>
        <v>Snacks</v>
      </c>
    </row>
    <row r="3145">
      <c r="A3145" s="23">
        <f>IFERROR(__xludf.DUMMYFUNCTION("""COMPUTED_VALUE"""),44810.70451394677)</f>
        <v>44810.70451</v>
      </c>
      <c r="B3145" s="24" t="str">
        <f>IFERROR(__xludf.DUMMYFUNCTION("""COMPUTED_VALUE"""),"Kaneesha")</f>
        <v>Kaneesha</v>
      </c>
      <c r="C3145" s="24">
        <f>IFERROR(__xludf.DUMMYFUNCTION("""COMPUTED_VALUE"""),20.0)</f>
        <v>20</v>
      </c>
      <c r="D3145" s="24"/>
      <c r="F3145" s="23">
        <f>IFERROR(__xludf.DUMMYFUNCTION("""COMPUTED_VALUE"""),44862.59568761574)</f>
        <v>44862.59569</v>
      </c>
      <c r="G3145" s="24" t="str">
        <f>IFERROR(__xludf.DUMMYFUNCTION("""COMPUTED_VALUE"""),"Jean")</f>
        <v>Jean</v>
      </c>
      <c r="H3145" s="24">
        <f>IFERROR(__xludf.DUMMYFUNCTION("""COMPUTED_VALUE"""),390.0)</f>
        <v>390</v>
      </c>
      <c r="I3145" s="24" t="str">
        <f>IFERROR(__xludf.DUMMYFUNCTION("""COMPUTED_VALUE"""),"Drinks [Dry]")</f>
        <v>Drinks [Dry]</v>
      </c>
    </row>
    <row r="3146">
      <c r="A3146" s="23">
        <f>IFERROR(__xludf.DUMMYFUNCTION("""COMPUTED_VALUE"""),44810.704870567126)</f>
        <v>44810.70487</v>
      </c>
      <c r="B3146" s="24" t="str">
        <f>IFERROR(__xludf.DUMMYFUNCTION("""COMPUTED_VALUE"""),"Kaneesha ")</f>
        <v>Kaneesha </v>
      </c>
      <c r="C3146" s="24">
        <f>IFERROR(__xludf.DUMMYFUNCTION("""COMPUTED_VALUE"""),31.0)</f>
        <v>31</v>
      </c>
      <c r="D3146" s="24"/>
      <c r="F3146" s="23">
        <f>IFERROR(__xludf.DUMMYFUNCTION("""COMPUTED_VALUE"""),44862.59664628472)</f>
        <v>44862.59665</v>
      </c>
      <c r="G3146" s="24" t="str">
        <f>IFERROR(__xludf.DUMMYFUNCTION("""COMPUTED_VALUE"""),"Jean")</f>
        <v>Jean</v>
      </c>
      <c r="H3146" s="24">
        <f>IFERROR(__xludf.DUMMYFUNCTION("""COMPUTED_VALUE"""),448.0)</f>
        <v>448</v>
      </c>
      <c r="I3146" s="24" t="str">
        <f>IFERROR(__xludf.DUMMYFUNCTION("""COMPUTED_VALUE"""),"Snacks")</f>
        <v>Snacks</v>
      </c>
    </row>
    <row r="3147">
      <c r="A3147" s="23">
        <f>IFERROR(__xludf.DUMMYFUNCTION("""COMPUTED_VALUE"""),44810.70590226852)</f>
        <v>44810.7059</v>
      </c>
      <c r="B3147" s="24" t="str">
        <f>IFERROR(__xludf.DUMMYFUNCTION("""COMPUTED_VALUE"""),"Beverly Pinn")</f>
        <v>Beverly Pinn</v>
      </c>
      <c r="C3147" s="24">
        <f>IFERROR(__xludf.DUMMYFUNCTION("""COMPUTED_VALUE"""),18.0)</f>
        <v>18</v>
      </c>
      <c r="D3147" s="24"/>
      <c r="F3147" s="23">
        <f>IFERROR(__xludf.DUMMYFUNCTION("""COMPUTED_VALUE"""),44862.59726318287)</f>
        <v>44862.59726</v>
      </c>
      <c r="G3147" s="24" t="str">
        <f>IFERROR(__xludf.DUMMYFUNCTION("""COMPUTED_VALUE"""),"Jean")</f>
        <v>Jean</v>
      </c>
      <c r="H3147" s="24">
        <f>IFERROR(__xludf.DUMMYFUNCTION("""COMPUTED_VALUE"""),359.0)</f>
        <v>359</v>
      </c>
      <c r="I3147" s="24" t="str">
        <f>IFERROR(__xludf.DUMMYFUNCTION("""COMPUTED_VALUE"""),"Produce")</f>
        <v>Produce</v>
      </c>
    </row>
    <row r="3148">
      <c r="A3148" s="23">
        <f>IFERROR(__xludf.DUMMYFUNCTION("""COMPUTED_VALUE"""),44810.70595246528)</f>
        <v>44810.70595</v>
      </c>
      <c r="B3148" s="24" t="str">
        <f>IFERROR(__xludf.DUMMYFUNCTION("""COMPUTED_VALUE"""),"Romaine Bouldin ")</f>
        <v>Romaine Bouldin </v>
      </c>
      <c r="C3148" s="24">
        <f>IFERROR(__xludf.DUMMYFUNCTION("""COMPUTED_VALUE"""),17.0)</f>
        <v>17</v>
      </c>
      <c r="D3148" s="24"/>
      <c r="F3148" s="23">
        <f>IFERROR(__xludf.DUMMYFUNCTION("""COMPUTED_VALUE"""),44862.59850884259)</f>
        <v>44862.59851</v>
      </c>
      <c r="G3148" s="24" t="str">
        <f>IFERROR(__xludf.DUMMYFUNCTION("""COMPUTED_VALUE"""),"Jean")</f>
        <v>Jean</v>
      </c>
      <c r="H3148" s="24">
        <f>IFERROR(__xludf.DUMMYFUNCTION("""COMPUTED_VALUE"""),126.0)</f>
        <v>126</v>
      </c>
      <c r="I3148" s="24" t="str">
        <f>IFERROR(__xludf.DUMMYFUNCTION("""COMPUTED_VALUE"""),"Assorted Fridge")</f>
        <v>Assorted Fridge</v>
      </c>
    </row>
    <row r="3149">
      <c r="A3149" s="23">
        <f>IFERROR(__xludf.DUMMYFUNCTION("""COMPUTED_VALUE"""),44810.70595840278)</f>
        <v>44810.70596</v>
      </c>
      <c r="B3149" s="24" t="str">
        <f>IFERROR(__xludf.DUMMYFUNCTION("""COMPUTED_VALUE"""),"Beverly Graham")</f>
        <v>Beverly Graham</v>
      </c>
      <c r="C3149" s="24">
        <f>IFERROR(__xludf.DUMMYFUNCTION("""COMPUTED_VALUE"""),16.0)</f>
        <v>16</v>
      </c>
      <c r="D3149" s="24"/>
      <c r="F3149" s="23">
        <f>IFERROR(__xludf.DUMMYFUNCTION("""COMPUTED_VALUE"""),44862.59929994213)</f>
        <v>44862.5993</v>
      </c>
      <c r="G3149" s="24" t="str">
        <f>IFERROR(__xludf.DUMMYFUNCTION("""COMPUTED_VALUE"""),"Jean")</f>
        <v>Jean</v>
      </c>
      <c r="H3149" s="24">
        <f>IFERROR(__xludf.DUMMYFUNCTION("""COMPUTED_VALUE"""),352.0)</f>
        <v>352</v>
      </c>
      <c r="I3149" s="24" t="str">
        <f>IFERROR(__xludf.DUMMYFUNCTION("""COMPUTED_VALUE"""),"Produce")</f>
        <v>Produce</v>
      </c>
    </row>
    <row r="3150">
      <c r="A3150" s="23">
        <f>IFERROR(__xludf.DUMMYFUNCTION("""COMPUTED_VALUE"""),44810.70625805556)</f>
        <v>44810.70626</v>
      </c>
      <c r="B3150" s="24" t="str">
        <f>IFERROR(__xludf.DUMMYFUNCTION("""COMPUTED_VALUE"""),"Beverly Pinn")</f>
        <v>Beverly Pinn</v>
      </c>
      <c r="C3150" s="24">
        <f>IFERROR(__xludf.DUMMYFUNCTION("""COMPUTED_VALUE"""),29.0)</f>
        <v>29</v>
      </c>
      <c r="D3150" s="24"/>
      <c r="F3150" s="23">
        <f>IFERROR(__xludf.DUMMYFUNCTION("""COMPUTED_VALUE"""),44862.600988148144)</f>
        <v>44862.60099</v>
      </c>
      <c r="G3150" s="24" t="str">
        <f>IFERROR(__xludf.DUMMYFUNCTION("""COMPUTED_VALUE"""),"Jean")</f>
        <v>Jean</v>
      </c>
      <c r="H3150" s="24">
        <f>IFERROR(__xludf.DUMMYFUNCTION("""COMPUTED_VALUE"""),8.0)</f>
        <v>8</v>
      </c>
      <c r="I3150" s="24" t="str">
        <f>IFERROR(__xludf.DUMMYFUNCTION("""COMPUTED_VALUE"""),"Regular (up to 20lbs)")</f>
        <v>Regular (up to 20lbs)</v>
      </c>
    </row>
    <row r="3151">
      <c r="A3151" s="23">
        <f>IFERROR(__xludf.DUMMYFUNCTION("""COMPUTED_VALUE"""),44810.70630636574)</f>
        <v>44810.70631</v>
      </c>
      <c r="B3151" s="24" t="str">
        <f>IFERROR(__xludf.DUMMYFUNCTION("""COMPUTED_VALUE"""),"Romaine Bouldin ")</f>
        <v>Romaine Bouldin </v>
      </c>
      <c r="C3151" s="24">
        <f>IFERROR(__xludf.DUMMYFUNCTION("""COMPUTED_VALUE"""),18.0)</f>
        <v>18</v>
      </c>
      <c r="D3151" s="24"/>
      <c r="F3151" s="23">
        <f>IFERROR(__xludf.DUMMYFUNCTION("""COMPUTED_VALUE"""),44862.6562497338)</f>
        <v>44862.65625</v>
      </c>
      <c r="G3151" s="24" t="str">
        <f>IFERROR(__xludf.DUMMYFUNCTION("""COMPUTED_VALUE"""),"Raymond Gong")</f>
        <v>Raymond Gong</v>
      </c>
      <c r="H3151" s="24">
        <f>IFERROR(__xludf.DUMMYFUNCTION("""COMPUTED_VALUE"""),7.0)</f>
        <v>7</v>
      </c>
      <c r="I3151" s="24" t="str">
        <f>IFERROR(__xludf.DUMMYFUNCTION("""COMPUTED_VALUE"""),"Regular (up to 20lbs)")</f>
        <v>Regular (up to 20lbs)</v>
      </c>
    </row>
    <row r="3152">
      <c r="A3152" s="23">
        <f>IFERROR(__xludf.DUMMYFUNCTION("""COMPUTED_VALUE"""),44810.70657236111)</f>
        <v>44810.70657</v>
      </c>
      <c r="B3152" s="24" t="str">
        <f>IFERROR(__xludf.DUMMYFUNCTION("""COMPUTED_VALUE"""),"Beverly Graham")</f>
        <v>Beverly Graham</v>
      </c>
      <c r="C3152" s="24">
        <f>IFERROR(__xludf.DUMMYFUNCTION("""COMPUTED_VALUE"""),21.0)</f>
        <v>21</v>
      </c>
      <c r="D3152" s="24"/>
      <c r="F3152" s="23">
        <f>IFERROR(__xludf.DUMMYFUNCTION("""COMPUTED_VALUE"""),44862.65657987269)</f>
        <v>44862.65658</v>
      </c>
      <c r="G3152" s="24" t="str">
        <f>IFERROR(__xludf.DUMMYFUNCTION("""COMPUTED_VALUE"""),"Maria Reyes ")</f>
        <v>Maria Reyes </v>
      </c>
      <c r="H3152" s="24">
        <f>IFERROR(__xludf.DUMMYFUNCTION("""COMPUTED_VALUE"""),13.0)</f>
        <v>13</v>
      </c>
      <c r="I3152" s="24" t="str">
        <f>IFERROR(__xludf.DUMMYFUNCTION("""COMPUTED_VALUE"""),"Regular (up to 20lbs)")</f>
        <v>Regular (up to 20lbs)</v>
      </c>
    </row>
    <row r="3153">
      <c r="A3153" s="23">
        <f>IFERROR(__xludf.DUMMYFUNCTION("""COMPUTED_VALUE"""),44811.0)</f>
        <v>44811</v>
      </c>
      <c r="B3153" s="24" t="str">
        <f>IFERROR(__xludf.DUMMYFUNCTION("""COMPUTED_VALUE"""),"Juanita Chandler")</f>
        <v>Juanita Chandler</v>
      </c>
      <c r="C3153" s="24">
        <f>IFERROR(__xludf.DUMMYFUNCTION("""COMPUTED_VALUE"""),4.0)</f>
        <v>4</v>
      </c>
      <c r="D3153" s="24"/>
      <c r="F3153" s="23">
        <f>IFERROR(__xludf.DUMMYFUNCTION("""COMPUTED_VALUE"""),44862.65660934028)</f>
        <v>44862.65661</v>
      </c>
      <c r="G3153" s="24" t="str">
        <f>IFERROR(__xludf.DUMMYFUNCTION("""COMPUTED_VALUE"""),"Raymond Gong")</f>
        <v>Raymond Gong</v>
      </c>
      <c r="H3153" s="24">
        <f>IFERROR(__xludf.DUMMYFUNCTION("""COMPUTED_VALUE"""),5.0)</f>
        <v>5</v>
      </c>
      <c r="I3153" s="24" t="str">
        <f>IFERROR(__xludf.DUMMYFUNCTION("""COMPUTED_VALUE"""),"Damage/expired/extra")</f>
        <v>Damage/expired/extra</v>
      </c>
    </row>
    <row r="3154">
      <c r="A3154" s="23">
        <f>IFERROR(__xludf.DUMMYFUNCTION("""COMPUTED_VALUE"""),44811.0)</f>
        <v>44811</v>
      </c>
      <c r="B3154" s="24" t="str">
        <f>IFERROR(__xludf.DUMMYFUNCTION("""COMPUTED_VALUE"""),"Juanita Chandler")</f>
        <v>Juanita Chandler</v>
      </c>
      <c r="C3154" s="24">
        <f>IFERROR(__xludf.DUMMYFUNCTION("""COMPUTED_VALUE"""),9.0)</f>
        <v>9</v>
      </c>
      <c r="D3154" s="24"/>
      <c r="F3154" s="23">
        <f>IFERROR(__xludf.DUMMYFUNCTION("""COMPUTED_VALUE"""),44862.6567377199)</f>
        <v>44862.65674</v>
      </c>
      <c r="G3154" s="24" t="str">
        <f>IFERROR(__xludf.DUMMYFUNCTION("""COMPUTED_VALUE"""),"Maria Reyes ")</f>
        <v>Maria Reyes </v>
      </c>
      <c r="H3154" s="24">
        <f>IFERROR(__xludf.DUMMYFUNCTION("""COMPUTED_VALUE"""),5.0)</f>
        <v>5</v>
      </c>
      <c r="I3154" s="24" t="str">
        <f>IFERROR(__xludf.DUMMYFUNCTION("""COMPUTED_VALUE"""),"Damage/expired/extra")</f>
        <v>Damage/expired/extra</v>
      </c>
    </row>
    <row r="3155">
      <c r="A3155" s="23">
        <f>IFERROR(__xludf.DUMMYFUNCTION("""COMPUTED_VALUE"""),44811.0)</f>
        <v>44811</v>
      </c>
      <c r="B3155" s="24" t="str">
        <f>IFERROR(__xludf.DUMMYFUNCTION("""COMPUTED_VALUE"""),"Doris Parker Tuggle")</f>
        <v>Doris Parker Tuggle</v>
      </c>
      <c r="C3155" s="24">
        <f>IFERROR(__xludf.DUMMYFUNCTION("""COMPUTED_VALUE"""),19.0)</f>
        <v>19</v>
      </c>
      <c r="D3155" s="24"/>
      <c r="F3155" s="23">
        <f>IFERROR(__xludf.DUMMYFUNCTION("""COMPUTED_VALUE"""),44862.66480103009)</f>
        <v>44862.6648</v>
      </c>
      <c r="G3155" s="24" t="str">
        <f>IFERROR(__xludf.DUMMYFUNCTION("""COMPUTED_VALUE"""),"Teresa  C")</f>
        <v>Teresa  C</v>
      </c>
      <c r="H3155" s="24">
        <f>IFERROR(__xludf.DUMMYFUNCTION("""COMPUTED_VALUE"""),18.0)</f>
        <v>18</v>
      </c>
      <c r="I3155" s="24" t="str">
        <f>IFERROR(__xludf.DUMMYFUNCTION("""COMPUTED_VALUE"""),"Regular (up to 20lbs)")</f>
        <v>Regular (up to 20lbs)</v>
      </c>
    </row>
    <row r="3156">
      <c r="A3156" s="23">
        <f>IFERROR(__xludf.DUMMYFUNCTION("""COMPUTED_VALUE"""),44811.0)</f>
        <v>44811</v>
      </c>
      <c r="B3156" s="24" t="str">
        <f>IFERROR(__xludf.DUMMYFUNCTION("""COMPUTED_VALUE"""),"Sharron Robinson")</f>
        <v>Sharron Robinson</v>
      </c>
      <c r="C3156" s="24">
        <f>IFERROR(__xludf.DUMMYFUNCTION("""COMPUTED_VALUE"""),20.0)</f>
        <v>20</v>
      </c>
      <c r="D3156" s="24"/>
      <c r="F3156" s="23">
        <f>IFERROR(__xludf.DUMMYFUNCTION("""COMPUTED_VALUE"""),44862.66507538194)</f>
        <v>44862.66508</v>
      </c>
      <c r="G3156" s="24" t="str">
        <f>IFERROR(__xludf.DUMMYFUNCTION("""COMPUTED_VALUE"""),"Teresa C")</f>
        <v>Teresa C</v>
      </c>
      <c r="H3156" s="24">
        <f>IFERROR(__xludf.DUMMYFUNCTION("""COMPUTED_VALUE"""),3.0)</f>
        <v>3</v>
      </c>
      <c r="I3156" s="24" t="str">
        <f>IFERROR(__xludf.DUMMYFUNCTION("""COMPUTED_VALUE"""),"Damage/expired/extra")</f>
        <v>Damage/expired/extra</v>
      </c>
    </row>
    <row r="3157">
      <c r="A3157" s="23">
        <f>IFERROR(__xludf.DUMMYFUNCTION("""COMPUTED_VALUE"""),44811.0)</f>
        <v>44811</v>
      </c>
      <c r="B3157" s="24" t="str">
        <f>IFERROR(__xludf.DUMMYFUNCTION("""COMPUTED_VALUE"""),"Sharron Robinson")</f>
        <v>Sharron Robinson</v>
      </c>
      <c r="C3157" s="24">
        <f>IFERROR(__xludf.DUMMYFUNCTION("""COMPUTED_VALUE"""),10.0)</f>
        <v>10</v>
      </c>
      <c r="D3157" s="24"/>
      <c r="F3157" s="23">
        <f>IFERROR(__xludf.DUMMYFUNCTION("""COMPUTED_VALUE"""),44862.665654791665)</f>
        <v>44862.66565</v>
      </c>
      <c r="G3157" s="24" t="str">
        <f>IFERROR(__xludf.DUMMYFUNCTION("""COMPUTED_VALUE"""),"Juanita Chandler ")</f>
        <v>Juanita Chandler </v>
      </c>
      <c r="H3157" s="24">
        <f>IFERROR(__xludf.DUMMYFUNCTION("""COMPUTED_VALUE"""),8.0)</f>
        <v>8</v>
      </c>
      <c r="I3157" s="24" t="str">
        <f>IFERROR(__xludf.DUMMYFUNCTION("""COMPUTED_VALUE"""),"Regular (up to 20lbs)")</f>
        <v>Regular (up to 20lbs)</v>
      </c>
    </row>
    <row r="3158">
      <c r="A3158" s="23">
        <f>IFERROR(__xludf.DUMMYFUNCTION("""COMPUTED_VALUE"""),44811.0)</f>
        <v>44811</v>
      </c>
      <c r="B3158" s="24" t="str">
        <f>IFERROR(__xludf.DUMMYFUNCTION("""COMPUTED_VALUE"""),"Alana Thomas")</f>
        <v>Alana Thomas</v>
      </c>
      <c r="C3158" s="24">
        <f>IFERROR(__xludf.DUMMYFUNCTION("""COMPUTED_VALUE"""),20.0)</f>
        <v>20</v>
      </c>
      <c r="D3158" s="24"/>
      <c r="F3158" s="23">
        <f>IFERROR(__xludf.DUMMYFUNCTION("""COMPUTED_VALUE"""),44862.6659959375)</f>
        <v>44862.666</v>
      </c>
      <c r="G3158" s="24" t="str">
        <f>IFERROR(__xludf.DUMMYFUNCTION("""COMPUTED_VALUE"""),"Juanita Chandler ")</f>
        <v>Juanita Chandler </v>
      </c>
      <c r="H3158" s="24">
        <f>IFERROR(__xludf.DUMMYFUNCTION("""COMPUTED_VALUE"""),8.0)</f>
        <v>8</v>
      </c>
      <c r="I3158" s="24" t="str">
        <f>IFERROR(__xludf.DUMMYFUNCTION("""COMPUTED_VALUE"""),"Damage/expired/extra")</f>
        <v>Damage/expired/extra</v>
      </c>
    </row>
    <row r="3159">
      <c r="A3159" s="23">
        <f>IFERROR(__xludf.DUMMYFUNCTION("""COMPUTED_VALUE"""),44811.0)</f>
        <v>44811</v>
      </c>
      <c r="B3159" s="24" t="str">
        <f>IFERROR(__xludf.DUMMYFUNCTION("""COMPUTED_VALUE"""),"Alana Thomas")</f>
        <v>Alana Thomas</v>
      </c>
      <c r="C3159" s="24">
        <f>IFERROR(__xludf.DUMMYFUNCTION("""COMPUTED_VALUE"""),18.0)</f>
        <v>18</v>
      </c>
      <c r="D3159" s="24"/>
      <c r="F3159" s="23">
        <f>IFERROR(__xludf.DUMMYFUNCTION("""COMPUTED_VALUE"""),44863.0)</f>
        <v>44863</v>
      </c>
      <c r="G3159" s="24" t="str">
        <f>IFERROR(__xludf.DUMMYFUNCTION("""COMPUTED_VALUE"""),"Claire")</f>
        <v>Claire</v>
      </c>
      <c r="H3159" s="24">
        <f>IFERROR(__xludf.DUMMYFUNCTION("""COMPUTED_VALUE"""),556.0)</f>
        <v>556</v>
      </c>
      <c r="I3159" s="24" t="str">
        <f>IFERROR(__xludf.DUMMYFUNCTION("""COMPUTED_VALUE"""),"Produce")</f>
        <v>Produce</v>
      </c>
    </row>
    <row r="3160">
      <c r="A3160" s="23">
        <f>IFERROR(__xludf.DUMMYFUNCTION("""COMPUTED_VALUE"""),44811.0)</f>
        <v>44811</v>
      </c>
      <c r="B3160" s="24" t="str">
        <f>IFERROR(__xludf.DUMMYFUNCTION("""COMPUTED_VALUE"""),"Dee Satterfield")</f>
        <v>Dee Satterfield</v>
      </c>
      <c r="C3160" s="24">
        <f>IFERROR(__xludf.DUMMYFUNCTION("""COMPUTED_VALUE"""),20.0)</f>
        <v>20</v>
      </c>
      <c r="D3160" s="24"/>
      <c r="F3160" s="23">
        <f>IFERROR(__xludf.DUMMYFUNCTION("""COMPUTED_VALUE"""),44863.0)</f>
        <v>44863</v>
      </c>
      <c r="G3160" s="24" t="str">
        <f>IFERROR(__xludf.DUMMYFUNCTION("""COMPUTED_VALUE"""),"Claire")</f>
        <v>Claire</v>
      </c>
      <c r="H3160" s="24">
        <f>IFERROR(__xludf.DUMMYFUNCTION("""COMPUTED_VALUE"""),188.0)</f>
        <v>188</v>
      </c>
      <c r="I3160" s="24" t="str">
        <f>IFERROR(__xludf.DUMMYFUNCTION("""COMPUTED_VALUE"""),"Household")</f>
        <v>Household</v>
      </c>
    </row>
    <row r="3161">
      <c r="A3161" s="23">
        <f>IFERROR(__xludf.DUMMYFUNCTION("""COMPUTED_VALUE"""),44811.0)</f>
        <v>44811</v>
      </c>
      <c r="B3161" s="24" t="str">
        <f>IFERROR(__xludf.DUMMYFUNCTION("""COMPUTED_VALUE"""),"Worthy Charles")</f>
        <v>Worthy Charles</v>
      </c>
      <c r="C3161" s="24">
        <f>IFERROR(__xludf.DUMMYFUNCTION("""COMPUTED_VALUE"""),20.0)</f>
        <v>20</v>
      </c>
      <c r="D3161" s="24"/>
      <c r="F3161" s="23">
        <f>IFERROR(__xludf.DUMMYFUNCTION("""COMPUTED_VALUE"""),44863.0)</f>
        <v>44863</v>
      </c>
      <c r="G3161" s="24" t="str">
        <f>IFERROR(__xludf.DUMMYFUNCTION("""COMPUTED_VALUE"""),"Claire")</f>
        <v>Claire</v>
      </c>
      <c r="H3161" s="24">
        <f>IFERROR(__xludf.DUMMYFUNCTION("""COMPUTED_VALUE"""),115.0)</f>
        <v>115</v>
      </c>
      <c r="I3161" s="24" t="str">
        <f>IFERROR(__xludf.DUMMYFUNCTION("""COMPUTED_VALUE"""),"Paper Supplies")</f>
        <v>Paper Supplies</v>
      </c>
    </row>
    <row r="3162">
      <c r="A3162" s="23">
        <f>IFERROR(__xludf.DUMMYFUNCTION("""COMPUTED_VALUE"""),44811.0)</f>
        <v>44811</v>
      </c>
      <c r="B3162" s="24" t="str">
        <f>IFERROR(__xludf.DUMMYFUNCTION("""COMPUTED_VALUE"""),"Denise R")</f>
        <v>Denise R</v>
      </c>
      <c r="C3162" s="24">
        <f>IFERROR(__xludf.DUMMYFUNCTION("""COMPUTED_VALUE"""),17.0)</f>
        <v>17</v>
      </c>
      <c r="D3162" s="24"/>
      <c r="F3162" s="23">
        <f>IFERROR(__xludf.DUMMYFUNCTION("""COMPUTED_VALUE"""),44863.0)</f>
        <v>44863</v>
      </c>
      <c r="G3162" s="24" t="str">
        <f>IFERROR(__xludf.DUMMYFUNCTION("""COMPUTED_VALUE"""),"Claire")</f>
        <v>Claire</v>
      </c>
      <c r="H3162" s="24">
        <f>IFERROR(__xludf.DUMMYFUNCTION("""COMPUTED_VALUE"""),193.0)</f>
        <v>193</v>
      </c>
      <c r="I3162" s="24" t="str">
        <f>IFERROR(__xludf.DUMMYFUNCTION("""COMPUTED_VALUE"""),"Produce")</f>
        <v>Produce</v>
      </c>
    </row>
    <row r="3163">
      <c r="A3163" s="23">
        <f>IFERROR(__xludf.DUMMYFUNCTION("""COMPUTED_VALUE"""),44811.0)</f>
        <v>44811</v>
      </c>
      <c r="B3163" s="24" t="str">
        <f>IFERROR(__xludf.DUMMYFUNCTION("""COMPUTED_VALUE"""),"Denise R")</f>
        <v>Denise R</v>
      </c>
      <c r="C3163" s="24">
        <f>IFERROR(__xludf.DUMMYFUNCTION("""COMPUTED_VALUE"""),9.0)</f>
        <v>9</v>
      </c>
      <c r="D3163" s="24"/>
      <c r="F3163" s="23">
        <f>IFERROR(__xludf.DUMMYFUNCTION("""COMPUTED_VALUE"""),44863.0)</f>
        <v>44863</v>
      </c>
      <c r="G3163" s="24" t="str">
        <f>IFERROR(__xludf.DUMMYFUNCTION("""COMPUTED_VALUE"""),"Claire")</f>
        <v>Claire</v>
      </c>
      <c r="H3163" s="24">
        <f>IFERROR(__xludf.DUMMYFUNCTION("""COMPUTED_VALUE"""),750.0)</f>
        <v>750</v>
      </c>
      <c r="I3163" s="24" t="str">
        <f>IFERROR(__xludf.DUMMYFUNCTION("""COMPUTED_VALUE"""),"Fruit cups")</f>
        <v>Fruit cups</v>
      </c>
    </row>
    <row r="3164">
      <c r="A3164" s="23">
        <f>IFERROR(__xludf.DUMMYFUNCTION("""COMPUTED_VALUE"""),44811.0)</f>
        <v>44811</v>
      </c>
      <c r="B3164" s="24" t="str">
        <f>IFERROR(__xludf.DUMMYFUNCTION("""COMPUTED_VALUE"""),"Josiah Richardson")</f>
        <v>Josiah Richardson</v>
      </c>
      <c r="C3164" s="24">
        <f>IFERROR(__xludf.DUMMYFUNCTION("""COMPUTED_VALUE"""),20.0)</f>
        <v>20</v>
      </c>
      <c r="D3164" s="24"/>
      <c r="F3164" s="23">
        <f>IFERROR(__xludf.DUMMYFUNCTION("""COMPUTED_VALUE"""),44863.0)</f>
        <v>44863</v>
      </c>
      <c r="G3164" s="24" t="str">
        <f>IFERROR(__xludf.DUMMYFUNCTION("""COMPUTED_VALUE"""),"Claire")</f>
        <v>Claire</v>
      </c>
      <c r="H3164" s="24">
        <f>IFERROR(__xludf.DUMMYFUNCTION("""COMPUTED_VALUE"""),1012.0)</f>
        <v>1012</v>
      </c>
      <c r="I3164" s="24" t="str">
        <f>IFERROR(__xludf.DUMMYFUNCTION("""COMPUTED_VALUE"""),"Fruit cups")</f>
        <v>Fruit cups</v>
      </c>
    </row>
    <row r="3165">
      <c r="A3165" s="23">
        <f>IFERROR(__xludf.DUMMYFUNCTION("""COMPUTED_VALUE"""),44811.716868298616)</f>
        <v>44811.71687</v>
      </c>
      <c r="B3165" s="24" t="str">
        <f>IFERROR(__xludf.DUMMYFUNCTION("""COMPUTED_VALUE"""),"Luke mayhew ")</f>
        <v>Luke mayhew </v>
      </c>
      <c r="C3165" s="24">
        <f>IFERROR(__xludf.DUMMYFUNCTION("""COMPUTED_VALUE"""),19.0)</f>
        <v>19</v>
      </c>
      <c r="D3165" s="24"/>
      <c r="F3165" s="23">
        <f>IFERROR(__xludf.DUMMYFUNCTION("""COMPUTED_VALUE"""),44863.0)</f>
        <v>44863</v>
      </c>
      <c r="G3165" s="24" t="str">
        <f>IFERROR(__xludf.DUMMYFUNCTION("""COMPUTED_VALUE"""),"Claire")</f>
        <v>Claire</v>
      </c>
      <c r="H3165" s="24">
        <f>IFERROR(__xludf.DUMMYFUNCTION("""COMPUTED_VALUE"""),1263.0)</f>
        <v>1263</v>
      </c>
      <c r="I3165" s="24" t="str">
        <f>IFERROR(__xludf.DUMMYFUNCTION("""COMPUTED_VALUE"""),"Fruit cups")</f>
        <v>Fruit cups</v>
      </c>
    </row>
    <row r="3166">
      <c r="A3166" s="23">
        <f>IFERROR(__xludf.DUMMYFUNCTION("""COMPUTED_VALUE"""),44811.716960300924)</f>
        <v>44811.71696</v>
      </c>
      <c r="B3166" s="24" t="str">
        <f>IFERROR(__xludf.DUMMYFUNCTION("""COMPUTED_VALUE"""),"Expired ")</f>
        <v>Expired </v>
      </c>
      <c r="C3166" s="24">
        <f>IFERROR(__xludf.DUMMYFUNCTION("""COMPUTED_VALUE"""),20.0)</f>
        <v>20</v>
      </c>
      <c r="D3166" s="24"/>
      <c r="F3166" s="23">
        <f>IFERROR(__xludf.DUMMYFUNCTION("""COMPUTED_VALUE"""),44863.0)</f>
        <v>44863</v>
      </c>
      <c r="G3166" s="24" t="str">
        <f>IFERROR(__xludf.DUMMYFUNCTION("""COMPUTED_VALUE"""),"Claire")</f>
        <v>Claire</v>
      </c>
      <c r="H3166" s="24">
        <f>IFERROR(__xludf.DUMMYFUNCTION("""COMPUTED_VALUE"""),1405.0)</f>
        <v>1405</v>
      </c>
      <c r="I3166" s="24" t="str">
        <f>IFERROR(__xludf.DUMMYFUNCTION("""COMPUTED_VALUE"""),"Drinks [Dry]")</f>
        <v>Drinks [Dry]</v>
      </c>
    </row>
    <row r="3167">
      <c r="A3167" s="23">
        <f>IFERROR(__xludf.DUMMYFUNCTION("""COMPUTED_VALUE"""),44811.8667456713)</f>
        <v>44811.86675</v>
      </c>
      <c r="B3167" s="24" t="str">
        <f>IFERROR(__xludf.DUMMYFUNCTION("""COMPUTED_VALUE"""),"Maddie ")</f>
        <v>Maddie </v>
      </c>
      <c r="C3167" s="24"/>
      <c r="D3167" s="24"/>
      <c r="F3167" s="23">
        <f>IFERROR(__xludf.DUMMYFUNCTION("""COMPUTED_VALUE"""),44863.0)</f>
        <v>44863</v>
      </c>
      <c r="G3167" s="24" t="str">
        <f>IFERROR(__xludf.DUMMYFUNCTION("""COMPUTED_VALUE"""),"Claire")</f>
        <v>Claire</v>
      </c>
      <c r="H3167" s="24">
        <f>IFERROR(__xludf.DUMMYFUNCTION("""COMPUTED_VALUE"""),537.0)</f>
        <v>537</v>
      </c>
      <c r="I3167" s="24" t="str">
        <f>IFERROR(__xludf.DUMMYFUNCTION("""COMPUTED_VALUE"""),"Drinks [Dry]")</f>
        <v>Drinks [Dry]</v>
      </c>
    </row>
    <row r="3168">
      <c r="A3168" s="23">
        <f>IFERROR(__xludf.DUMMYFUNCTION("""COMPUTED_VALUE"""),44812.0)</f>
        <v>44812</v>
      </c>
      <c r="B3168" s="24" t="str">
        <f>IFERROR(__xludf.DUMMYFUNCTION("""COMPUTED_VALUE"""),"Denise Brown")</f>
        <v>Denise Brown</v>
      </c>
      <c r="C3168" s="24">
        <f>IFERROR(__xludf.DUMMYFUNCTION("""COMPUTED_VALUE"""),15.0)</f>
        <v>15</v>
      </c>
      <c r="D3168" s="24"/>
      <c r="F3168" s="23">
        <f>IFERROR(__xludf.DUMMYFUNCTION("""COMPUTED_VALUE"""),44863.0)</f>
        <v>44863</v>
      </c>
      <c r="G3168" s="24" t="str">
        <f>IFERROR(__xludf.DUMMYFUNCTION("""COMPUTED_VALUE"""),"Juanita Chandler ")</f>
        <v>Juanita Chandler </v>
      </c>
      <c r="H3168" s="24">
        <f>IFERROR(__xludf.DUMMYFUNCTION("""COMPUTED_VALUE"""),17.0)</f>
        <v>17</v>
      </c>
      <c r="I3168" s="24" t="str">
        <f>IFERROR(__xludf.DUMMYFUNCTION("""COMPUTED_VALUE"""),"Damage/expired/extra")</f>
        <v>Damage/expired/extra</v>
      </c>
    </row>
    <row r="3169">
      <c r="A3169" s="23">
        <f>IFERROR(__xludf.DUMMYFUNCTION("""COMPUTED_VALUE"""),44812.0)</f>
        <v>44812</v>
      </c>
      <c r="B3169" s="24" t="str">
        <f>IFERROR(__xludf.DUMMYFUNCTION("""COMPUTED_VALUE"""),"Hong Xue")</f>
        <v>Hong Xue</v>
      </c>
      <c r="C3169" s="24">
        <f>IFERROR(__xludf.DUMMYFUNCTION("""COMPUTED_VALUE"""),20.0)</f>
        <v>20</v>
      </c>
      <c r="D3169" s="24"/>
      <c r="F3169" s="23">
        <f>IFERROR(__xludf.DUMMYFUNCTION("""COMPUTED_VALUE"""),44863.0)</f>
        <v>44863</v>
      </c>
      <c r="G3169" s="24" t="str">
        <f>IFERROR(__xludf.DUMMYFUNCTION("""COMPUTED_VALUE"""),"Doris Parker tuggle")</f>
        <v>Doris Parker tuggle</v>
      </c>
      <c r="H3169" s="24">
        <f>IFERROR(__xludf.DUMMYFUNCTION("""COMPUTED_VALUE"""),19.0)</f>
        <v>19</v>
      </c>
      <c r="I3169" s="24" t="str">
        <f>IFERROR(__xludf.DUMMYFUNCTION("""COMPUTED_VALUE"""),"Regular (up to 20lbs)")</f>
        <v>Regular (up to 20lbs)</v>
      </c>
    </row>
    <row r="3170">
      <c r="A3170" s="23">
        <f>IFERROR(__xludf.DUMMYFUNCTION("""COMPUTED_VALUE"""),44812.0)</f>
        <v>44812</v>
      </c>
      <c r="B3170" s="24" t="str">
        <f>IFERROR(__xludf.DUMMYFUNCTION("""COMPUTED_VALUE"""),"Hong Xue")</f>
        <v>Hong Xue</v>
      </c>
      <c r="C3170" s="24">
        <f>IFERROR(__xludf.DUMMYFUNCTION("""COMPUTED_VALUE"""),14.0)</f>
        <v>14</v>
      </c>
      <c r="D3170" s="24"/>
      <c r="F3170" s="23">
        <f>IFERROR(__xludf.DUMMYFUNCTION("""COMPUTED_VALUE"""),44863.0)</f>
        <v>44863</v>
      </c>
      <c r="G3170" s="24" t="str">
        <f>IFERROR(__xludf.DUMMYFUNCTION("""COMPUTED_VALUE"""),"Doris Parker tuggle")</f>
        <v>Doris Parker tuggle</v>
      </c>
      <c r="H3170" s="24">
        <f>IFERROR(__xludf.DUMMYFUNCTION("""COMPUTED_VALUE"""),2.0)</f>
        <v>2</v>
      </c>
      <c r="I3170" s="24" t="str">
        <f>IFERROR(__xludf.DUMMYFUNCTION("""COMPUTED_VALUE"""),"Damage/expired/extra")</f>
        <v>Damage/expired/extra</v>
      </c>
    </row>
    <row r="3171">
      <c r="A3171" s="23">
        <f>IFERROR(__xludf.DUMMYFUNCTION("""COMPUTED_VALUE"""),44812.0)</f>
        <v>44812</v>
      </c>
      <c r="B3171" s="24" t="str">
        <f>IFERROR(__xludf.DUMMYFUNCTION("""COMPUTED_VALUE"""),"Raquel Bailey")</f>
        <v>Raquel Bailey</v>
      </c>
      <c r="C3171" s="24">
        <f>IFERROR(__xludf.DUMMYFUNCTION("""COMPUTED_VALUE"""),20.0)</f>
        <v>20</v>
      </c>
      <c r="D3171" s="24"/>
      <c r="F3171" s="23">
        <f>IFERROR(__xludf.DUMMYFUNCTION("""COMPUTED_VALUE"""),44863.0)</f>
        <v>44863</v>
      </c>
      <c r="G3171" s="24" t="str">
        <f>IFERROR(__xludf.DUMMYFUNCTION("""COMPUTED_VALUE"""),"Sharron")</f>
        <v>Sharron</v>
      </c>
      <c r="H3171" s="24">
        <f>IFERROR(__xludf.DUMMYFUNCTION("""COMPUTED_VALUE"""),13.0)</f>
        <v>13</v>
      </c>
      <c r="I3171" s="24" t="str">
        <f>IFERROR(__xludf.DUMMYFUNCTION("""COMPUTED_VALUE"""),"Regular (up to 20lbs)")</f>
        <v>Regular (up to 20lbs)</v>
      </c>
    </row>
    <row r="3172">
      <c r="A3172" s="23">
        <f>IFERROR(__xludf.DUMMYFUNCTION("""COMPUTED_VALUE"""),44812.0)</f>
        <v>44812</v>
      </c>
      <c r="B3172" s="24" t="str">
        <f>IFERROR(__xludf.DUMMYFUNCTION("""COMPUTED_VALUE"""),"Kendrick Johnson")</f>
        <v>Kendrick Johnson</v>
      </c>
      <c r="C3172" s="24">
        <f>IFERROR(__xludf.DUMMYFUNCTION("""COMPUTED_VALUE"""),20.0)</f>
        <v>20</v>
      </c>
      <c r="D3172" s="24"/>
      <c r="F3172" s="23">
        <f>IFERROR(__xludf.DUMMYFUNCTION("""COMPUTED_VALUE"""),44863.0)</f>
        <v>44863</v>
      </c>
      <c r="G3172" s="24" t="str">
        <f>IFERROR(__xludf.DUMMYFUNCTION("""COMPUTED_VALUE"""),"Sharron")</f>
        <v>Sharron</v>
      </c>
      <c r="H3172" s="24">
        <f>IFERROR(__xludf.DUMMYFUNCTION("""COMPUTED_VALUE"""),22.0)</f>
        <v>22</v>
      </c>
      <c r="I3172" s="24" t="str">
        <f>IFERROR(__xludf.DUMMYFUNCTION("""COMPUTED_VALUE"""),"Damage/expired/extra")</f>
        <v>Damage/expired/extra</v>
      </c>
    </row>
    <row r="3173">
      <c r="A3173" s="23">
        <f>IFERROR(__xludf.DUMMYFUNCTION("""COMPUTED_VALUE"""),44812.0)</f>
        <v>44812</v>
      </c>
      <c r="B3173" s="24" t="str">
        <f>IFERROR(__xludf.DUMMYFUNCTION("""COMPUTED_VALUE"""),"Aziza Frank")</f>
        <v>Aziza Frank</v>
      </c>
      <c r="C3173" s="24">
        <f>IFERROR(__xludf.DUMMYFUNCTION("""COMPUTED_VALUE"""),8.0)</f>
        <v>8</v>
      </c>
      <c r="D3173" s="24"/>
      <c r="F3173" s="23">
        <f>IFERROR(__xludf.DUMMYFUNCTION("""COMPUTED_VALUE"""),44863.0)</f>
        <v>44863</v>
      </c>
      <c r="G3173" s="24" t="str">
        <f>IFERROR(__xludf.DUMMYFUNCTION("""COMPUTED_VALUE"""),"Ryan Murphy")</f>
        <v>Ryan Murphy</v>
      </c>
      <c r="H3173" s="24">
        <f>IFERROR(__xludf.DUMMYFUNCTION("""COMPUTED_VALUE"""),5.0)</f>
        <v>5</v>
      </c>
      <c r="I3173" s="24" t="str">
        <f>IFERROR(__xludf.DUMMYFUNCTION("""COMPUTED_VALUE"""),"Regular (up to 20lbs)")</f>
        <v>Regular (up to 20lbs)</v>
      </c>
    </row>
    <row r="3174">
      <c r="A3174" s="23">
        <f>IFERROR(__xludf.DUMMYFUNCTION("""COMPUTED_VALUE"""),44812.0)</f>
        <v>44812</v>
      </c>
      <c r="B3174" s="24" t="str">
        <f>IFERROR(__xludf.DUMMYFUNCTION("""COMPUTED_VALUE"""),"Nathaniel McClean")</f>
        <v>Nathaniel McClean</v>
      </c>
      <c r="C3174" s="24">
        <f>IFERROR(__xludf.DUMMYFUNCTION("""COMPUTED_VALUE"""),12.0)</f>
        <v>12</v>
      </c>
      <c r="D3174" s="24"/>
      <c r="F3174" s="23">
        <f>IFERROR(__xludf.DUMMYFUNCTION("""COMPUTED_VALUE"""),44863.0)</f>
        <v>44863</v>
      </c>
      <c r="G3174" s="24" t="str">
        <f>IFERROR(__xludf.DUMMYFUNCTION("""COMPUTED_VALUE"""),"Beverly Pinn")</f>
        <v>Beverly Pinn</v>
      </c>
      <c r="H3174" s="24">
        <f>IFERROR(__xludf.DUMMYFUNCTION("""COMPUTED_VALUE"""),15.0)</f>
        <v>15</v>
      </c>
      <c r="I3174" s="24" t="str">
        <f>IFERROR(__xludf.DUMMYFUNCTION("""COMPUTED_VALUE"""),"Regular (up to 20lbs)")</f>
        <v>Regular (up to 20lbs)</v>
      </c>
    </row>
    <row r="3175">
      <c r="A3175" s="23">
        <f>IFERROR(__xludf.DUMMYFUNCTION("""COMPUTED_VALUE"""),44812.70637428241)</f>
        <v>44812.70637</v>
      </c>
      <c r="B3175" s="24" t="str">
        <f>IFERROR(__xludf.DUMMYFUNCTION("""COMPUTED_VALUE"""),"Jean")</f>
        <v>Jean</v>
      </c>
      <c r="C3175" s="24">
        <f>IFERROR(__xludf.DUMMYFUNCTION("""COMPUTED_VALUE"""),45.0)</f>
        <v>45</v>
      </c>
      <c r="D3175" s="24"/>
      <c r="F3175" s="23">
        <f>IFERROR(__xludf.DUMMYFUNCTION("""COMPUTED_VALUE"""),44863.0)</f>
        <v>44863</v>
      </c>
      <c r="G3175" s="24" t="str">
        <f>IFERROR(__xludf.DUMMYFUNCTION("""COMPUTED_VALUE"""),"Janet Lomax")</f>
        <v>Janet Lomax</v>
      </c>
      <c r="H3175" s="24">
        <f>IFERROR(__xludf.DUMMYFUNCTION("""COMPUTED_VALUE"""),13.0)</f>
        <v>13</v>
      </c>
      <c r="I3175" s="24" t="str">
        <f>IFERROR(__xludf.DUMMYFUNCTION("""COMPUTED_VALUE"""),"Regular (up to 20lbs)")</f>
        <v>Regular (up to 20lbs)</v>
      </c>
    </row>
    <row r="3176">
      <c r="A3176" s="23">
        <f>IFERROR(__xludf.DUMMYFUNCTION("""COMPUTED_VALUE"""),44812.70723162037)</f>
        <v>44812.70723</v>
      </c>
      <c r="B3176" s="24" t="str">
        <f>IFERROR(__xludf.DUMMYFUNCTION("""COMPUTED_VALUE"""),"Jean.   Extra")</f>
        <v>Jean.   Extra</v>
      </c>
      <c r="C3176" s="24">
        <f>IFERROR(__xludf.DUMMYFUNCTION("""COMPUTED_VALUE"""),1.5)</f>
        <v>1.5</v>
      </c>
      <c r="D3176" s="24"/>
      <c r="F3176" s="23">
        <f>IFERROR(__xludf.DUMMYFUNCTION("""COMPUTED_VALUE"""),44863.0)</f>
        <v>44863</v>
      </c>
      <c r="G3176" s="24" t="str">
        <f>IFERROR(__xludf.DUMMYFUNCTION("""COMPUTED_VALUE"""),"Jaydan Ziglar")</f>
        <v>Jaydan Ziglar</v>
      </c>
      <c r="H3176" s="24">
        <f>IFERROR(__xludf.DUMMYFUNCTION("""COMPUTED_VALUE"""),17.0)</f>
        <v>17</v>
      </c>
      <c r="I3176" s="24" t="str">
        <f>IFERROR(__xludf.DUMMYFUNCTION("""COMPUTED_VALUE"""),"Damage/expired/extra")</f>
        <v>Damage/expired/extra</v>
      </c>
    </row>
    <row r="3177">
      <c r="A3177" s="23">
        <f>IFERROR(__xludf.DUMMYFUNCTION("""COMPUTED_VALUE"""),44812.716611759264)</f>
        <v>44812.71661</v>
      </c>
      <c r="B3177" s="24" t="str">
        <f>IFERROR(__xludf.DUMMYFUNCTION("""COMPUTED_VALUE"""),"Norma ")</f>
        <v>Norma </v>
      </c>
      <c r="C3177" s="24">
        <f>IFERROR(__xludf.DUMMYFUNCTION("""COMPUTED_VALUE"""),19.0)</f>
        <v>19</v>
      </c>
      <c r="D3177" s="24"/>
      <c r="F3177" s="23">
        <f>IFERROR(__xludf.DUMMYFUNCTION("""COMPUTED_VALUE"""),44863.0)</f>
        <v>44863</v>
      </c>
      <c r="G3177" s="24" t="str">
        <f>IFERROR(__xludf.DUMMYFUNCTION("""COMPUTED_VALUE"""),"Evelyn jiang")</f>
        <v>Evelyn jiang</v>
      </c>
      <c r="H3177" s="24">
        <f>IFERROR(__xludf.DUMMYFUNCTION("""COMPUTED_VALUE"""),17.0)</f>
        <v>17</v>
      </c>
      <c r="I3177" s="24" t="str">
        <f>IFERROR(__xludf.DUMMYFUNCTION("""COMPUTED_VALUE"""),"Damage/expired/extra")</f>
        <v>Damage/expired/extra</v>
      </c>
    </row>
    <row r="3178">
      <c r="A3178" s="23">
        <f>IFERROR(__xludf.DUMMYFUNCTION("""COMPUTED_VALUE"""),44813.0)</f>
        <v>44813</v>
      </c>
      <c r="B3178" s="24" t="str">
        <f>IFERROR(__xludf.DUMMYFUNCTION("""COMPUTED_VALUE"""),"Juanita Chandler")</f>
        <v>Juanita Chandler</v>
      </c>
      <c r="C3178" s="24">
        <f>IFERROR(__xludf.DUMMYFUNCTION("""COMPUTED_VALUE"""),8.0)</f>
        <v>8</v>
      </c>
      <c r="D3178" s="24"/>
      <c r="F3178" s="23">
        <f>IFERROR(__xludf.DUMMYFUNCTION("""COMPUTED_VALUE"""),44863.0)</f>
        <v>44863</v>
      </c>
      <c r="G3178" s="24" t="str">
        <f>IFERROR(__xludf.DUMMYFUNCTION("""COMPUTED_VALUE"""),"Justin Zhong")</f>
        <v>Justin Zhong</v>
      </c>
      <c r="H3178" s="24">
        <f>IFERROR(__xludf.DUMMYFUNCTION("""COMPUTED_VALUE"""),17.0)</f>
        <v>17</v>
      </c>
      <c r="I3178" s="24" t="str">
        <f>IFERROR(__xludf.DUMMYFUNCTION("""COMPUTED_VALUE"""),"Damage/expired/extra")</f>
        <v>Damage/expired/extra</v>
      </c>
    </row>
    <row r="3179">
      <c r="A3179" s="23">
        <f>IFERROR(__xludf.DUMMYFUNCTION("""COMPUTED_VALUE"""),44813.0)</f>
        <v>44813</v>
      </c>
      <c r="B3179" s="24" t="str">
        <f>IFERROR(__xludf.DUMMYFUNCTION("""COMPUTED_VALUE"""),"Juanita Chandler")</f>
        <v>Juanita Chandler</v>
      </c>
      <c r="C3179" s="24">
        <f>IFERROR(__xludf.DUMMYFUNCTION("""COMPUTED_VALUE"""),3.0)</f>
        <v>3</v>
      </c>
      <c r="D3179" s="24"/>
      <c r="F3179" s="23">
        <f>IFERROR(__xludf.DUMMYFUNCTION("""COMPUTED_VALUE"""),44863.0)</f>
        <v>44863</v>
      </c>
      <c r="G3179" s="24" t="str">
        <f>IFERROR(__xludf.DUMMYFUNCTION("""COMPUTED_VALUE"""),"Nathan")</f>
        <v>Nathan</v>
      </c>
      <c r="H3179" s="24">
        <f>IFERROR(__xludf.DUMMYFUNCTION("""COMPUTED_VALUE"""),17.0)</f>
        <v>17</v>
      </c>
      <c r="I3179" s="24" t="str">
        <f>IFERROR(__xludf.DUMMYFUNCTION("""COMPUTED_VALUE"""),"Damage/expired/extra")</f>
        <v>Damage/expired/extra</v>
      </c>
    </row>
    <row r="3180">
      <c r="A3180" s="23">
        <f>IFERROR(__xludf.DUMMYFUNCTION("""COMPUTED_VALUE"""),44813.695093842594)</f>
        <v>44813.69509</v>
      </c>
      <c r="B3180" s="24" t="str">
        <f>IFERROR(__xludf.DUMMYFUNCTION("""COMPUTED_VALUE"""),"Deborah ")</f>
        <v>Deborah </v>
      </c>
      <c r="C3180" s="24">
        <f>IFERROR(__xludf.DUMMYFUNCTION("""COMPUTED_VALUE"""),20.0)</f>
        <v>20</v>
      </c>
      <c r="D3180" s="24"/>
      <c r="F3180" s="23">
        <f>IFERROR(__xludf.DUMMYFUNCTION("""COMPUTED_VALUE"""),44863.0)</f>
        <v>44863</v>
      </c>
      <c r="G3180" s="24" t="str">
        <f>IFERROR(__xludf.DUMMYFUNCTION("""COMPUTED_VALUE"""),"Nadia Simmons ")</f>
        <v>Nadia Simmons </v>
      </c>
      <c r="H3180" s="24">
        <f>IFERROR(__xludf.DUMMYFUNCTION("""COMPUTED_VALUE"""),17.0)</f>
        <v>17</v>
      </c>
      <c r="I3180" s="24" t="str">
        <f>IFERROR(__xludf.DUMMYFUNCTION("""COMPUTED_VALUE"""),"Damage/expired/extra")</f>
        <v>Damage/expired/extra</v>
      </c>
    </row>
    <row r="3181">
      <c r="A3181" s="23">
        <f>IFERROR(__xludf.DUMMYFUNCTION("""COMPUTED_VALUE"""),44813.69678701389)</f>
        <v>44813.69679</v>
      </c>
      <c r="B3181" s="24" t="str">
        <f>IFERROR(__xludf.DUMMYFUNCTION("""COMPUTED_VALUE"""),"Sunita pathik")</f>
        <v>Sunita pathik</v>
      </c>
      <c r="C3181" s="24">
        <f>IFERROR(__xludf.DUMMYFUNCTION("""COMPUTED_VALUE"""),12.0)</f>
        <v>12</v>
      </c>
      <c r="D3181" s="24"/>
      <c r="F3181" s="23">
        <f>IFERROR(__xludf.DUMMYFUNCTION("""COMPUTED_VALUE"""),44863.0)</f>
        <v>44863</v>
      </c>
      <c r="G3181" s="24" t="str">
        <f>IFERROR(__xludf.DUMMYFUNCTION("""COMPUTED_VALUE"""),"Danaysha Samuel")</f>
        <v>Danaysha Samuel</v>
      </c>
      <c r="H3181" s="24">
        <f>IFERROR(__xludf.DUMMYFUNCTION("""COMPUTED_VALUE"""),17.0)</f>
        <v>17</v>
      </c>
      <c r="I3181" s="24" t="str">
        <f>IFERROR(__xludf.DUMMYFUNCTION("""COMPUTED_VALUE"""),"Damage/expired/extra")</f>
        <v>Damage/expired/extra</v>
      </c>
    </row>
    <row r="3182">
      <c r="A3182" s="23">
        <f>IFERROR(__xludf.DUMMYFUNCTION("""COMPUTED_VALUE"""),44813.69923136574)</f>
        <v>44813.69923</v>
      </c>
      <c r="B3182" s="24" t="str">
        <f>IFERROR(__xludf.DUMMYFUNCTION("""COMPUTED_VALUE"""),"Beth Torres")</f>
        <v>Beth Torres</v>
      </c>
      <c r="C3182" s="24">
        <f>IFERROR(__xludf.DUMMYFUNCTION("""COMPUTED_VALUE"""),20.0)</f>
        <v>20</v>
      </c>
      <c r="D3182" s="24"/>
      <c r="F3182" s="23">
        <f>IFERROR(__xludf.DUMMYFUNCTION("""COMPUTED_VALUE"""),44863.0)</f>
        <v>44863</v>
      </c>
      <c r="G3182" s="24" t="str">
        <f>IFERROR(__xludf.DUMMYFUNCTION("""COMPUTED_VALUE"""),"Teaunia Mcintyre")</f>
        <v>Teaunia Mcintyre</v>
      </c>
      <c r="H3182" s="24">
        <f>IFERROR(__xludf.DUMMYFUNCTION("""COMPUTED_VALUE"""),9.0)</f>
        <v>9</v>
      </c>
      <c r="I3182" s="24" t="str">
        <f>IFERROR(__xludf.DUMMYFUNCTION("""COMPUTED_VALUE"""),"Regular (up to 20lbs)")</f>
        <v>Regular (up to 20lbs)</v>
      </c>
    </row>
    <row r="3183">
      <c r="A3183" s="23">
        <f>IFERROR(__xludf.DUMMYFUNCTION("""COMPUTED_VALUE"""),44813.699413518516)</f>
        <v>44813.69941</v>
      </c>
      <c r="B3183" s="24" t="str">
        <f>IFERROR(__xludf.DUMMYFUNCTION("""COMPUTED_VALUE"""),"Beth Torres")</f>
        <v>Beth Torres</v>
      </c>
      <c r="C3183" s="24">
        <f>IFERROR(__xludf.DUMMYFUNCTION("""COMPUTED_VALUE"""),18.0)</f>
        <v>18</v>
      </c>
      <c r="D3183" s="24"/>
      <c r="F3183" s="23">
        <f>IFERROR(__xludf.DUMMYFUNCTION("""COMPUTED_VALUE"""),44863.0)</f>
        <v>44863</v>
      </c>
      <c r="G3183" s="24" t="str">
        <f>IFERROR(__xludf.DUMMYFUNCTION("""COMPUTED_VALUE"""),"Wubbie Taye")</f>
        <v>Wubbie Taye</v>
      </c>
      <c r="H3183" s="24">
        <f>IFERROR(__xludf.DUMMYFUNCTION("""COMPUTED_VALUE"""),21.0)</f>
        <v>21</v>
      </c>
      <c r="I3183" s="24" t="str">
        <f>IFERROR(__xludf.DUMMYFUNCTION("""COMPUTED_VALUE"""),"Regular (up to 20lbs)")</f>
        <v>Regular (up to 20lbs)</v>
      </c>
    </row>
    <row r="3184">
      <c r="A3184" s="23">
        <f>IFERROR(__xludf.DUMMYFUNCTION("""COMPUTED_VALUE"""),44814.0)</f>
        <v>44814</v>
      </c>
      <c r="B3184" s="24" t="str">
        <f>IFERROR(__xludf.DUMMYFUNCTION("""COMPUTED_VALUE"""),"Denise Wilkins")</f>
        <v>Denise Wilkins</v>
      </c>
      <c r="C3184" s="24">
        <f>IFERROR(__xludf.DUMMYFUNCTION("""COMPUTED_VALUE"""),9.0)</f>
        <v>9</v>
      </c>
      <c r="D3184" s="24"/>
      <c r="F3184" s="23">
        <f>IFERROR(__xludf.DUMMYFUNCTION("""COMPUTED_VALUE"""),44863.0)</f>
        <v>44863</v>
      </c>
      <c r="G3184" s="24" t="str">
        <f>IFERROR(__xludf.DUMMYFUNCTION("""COMPUTED_VALUE"""),"Wubbie Taye")</f>
        <v>Wubbie Taye</v>
      </c>
      <c r="H3184" s="24">
        <f>IFERROR(__xludf.DUMMYFUNCTION("""COMPUTED_VALUE"""),17.0)</f>
        <v>17</v>
      </c>
      <c r="I3184" s="24" t="str">
        <f>IFERROR(__xludf.DUMMYFUNCTION("""COMPUTED_VALUE"""),"Damage/expired/extra")</f>
        <v>Damage/expired/extra</v>
      </c>
    </row>
    <row r="3185">
      <c r="A3185" s="23">
        <f>IFERROR(__xludf.DUMMYFUNCTION("""COMPUTED_VALUE"""),44814.0)</f>
        <v>44814</v>
      </c>
      <c r="B3185" s="24" t="str">
        <f>IFERROR(__xludf.DUMMYFUNCTION("""COMPUTED_VALUE"""),"Dean Chien")</f>
        <v>Dean Chien</v>
      </c>
      <c r="C3185" s="24">
        <f>IFERROR(__xludf.DUMMYFUNCTION("""COMPUTED_VALUE"""),19.0)</f>
        <v>19</v>
      </c>
      <c r="D3185" s="24"/>
      <c r="F3185" s="23">
        <f>IFERROR(__xludf.DUMMYFUNCTION("""COMPUTED_VALUE"""),44863.66019730324)</f>
        <v>44863.6602</v>
      </c>
      <c r="G3185" s="24" t="str">
        <f>IFERROR(__xludf.DUMMYFUNCTION("""COMPUTED_VALUE"""),"Beverly")</f>
        <v>Beverly</v>
      </c>
      <c r="H3185" s="24">
        <f>IFERROR(__xludf.DUMMYFUNCTION("""COMPUTED_VALUE"""),80.0)</f>
        <v>80</v>
      </c>
      <c r="I3185" s="24" t="str">
        <f>IFERROR(__xludf.DUMMYFUNCTION("""COMPUTED_VALUE"""),"OXO")</f>
        <v>OXO</v>
      </c>
    </row>
    <row r="3186">
      <c r="A3186" s="23">
        <f>IFERROR(__xludf.DUMMYFUNCTION("""COMPUTED_VALUE"""),44814.0)</f>
        <v>44814</v>
      </c>
      <c r="B3186" s="24" t="str">
        <f>IFERROR(__xludf.DUMMYFUNCTION("""COMPUTED_VALUE"""),"Dean Chien")</f>
        <v>Dean Chien</v>
      </c>
      <c r="C3186" s="24">
        <f>IFERROR(__xludf.DUMMYFUNCTION("""COMPUTED_VALUE"""),1.0)</f>
        <v>1</v>
      </c>
      <c r="D3186" s="24"/>
      <c r="F3186" s="23">
        <f>IFERROR(__xludf.DUMMYFUNCTION("""COMPUTED_VALUE"""),44863.661080185186)</f>
        <v>44863.66108</v>
      </c>
      <c r="G3186" s="24" t="str">
        <f>IFERROR(__xludf.DUMMYFUNCTION("""COMPUTED_VALUE"""),"Beverly")</f>
        <v>Beverly</v>
      </c>
      <c r="H3186" s="24">
        <f>IFERROR(__xludf.DUMMYFUNCTION("""COMPUTED_VALUE"""),320.0)</f>
        <v>320</v>
      </c>
      <c r="I3186" s="24" t="str">
        <f>IFERROR(__xludf.DUMMYFUNCTION("""COMPUTED_VALUE"""),"Produce")</f>
        <v>Produce</v>
      </c>
    </row>
    <row r="3187">
      <c r="A3187" s="23">
        <f>IFERROR(__xludf.DUMMYFUNCTION("""COMPUTED_VALUE"""),44814.0)</f>
        <v>44814</v>
      </c>
      <c r="B3187" s="24" t="str">
        <f>IFERROR(__xludf.DUMMYFUNCTION("""COMPUTED_VALUE"""),"Nathan So")</f>
        <v>Nathan So</v>
      </c>
      <c r="C3187" s="24">
        <f>IFERROR(__xludf.DUMMYFUNCTION("""COMPUTED_VALUE"""),18.0)</f>
        <v>18</v>
      </c>
      <c r="D3187" s="24"/>
      <c r="F3187" s="23">
        <f>IFERROR(__xludf.DUMMYFUNCTION("""COMPUTED_VALUE"""),44863.66172137731)</f>
        <v>44863.66172</v>
      </c>
      <c r="G3187" s="24" t="str">
        <f>IFERROR(__xludf.DUMMYFUNCTION("""COMPUTED_VALUE"""),"Beverly")</f>
        <v>Beverly</v>
      </c>
      <c r="H3187" s="24">
        <f>IFERROR(__xludf.DUMMYFUNCTION("""COMPUTED_VALUE"""),290.0)</f>
        <v>290</v>
      </c>
      <c r="I3187" s="24" t="str">
        <f>IFERROR(__xludf.DUMMYFUNCTION("""COMPUTED_VALUE"""),"Paper Supplies")</f>
        <v>Paper Supplies</v>
      </c>
    </row>
    <row r="3188">
      <c r="A3188" s="23">
        <f>IFERROR(__xludf.DUMMYFUNCTION("""COMPUTED_VALUE"""),44814.0)</f>
        <v>44814</v>
      </c>
      <c r="B3188" s="24" t="str">
        <f>IFERROR(__xludf.DUMMYFUNCTION("""COMPUTED_VALUE"""),"Alana Thomas")</f>
        <v>Alana Thomas</v>
      </c>
      <c r="C3188" s="24">
        <f>IFERROR(__xludf.DUMMYFUNCTION("""COMPUTED_VALUE"""),20.0)</f>
        <v>20</v>
      </c>
      <c r="D3188" s="24"/>
      <c r="F3188" s="23">
        <f>IFERROR(__xludf.DUMMYFUNCTION("""COMPUTED_VALUE"""),44863.66224546297)</f>
        <v>44863.66225</v>
      </c>
      <c r="G3188" s="24" t="str">
        <f>IFERROR(__xludf.DUMMYFUNCTION("""COMPUTED_VALUE"""),"Beverly")</f>
        <v>Beverly</v>
      </c>
      <c r="H3188" s="24">
        <f>IFERROR(__xludf.DUMMYFUNCTION("""COMPUTED_VALUE"""),389.0)</f>
        <v>389</v>
      </c>
      <c r="I3188" s="24" t="str">
        <f>IFERROR(__xludf.DUMMYFUNCTION("""COMPUTED_VALUE"""),"Household")</f>
        <v>Household</v>
      </c>
    </row>
    <row r="3189">
      <c r="A3189" s="23">
        <f>IFERROR(__xludf.DUMMYFUNCTION("""COMPUTED_VALUE"""),44814.0)</f>
        <v>44814</v>
      </c>
      <c r="B3189" s="24" t="str">
        <f>IFERROR(__xludf.DUMMYFUNCTION("""COMPUTED_VALUE"""),"Juanita Chandler")</f>
        <v>Juanita Chandler</v>
      </c>
      <c r="C3189" s="24">
        <f>IFERROR(__xludf.DUMMYFUNCTION("""COMPUTED_VALUE"""),6.0)</f>
        <v>6</v>
      </c>
      <c r="D3189" s="24"/>
      <c r="F3189" s="23">
        <f>IFERROR(__xludf.DUMMYFUNCTION("""COMPUTED_VALUE"""),44863.66292930555)</f>
        <v>44863.66293</v>
      </c>
      <c r="G3189" s="24" t="str">
        <f>IFERROR(__xludf.DUMMYFUNCTION("""COMPUTED_VALUE"""),"Beverly")</f>
        <v>Beverly</v>
      </c>
      <c r="H3189" s="24">
        <f>IFERROR(__xludf.DUMMYFUNCTION("""COMPUTED_VALUE"""),530.0)</f>
        <v>530</v>
      </c>
      <c r="I3189" s="24" t="str">
        <f>IFERROR(__xludf.DUMMYFUNCTION("""COMPUTED_VALUE"""),"Produce")</f>
        <v>Produce</v>
      </c>
    </row>
    <row r="3190">
      <c r="A3190" s="23">
        <f>IFERROR(__xludf.DUMMYFUNCTION("""COMPUTED_VALUE"""),44814.0)</f>
        <v>44814</v>
      </c>
      <c r="B3190" s="24" t="str">
        <f>IFERROR(__xludf.DUMMYFUNCTION("""COMPUTED_VALUE"""),"Juanita Chandler")</f>
        <v>Juanita Chandler</v>
      </c>
      <c r="C3190" s="24">
        <f>IFERROR(__xludf.DUMMYFUNCTION("""COMPUTED_VALUE"""),8.0)</f>
        <v>8</v>
      </c>
      <c r="D3190" s="24"/>
      <c r="F3190" s="23">
        <f>IFERROR(__xludf.DUMMYFUNCTION("""COMPUTED_VALUE"""),44863.66340909722)</f>
        <v>44863.66341</v>
      </c>
      <c r="G3190" s="24" t="str">
        <f>IFERROR(__xludf.DUMMYFUNCTION("""COMPUTED_VALUE"""),"Beverly")</f>
        <v>Beverly</v>
      </c>
      <c r="H3190" s="24">
        <f>IFERROR(__xludf.DUMMYFUNCTION("""COMPUTED_VALUE"""),179.0)</f>
        <v>179</v>
      </c>
      <c r="I3190" s="24" t="str">
        <f>IFERROR(__xludf.DUMMYFUNCTION("""COMPUTED_VALUE"""),"Snacks")</f>
        <v>Snacks</v>
      </c>
    </row>
    <row r="3191">
      <c r="A3191" s="23">
        <f>IFERROR(__xludf.DUMMYFUNCTION("""COMPUTED_VALUE"""),44814.0)</f>
        <v>44814</v>
      </c>
      <c r="B3191" s="24" t="str">
        <f>IFERROR(__xludf.DUMMYFUNCTION("""COMPUTED_VALUE"""),"Cheryl Utsey")</f>
        <v>Cheryl Utsey</v>
      </c>
      <c r="C3191" s="24">
        <f>IFERROR(__xludf.DUMMYFUNCTION("""COMPUTED_VALUE"""),20.0)</f>
        <v>20</v>
      </c>
      <c r="D3191" s="24"/>
      <c r="F3191" s="23">
        <f>IFERROR(__xludf.DUMMYFUNCTION("""COMPUTED_VALUE"""),44863.66401086806)</f>
        <v>44863.66401</v>
      </c>
      <c r="G3191" s="24" t="str">
        <f>IFERROR(__xludf.DUMMYFUNCTION("""COMPUTED_VALUE"""),"Beverly")</f>
        <v>Beverly</v>
      </c>
      <c r="H3191" s="24">
        <f>IFERROR(__xludf.DUMMYFUNCTION("""COMPUTED_VALUE"""),150.0)</f>
        <v>150</v>
      </c>
      <c r="I3191" s="24" t="str">
        <f>IFERROR(__xludf.DUMMYFUNCTION("""COMPUTED_VALUE"""),"Snacks")</f>
        <v>Snacks</v>
      </c>
    </row>
    <row r="3192">
      <c r="A3192" s="23">
        <f>IFERROR(__xludf.DUMMYFUNCTION("""COMPUTED_VALUE"""),44814.0)</f>
        <v>44814</v>
      </c>
      <c r="B3192" s="24" t="str">
        <f>IFERROR(__xludf.DUMMYFUNCTION("""COMPUTED_VALUE"""),"Gabriela Cortez")</f>
        <v>Gabriela Cortez</v>
      </c>
      <c r="C3192" s="24">
        <f>IFERROR(__xludf.DUMMYFUNCTION("""COMPUTED_VALUE"""),20.0)</f>
        <v>20</v>
      </c>
      <c r="D3192" s="24"/>
      <c r="F3192" s="23">
        <f>IFERROR(__xludf.DUMMYFUNCTION("""COMPUTED_VALUE"""),44863.66451751157)</f>
        <v>44863.66452</v>
      </c>
      <c r="G3192" s="24" t="str">
        <f>IFERROR(__xludf.DUMMYFUNCTION("""COMPUTED_VALUE"""),"Beverly")</f>
        <v>Beverly</v>
      </c>
      <c r="H3192" s="24">
        <f>IFERROR(__xludf.DUMMYFUNCTION("""COMPUTED_VALUE"""),263.0)</f>
        <v>263</v>
      </c>
      <c r="I3192" s="24" t="str">
        <f>IFERROR(__xludf.DUMMYFUNCTION("""COMPUTED_VALUE"""),"Snacks")</f>
        <v>Snacks</v>
      </c>
    </row>
    <row r="3193">
      <c r="A3193" s="23">
        <f>IFERROR(__xludf.DUMMYFUNCTION("""COMPUTED_VALUE"""),44814.69932217593)</f>
        <v>44814.69932</v>
      </c>
      <c r="B3193" s="24" t="str">
        <f>IFERROR(__xludf.DUMMYFUNCTION("""COMPUTED_VALUE"""),"Gilda")</f>
        <v>Gilda</v>
      </c>
      <c r="C3193" s="24">
        <f>IFERROR(__xludf.DUMMYFUNCTION("""COMPUTED_VALUE"""),12.0)</f>
        <v>12</v>
      </c>
      <c r="D3193" s="24"/>
      <c r="F3193" s="23">
        <f>IFERROR(__xludf.DUMMYFUNCTION("""COMPUTED_VALUE"""),44863.66539422453)</f>
        <v>44863.66539</v>
      </c>
      <c r="G3193" s="24" t="str">
        <f>IFERROR(__xludf.DUMMYFUNCTION("""COMPUTED_VALUE"""),"Beverly")</f>
        <v>Beverly</v>
      </c>
      <c r="H3193" s="24">
        <f>IFERROR(__xludf.DUMMYFUNCTION("""COMPUTED_VALUE"""),155.0)</f>
        <v>155</v>
      </c>
      <c r="I3193" s="24" t="str">
        <f>IFERROR(__xludf.DUMMYFUNCTION("""COMPUTED_VALUE"""),"Cleaning Supplies")</f>
        <v>Cleaning Supplies</v>
      </c>
    </row>
    <row r="3194">
      <c r="A3194" s="23">
        <f>IFERROR(__xludf.DUMMYFUNCTION("""COMPUTED_VALUE"""),44814.0)</f>
        <v>44814</v>
      </c>
      <c r="B3194" s="24" t="str">
        <f>IFERROR(__xludf.DUMMYFUNCTION("""COMPUTED_VALUE"""),"Gilda")</f>
        <v>Gilda</v>
      </c>
      <c r="C3194" s="24">
        <f>IFERROR(__xludf.DUMMYFUNCTION("""COMPUTED_VALUE"""),12.0)</f>
        <v>12</v>
      </c>
      <c r="D3194" s="24"/>
      <c r="F3194" s="23">
        <f>IFERROR(__xludf.DUMMYFUNCTION("""COMPUTED_VALUE"""),44863.66593725694)</f>
        <v>44863.66594</v>
      </c>
      <c r="G3194" s="24" t="str">
        <f>IFERROR(__xludf.DUMMYFUNCTION("""COMPUTED_VALUE"""),"Beverly")</f>
        <v>Beverly</v>
      </c>
      <c r="H3194" s="24">
        <f>IFERROR(__xludf.DUMMYFUNCTION("""COMPUTED_VALUE"""),87.0)</f>
        <v>87</v>
      </c>
      <c r="I3194" s="24" t="str">
        <f>IFERROR(__xludf.DUMMYFUNCTION("""COMPUTED_VALUE"""),"Meat [Raw]")</f>
        <v>Meat [Raw]</v>
      </c>
    </row>
    <row r="3195">
      <c r="A3195" s="23">
        <f>IFERROR(__xludf.DUMMYFUNCTION("""COMPUTED_VALUE"""),44814.69971243055)</f>
        <v>44814.69971</v>
      </c>
      <c r="B3195" s="24" t="str">
        <f>IFERROR(__xludf.DUMMYFUNCTION("""COMPUTED_VALUE"""),"Adeola Sulaiman")</f>
        <v>Adeola Sulaiman</v>
      </c>
      <c r="C3195" s="24">
        <f>IFERROR(__xludf.DUMMYFUNCTION("""COMPUTED_VALUE"""),20.0)</f>
        <v>20</v>
      </c>
      <c r="D3195" s="24"/>
      <c r="F3195" s="23">
        <f>IFERROR(__xludf.DUMMYFUNCTION("""COMPUTED_VALUE"""),44863.667071157404)</f>
        <v>44863.66707</v>
      </c>
      <c r="G3195" s="24" t="str">
        <f>IFERROR(__xludf.DUMMYFUNCTION("""COMPUTED_VALUE"""),"Beverly")</f>
        <v>Beverly</v>
      </c>
      <c r="H3195" s="24">
        <f>IFERROR(__xludf.DUMMYFUNCTION("""COMPUTED_VALUE"""),-126.0)</f>
        <v>-126</v>
      </c>
      <c r="I3195" s="24" t="str">
        <f>IFERROR(__xludf.DUMMYFUNCTION("""COMPUTED_VALUE"""),"Snacks")</f>
        <v>Snacks</v>
      </c>
    </row>
    <row r="3196">
      <c r="A3196" s="23">
        <f>IFERROR(__xludf.DUMMYFUNCTION("""COMPUTED_VALUE"""),44814.69986840278)</f>
        <v>44814.69987</v>
      </c>
      <c r="B3196" s="24" t="str">
        <f>IFERROR(__xludf.DUMMYFUNCTION("""COMPUTED_VALUE"""),"Adeola Sulaiman")</f>
        <v>Adeola Sulaiman</v>
      </c>
      <c r="C3196" s="24">
        <f>IFERROR(__xludf.DUMMYFUNCTION("""COMPUTED_VALUE"""),34.0)</f>
        <v>34</v>
      </c>
      <c r="D3196" s="24"/>
      <c r="F3196" s="23">
        <f>IFERROR(__xludf.DUMMYFUNCTION("""COMPUTED_VALUE"""),44863.66803107639)</f>
        <v>44863.66803</v>
      </c>
      <c r="G3196" s="24" t="str">
        <f>IFERROR(__xludf.DUMMYFUNCTION("""COMPUTED_VALUE"""),"Beverly")</f>
        <v>Beverly</v>
      </c>
      <c r="H3196" s="24">
        <f>IFERROR(__xludf.DUMMYFUNCTION("""COMPUTED_VALUE"""),-173.0)</f>
        <v>-173</v>
      </c>
      <c r="I3196" s="24" t="str">
        <f>IFERROR(__xludf.DUMMYFUNCTION("""COMPUTED_VALUE"""),"Snacks")</f>
        <v>Snacks</v>
      </c>
    </row>
    <row r="3197">
      <c r="A3197" s="23">
        <f>IFERROR(__xludf.DUMMYFUNCTION("""COMPUTED_VALUE"""),44814.70033204861)</f>
        <v>44814.70033</v>
      </c>
      <c r="B3197" s="24" t="str">
        <f>IFERROR(__xludf.DUMMYFUNCTION("""COMPUTED_VALUE"""),"Angeles Cortes")</f>
        <v>Angeles Cortes</v>
      </c>
      <c r="C3197" s="24">
        <f>IFERROR(__xludf.DUMMYFUNCTION("""COMPUTED_VALUE"""),18.0)</f>
        <v>18</v>
      </c>
      <c r="D3197" s="24"/>
      <c r="F3197" s="23">
        <f>IFERROR(__xludf.DUMMYFUNCTION("""COMPUTED_VALUE"""),44863.66960916667)</f>
        <v>44863.66961</v>
      </c>
      <c r="G3197" s="24" t="str">
        <f>IFERROR(__xludf.DUMMYFUNCTION("""COMPUTED_VALUE"""),"Beverly")</f>
        <v>Beverly</v>
      </c>
      <c r="H3197" s="24">
        <f>IFERROR(__xludf.DUMMYFUNCTION("""COMPUTED_VALUE"""),-646.0)</f>
        <v>-646</v>
      </c>
      <c r="I3197" s="24" t="str">
        <f>IFERROR(__xludf.DUMMYFUNCTION("""COMPUTED_VALUE"""),"Fruit cups")</f>
        <v>Fruit cups</v>
      </c>
    </row>
    <row r="3198">
      <c r="A3198" s="23">
        <f>IFERROR(__xludf.DUMMYFUNCTION("""COMPUTED_VALUE"""),44814.0)</f>
        <v>44814</v>
      </c>
      <c r="B3198" s="24" t="str">
        <f>IFERROR(__xludf.DUMMYFUNCTION("""COMPUTED_VALUE"""),"Angeles Cortes")</f>
        <v>Angeles Cortes</v>
      </c>
      <c r="C3198" s="24">
        <f>IFERROR(__xludf.DUMMYFUNCTION("""COMPUTED_VALUE"""),3.0)</f>
        <v>3</v>
      </c>
      <c r="D3198" s="24"/>
      <c r="F3198" s="23">
        <f>IFERROR(__xludf.DUMMYFUNCTION("""COMPUTED_VALUE"""),44863.67019984954)</f>
        <v>44863.6702</v>
      </c>
      <c r="G3198" s="24" t="str">
        <f>IFERROR(__xludf.DUMMYFUNCTION("""COMPUTED_VALUE"""),"Beverly")</f>
        <v>Beverly</v>
      </c>
      <c r="H3198" s="24">
        <f>IFERROR(__xludf.DUMMYFUNCTION("""COMPUTED_VALUE"""),-64.0)</f>
        <v>-64</v>
      </c>
      <c r="I3198" s="24" t="str">
        <f>IFERROR(__xludf.DUMMYFUNCTION("""COMPUTED_VALUE"""),"Produce")</f>
        <v>Produce</v>
      </c>
    </row>
    <row r="3199">
      <c r="A3199" s="23">
        <f>IFERROR(__xludf.DUMMYFUNCTION("""COMPUTED_VALUE"""),44814.7023060764)</f>
        <v>44814.70231</v>
      </c>
      <c r="B3199" s="24" t="str">
        <f>IFERROR(__xludf.DUMMYFUNCTION("""COMPUTED_VALUE"""),"Obi Nwokoro")</f>
        <v>Obi Nwokoro</v>
      </c>
      <c r="C3199" s="24">
        <f>IFERROR(__xludf.DUMMYFUNCTION("""COMPUTED_VALUE"""),18.0)</f>
        <v>18</v>
      </c>
      <c r="D3199" s="24"/>
      <c r="F3199" s="23">
        <f>IFERROR(__xludf.DUMMYFUNCTION("""COMPUTED_VALUE"""),44863.670694039356)</f>
        <v>44863.67069</v>
      </c>
      <c r="G3199" s="24" t="str">
        <f>IFERROR(__xludf.DUMMYFUNCTION("""COMPUTED_VALUE"""),"Beverly")</f>
        <v>Beverly</v>
      </c>
      <c r="H3199" s="24">
        <f>IFERROR(__xludf.DUMMYFUNCTION("""COMPUTED_VALUE"""),-468.0)</f>
        <v>-468</v>
      </c>
      <c r="I3199" s="24" t="str">
        <f>IFERROR(__xludf.DUMMYFUNCTION("""COMPUTED_VALUE"""),"Produce")</f>
        <v>Produce</v>
      </c>
    </row>
    <row r="3200">
      <c r="A3200" s="23">
        <f>IFERROR(__xludf.DUMMYFUNCTION("""COMPUTED_VALUE"""),44814.0)</f>
        <v>44814</v>
      </c>
      <c r="B3200" s="24" t="str">
        <f>IFERROR(__xludf.DUMMYFUNCTION("""COMPUTED_VALUE"""),"Obi Nwokoro")</f>
        <v>Obi Nwokoro</v>
      </c>
      <c r="C3200" s="24">
        <f>IFERROR(__xludf.DUMMYFUNCTION("""COMPUTED_VALUE"""),9.0)</f>
        <v>9</v>
      </c>
      <c r="D3200" s="24"/>
      <c r="F3200" s="23">
        <f>IFERROR(__xludf.DUMMYFUNCTION("""COMPUTED_VALUE"""),44863.673767037035)</f>
        <v>44863.67377</v>
      </c>
      <c r="G3200" s="24" t="str">
        <f>IFERROR(__xludf.DUMMYFUNCTION("""COMPUTED_VALUE"""),"Beverly")</f>
        <v>Beverly</v>
      </c>
      <c r="H3200" s="24">
        <f>IFERROR(__xludf.DUMMYFUNCTION("""COMPUTED_VALUE"""),-112.0)</f>
        <v>-112</v>
      </c>
      <c r="I3200" s="24" t="str">
        <f>IFERROR(__xludf.DUMMYFUNCTION("""COMPUTED_VALUE"""),"Paper Supplies")</f>
        <v>Paper Supplies</v>
      </c>
    </row>
    <row r="3201">
      <c r="A3201" s="23">
        <f>IFERROR(__xludf.DUMMYFUNCTION("""COMPUTED_VALUE"""),44814.70858991898)</f>
        <v>44814.70859</v>
      </c>
      <c r="B3201" s="24" t="str">
        <f>IFERROR(__xludf.DUMMYFUNCTION("""COMPUTED_VALUE"""),"Sahmya Lake")</f>
        <v>Sahmya Lake</v>
      </c>
      <c r="C3201" s="24">
        <f>IFERROR(__xludf.DUMMYFUNCTION("""COMPUTED_VALUE"""),14.0)</f>
        <v>14</v>
      </c>
      <c r="D3201" s="24"/>
      <c r="F3201" s="23">
        <f>IFERROR(__xludf.DUMMYFUNCTION("""COMPUTED_VALUE"""),44863.68036349537)</f>
        <v>44863.68036</v>
      </c>
      <c r="G3201" s="24" t="str">
        <f>IFERROR(__xludf.DUMMYFUNCTION("""COMPUTED_VALUE"""),"Nicolle diaz ")</f>
        <v>Nicolle diaz </v>
      </c>
      <c r="H3201" s="24">
        <f>IFERROR(__xludf.DUMMYFUNCTION("""COMPUTED_VALUE"""),13.0)</f>
        <v>13</v>
      </c>
      <c r="I3201" s="24" t="str">
        <f>IFERROR(__xludf.DUMMYFUNCTION("""COMPUTED_VALUE"""),"Regular (up to 20lbs)")</f>
        <v>Regular (up to 20lbs)</v>
      </c>
    </row>
    <row r="3202">
      <c r="A3202" s="23">
        <f>IFERROR(__xludf.DUMMYFUNCTION("""COMPUTED_VALUE"""),44814.708905879634)</f>
        <v>44814.70891</v>
      </c>
      <c r="B3202" s="24" t="str">
        <f>IFERROR(__xludf.DUMMYFUNCTION("""COMPUTED_VALUE"""),"Laila Norwood")</f>
        <v>Laila Norwood</v>
      </c>
      <c r="C3202" s="24">
        <f>IFERROR(__xludf.DUMMYFUNCTION("""COMPUTED_VALUE"""),9.0)</f>
        <v>9</v>
      </c>
      <c r="D3202" s="24"/>
      <c r="F3202" s="23">
        <f>IFERROR(__xludf.DUMMYFUNCTION("""COMPUTED_VALUE"""),44863.682296087965)</f>
        <v>44863.6823</v>
      </c>
      <c r="G3202" s="24" t="str">
        <f>IFERROR(__xludf.DUMMYFUNCTION("""COMPUTED_VALUE"""),"Emily Engelbrecht-Wiggans ")</f>
        <v>Emily Engelbrecht-Wiggans </v>
      </c>
      <c r="H3202" s="24">
        <f>IFERROR(__xludf.DUMMYFUNCTION("""COMPUTED_VALUE"""),12.0)</f>
        <v>12</v>
      </c>
      <c r="I3202" s="24" t="str">
        <f>IFERROR(__xludf.DUMMYFUNCTION("""COMPUTED_VALUE"""),"Regular (up to 20lbs)")</f>
        <v>Regular (up to 20lbs)</v>
      </c>
    </row>
    <row r="3203">
      <c r="A3203" s="23">
        <f>IFERROR(__xludf.DUMMYFUNCTION("""COMPUTED_VALUE"""),44814.70896450231)</f>
        <v>44814.70896</v>
      </c>
      <c r="B3203" s="24" t="str">
        <f>IFERROR(__xludf.DUMMYFUNCTION("""COMPUTED_VALUE"""),"Treasure McNeill ")</f>
        <v>Treasure McNeill </v>
      </c>
      <c r="C3203" s="24">
        <f>IFERROR(__xludf.DUMMYFUNCTION("""COMPUTED_VALUE"""),17.0)</f>
        <v>17</v>
      </c>
      <c r="D3203" s="24"/>
      <c r="F3203" s="23">
        <f>IFERROR(__xludf.DUMMYFUNCTION("""COMPUTED_VALUE"""),44863.68255506944)</f>
        <v>44863.68256</v>
      </c>
      <c r="G3203" s="24" t="str">
        <f>IFERROR(__xludf.DUMMYFUNCTION("""COMPUTED_VALUE"""),"Nicolle diaz")</f>
        <v>Nicolle diaz</v>
      </c>
      <c r="H3203" s="24">
        <f>IFERROR(__xludf.DUMMYFUNCTION("""COMPUTED_VALUE"""),8.0)</f>
        <v>8</v>
      </c>
      <c r="I3203" s="24" t="str">
        <f>IFERROR(__xludf.DUMMYFUNCTION("""COMPUTED_VALUE"""),"Damage/expired/extra")</f>
        <v>Damage/expired/extra</v>
      </c>
    </row>
    <row r="3204">
      <c r="A3204" s="23">
        <f>IFERROR(__xludf.DUMMYFUNCTION("""COMPUTED_VALUE"""),44814.70897871527)</f>
        <v>44814.70898</v>
      </c>
      <c r="B3204" s="24" t="str">
        <f>IFERROR(__xludf.DUMMYFUNCTION("""COMPUTED_VALUE"""),"Sahmya Lake")</f>
        <v>Sahmya Lake</v>
      </c>
      <c r="C3204" s="24">
        <f>IFERROR(__xludf.DUMMYFUNCTION("""COMPUTED_VALUE"""),1.0)</f>
        <v>1</v>
      </c>
      <c r="D3204" s="24"/>
      <c r="F3204" s="23">
        <f>IFERROR(__xludf.DUMMYFUNCTION("""COMPUTED_VALUE"""),44863.687138726855)</f>
        <v>44863.68714</v>
      </c>
      <c r="G3204" s="24" t="str">
        <f>IFERROR(__xludf.DUMMYFUNCTION("""COMPUTED_VALUE"""),"Naomi Johnson-Smith")</f>
        <v>Naomi Johnson-Smith</v>
      </c>
      <c r="H3204" s="24">
        <f>IFERROR(__xludf.DUMMYFUNCTION("""COMPUTED_VALUE"""),15.0)</f>
        <v>15</v>
      </c>
      <c r="I3204" s="24" t="str">
        <f>IFERROR(__xludf.DUMMYFUNCTION("""COMPUTED_VALUE"""),"Regular (up to 20lbs)")</f>
        <v>Regular (up to 20lbs)</v>
      </c>
    </row>
    <row r="3205">
      <c r="A3205" s="23">
        <f>IFERROR(__xludf.DUMMYFUNCTION("""COMPUTED_VALUE"""),44814.70902083333)</f>
        <v>44814.70902</v>
      </c>
      <c r="B3205" s="24" t="str">
        <f>IFERROR(__xludf.DUMMYFUNCTION("""COMPUTED_VALUE"""),"Ajeñee Williams ")</f>
        <v>Ajeñee Williams </v>
      </c>
      <c r="C3205" s="24">
        <f>IFERROR(__xludf.DUMMYFUNCTION("""COMPUTED_VALUE"""),18.0)</f>
        <v>18</v>
      </c>
      <c r="D3205" s="24"/>
      <c r="F3205" s="23">
        <f>IFERROR(__xludf.DUMMYFUNCTION("""COMPUTED_VALUE"""),44863.68767990741)</f>
        <v>44863.68768</v>
      </c>
      <c r="G3205" s="24" t="str">
        <f>IFERROR(__xludf.DUMMYFUNCTION("""COMPUTED_VALUE"""),"Sara B. ")</f>
        <v>Sara B. </v>
      </c>
      <c r="H3205" s="24">
        <f>IFERROR(__xludf.DUMMYFUNCTION("""COMPUTED_VALUE"""),6.0)</f>
        <v>6</v>
      </c>
      <c r="I3205" s="24" t="str">
        <f>IFERROR(__xludf.DUMMYFUNCTION("""COMPUTED_VALUE"""),"Regular (up to 20lbs)")</f>
        <v>Regular (up to 20lbs)</v>
      </c>
    </row>
    <row r="3206">
      <c r="A3206" s="23">
        <f>IFERROR(__xludf.DUMMYFUNCTION("""COMPUTED_VALUE"""),44814.0)</f>
        <v>44814</v>
      </c>
      <c r="B3206" s="24" t="str">
        <f>IFERROR(__xludf.DUMMYFUNCTION("""COMPUTED_VALUE"""),"Ajeñee Williams ")</f>
        <v>Ajeñee Williams </v>
      </c>
      <c r="C3206" s="24">
        <f>IFERROR(__xludf.DUMMYFUNCTION("""COMPUTED_VALUE"""),2.0)</f>
        <v>2</v>
      </c>
      <c r="D3206" s="24"/>
      <c r="F3206" s="23">
        <f>IFERROR(__xludf.DUMMYFUNCTION("""COMPUTED_VALUE"""),44863.69062101852)</f>
        <v>44863.69062</v>
      </c>
      <c r="G3206" s="24" t="str">
        <f>IFERROR(__xludf.DUMMYFUNCTION("""COMPUTED_VALUE"""),"Beverly")</f>
        <v>Beverly</v>
      </c>
      <c r="H3206" s="24">
        <f>IFERROR(__xludf.DUMMYFUNCTION("""COMPUTED_VALUE"""),-49.0)</f>
        <v>-49</v>
      </c>
      <c r="I3206" s="24" t="str">
        <f>IFERROR(__xludf.DUMMYFUNCTION("""COMPUTED_VALUE"""),"Snacks")</f>
        <v>Snacks</v>
      </c>
    </row>
    <row r="3207">
      <c r="A3207" s="23">
        <f>IFERROR(__xludf.DUMMYFUNCTION("""COMPUTED_VALUE"""),44814.71118210648)</f>
        <v>44814.71118</v>
      </c>
      <c r="B3207" s="24" t="str">
        <f>IFERROR(__xludf.DUMMYFUNCTION("""COMPUTED_VALUE"""),"Evelyn jiang")</f>
        <v>Evelyn jiang</v>
      </c>
      <c r="C3207" s="24">
        <f>IFERROR(__xludf.DUMMYFUNCTION("""COMPUTED_VALUE"""),17.0)</f>
        <v>17</v>
      </c>
      <c r="D3207" s="24"/>
      <c r="F3207" s="23">
        <f>IFERROR(__xludf.DUMMYFUNCTION("""COMPUTED_VALUE"""),44863.69257532407)</f>
        <v>44863.69258</v>
      </c>
      <c r="G3207" s="24" t="str">
        <f>IFERROR(__xludf.DUMMYFUNCTION("""COMPUTED_VALUE"""),"Kianna Wills")</f>
        <v>Kianna Wills</v>
      </c>
      <c r="H3207" s="24">
        <f>IFERROR(__xludf.DUMMYFUNCTION("""COMPUTED_VALUE"""),14.0)</f>
        <v>14</v>
      </c>
      <c r="I3207" s="24" t="str">
        <f>IFERROR(__xludf.DUMMYFUNCTION("""COMPUTED_VALUE"""),"Regular (up to 20lbs)")</f>
        <v>Regular (up to 20lbs)</v>
      </c>
    </row>
    <row r="3208">
      <c r="A3208" s="23">
        <f>IFERROR(__xludf.DUMMYFUNCTION("""COMPUTED_VALUE"""),44814.72477210648)</f>
        <v>44814.72477</v>
      </c>
      <c r="B3208" s="24" t="str">
        <f>IFERROR(__xludf.DUMMYFUNCTION("""COMPUTED_VALUE"""),"Lynnette ")</f>
        <v>Lynnette </v>
      </c>
      <c r="C3208" s="24">
        <f>IFERROR(__xludf.DUMMYFUNCTION("""COMPUTED_VALUE"""),16.0)</f>
        <v>16</v>
      </c>
      <c r="D3208" s="24"/>
      <c r="F3208" s="23">
        <f>IFERROR(__xludf.DUMMYFUNCTION("""COMPUTED_VALUE"""),44863.69415891203)</f>
        <v>44863.69416</v>
      </c>
      <c r="G3208" s="24" t="str">
        <f>IFERROR(__xludf.DUMMYFUNCTION("""COMPUTED_VALUE"""),"Jaydan Ziglar")</f>
        <v>Jaydan Ziglar</v>
      </c>
      <c r="H3208" s="24">
        <f>IFERROR(__xludf.DUMMYFUNCTION("""COMPUTED_VALUE"""),7.0)</f>
        <v>7</v>
      </c>
      <c r="I3208" s="24" t="str">
        <f>IFERROR(__xludf.DUMMYFUNCTION("""COMPUTED_VALUE"""),"Regular (up to 20lbs)")</f>
        <v>Regular (up to 20lbs)</v>
      </c>
    </row>
    <row r="3209">
      <c r="A3209" s="23">
        <f>IFERROR(__xludf.DUMMYFUNCTION("""COMPUTED_VALUE"""),44814.72529127315)</f>
        <v>44814.72529</v>
      </c>
      <c r="B3209" s="24" t="str">
        <f>IFERROR(__xludf.DUMMYFUNCTION("""COMPUTED_VALUE"""),"Lynnette c damage")</f>
        <v>Lynnette c damage</v>
      </c>
      <c r="C3209" s="24">
        <f>IFERROR(__xludf.DUMMYFUNCTION("""COMPUTED_VALUE"""),13.0)</f>
        <v>13</v>
      </c>
      <c r="D3209" s="24"/>
      <c r="F3209" s="23">
        <f>IFERROR(__xludf.DUMMYFUNCTION("""COMPUTED_VALUE"""),44863.69513712963)</f>
        <v>44863.69514</v>
      </c>
      <c r="G3209" s="24" t="str">
        <f>IFERROR(__xludf.DUMMYFUNCTION("""COMPUTED_VALUE"""),"Evelyn jiang")</f>
        <v>Evelyn jiang</v>
      </c>
      <c r="H3209" s="24">
        <f>IFERROR(__xludf.DUMMYFUNCTION("""COMPUTED_VALUE"""),18.0)</f>
        <v>18</v>
      </c>
      <c r="I3209" s="24" t="str">
        <f>IFERROR(__xludf.DUMMYFUNCTION("""COMPUTED_VALUE"""),"Regular (up to 20lbs)")</f>
        <v>Regular (up to 20lbs)</v>
      </c>
    </row>
    <row r="3210">
      <c r="A3210" s="23">
        <f>IFERROR(__xludf.DUMMYFUNCTION("""COMPUTED_VALUE"""),44815.63246128472)</f>
        <v>44815.63246</v>
      </c>
      <c r="B3210" s="24" t="str">
        <f>IFERROR(__xludf.DUMMYFUNCTION("""COMPUTED_VALUE"""),"Lynnette c")</f>
        <v>Lynnette c</v>
      </c>
      <c r="C3210" s="24">
        <f>IFERROR(__xludf.DUMMYFUNCTION("""COMPUTED_VALUE"""),1.0)</f>
        <v>1</v>
      </c>
      <c r="D3210" s="24"/>
      <c r="F3210" s="23">
        <f>IFERROR(__xludf.DUMMYFUNCTION("""COMPUTED_VALUE"""),44863.695578067134)</f>
        <v>44863.69558</v>
      </c>
      <c r="G3210" s="24" t="str">
        <f>IFERROR(__xludf.DUMMYFUNCTION("""COMPUTED_VALUE"""),"Justin Zhong")</f>
        <v>Justin Zhong</v>
      </c>
      <c r="H3210" s="24">
        <f>IFERROR(__xludf.DUMMYFUNCTION("""COMPUTED_VALUE"""),8.0)</f>
        <v>8</v>
      </c>
      <c r="I3210" s="24" t="str">
        <f>IFERROR(__xludf.DUMMYFUNCTION("""COMPUTED_VALUE"""),"Regular (up to 20lbs)")</f>
        <v>Regular (up to 20lbs)</v>
      </c>
    </row>
    <row r="3211">
      <c r="A3211" s="23">
        <f>IFERROR(__xludf.DUMMYFUNCTION("""COMPUTED_VALUE"""),44815.66233570602)</f>
        <v>44815.66234</v>
      </c>
      <c r="B3211" s="24" t="str">
        <f>IFERROR(__xludf.DUMMYFUNCTION("""COMPUTED_VALUE"""),"Yulia")</f>
        <v>Yulia</v>
      </c>
      <c r="C3211" s="24">
        <f>IFERROR(__xludf.DUMMYFUNCTION("""COMPUTED_VALUE"""),20.0)</f>
        <v>20</v>
      </c>
      <c r="D3211" s="24"/>
      <c r="F3211" s="23">
        <f>IFERROR(__xludf.DUMMYFUNCTION("""COMPUTED_VALUE"""),44863.696432418976)</f>
        <v>44863.69643</v>
      </c>
      <c r="G3211" s="24" t="str">
        <f>IFERROR(__xludf.DUMMYFUNCTION("""COMPUTED_VALUE"""),"Nathan")</f>
        <v>Nathan</v>
      </c>
      <c r="H3211" s="24">
        <f>IFERROR(__xludf.DUMMYFUNCTION("""COMPUTED_VALUE"""),19.0)</f>
        <v>19</v>
      </c>
      <c r="I3211" s="24" t="str">
        <f>IFERROR(__xludf.DUMMYFUNCTION("""COMPUTED_VALUE"""),"Regular (up to 20lbs)")</f>
        <v>Regular (up to 20lbs)</v>
      </c>
    </row>
    <row r="3212">
      <c r="A3212" s="23">
        <f>IFERROR(__xludf.DUMMYFUNCTION("""COMPUTED_VALUE"""),44815.0)</f>
        <v>44815</v>
      </c>
      <c r="B3212" s="24" t="str">
        <f>IFERROR(__xludf.DUMMYFUNCTION("""COMPUTED_VALUE"""),"Yulia")</f>
        <v>Yulia</v>
      </c>
      <c r="C3212" s="24">
        <f>IFERROR(__xludf.DUMMYFUNCTION("""COMPUTED_VALUE"""),26.0)</f>
        <v>26</v>
      </c>
      <c r="D3212" s="24"/>
      <c r="F3212" s="23">
        <f>IFERROR(__xludf.DUMMYFUNCTION("""COMPUTED_VALUE"""),44863.698556435185)</f>
        <v>44863.69856</v>
      </c>
      <c r="G3212" s="24" t="str">
        <f>IFERROR(__xludf.DUMMYFUNCTION("""COMPUTED_VALUE"""),"Nadia Simmons ")</f>
        <v>Nadia Simmons </v>
      </c>
      <c r="H3212" s="24">
        <f>IFERROR(__xludf.DUMMYFUNCTION("""COMPUTED_VALUE"""),3.0)</f>
        <v>3</v>
      </c>
      <c r="I3212" s="24" t="str">
        <f>IFERROR(__xludf.DUMMYFUNCTION("""COMPUTED_VALUE"""),"Regular (up to 20lbs)")</f>
        <v>Regular (up to 20lbs)</v>
      </c>
    </row>
    <row r="3213">
      <c r="A3213" s="23">
        <f>IFERROR(__xludf.DUMMYFUNCTION("""COMPUTED_VALUE"""),44815.0)</f>
        <v>44815</v>
      </c>
      <c r="B3213" s="24" t="str">
        <f>IFERROR(__xludf.DUMMYFUNCTION("""COMPUTED_VALUE"""),"Alex Wang")</f>
        <v>Alex Wang</v>
      </c>
      <c r="C3213" s="24">
        <f>IFERROR(__xludf.DUMMYFUNCTION("""COMPUTED_VALUE"""),11.0)</f>
        <v>11</v>
      </c>
      <c r="D3213" s="24"/>
      <c r="F3213" s="23">
        <f>IFERROR(__xludf.DUMMYFUNCTION("""COMPUTED_VALUE"""),44863.6989694213)</f>
        <v>44863.69897</v>
      </c>
      <c r="G3213" s="24" t="str">
        <f>IFERROR(__xludf.DUMMYFUNCTION("""COMPUTED_VALUE"""),"Danaysha Samuel")</f>
        <v>Danaysha Samuel</v>
      </c>
      <c r="H3213" s="24">
        <f>IFERROR(__xludf.DUMMYFUNCTION("""COMPUTED_VALUE"""),13.0)</f>
        <v>13</v>
      </c>
      <c r="I3213" s="24" t="str">
        <f>IFERROR(__xludf.DUMMYFUNCTION("""COMPUTED_VALUE"""),"Regular (up to 20lbs)")</f>
        <v>Regular (up to 20lbs)</v>
      </c>
    </row>
    <row r="3214">
      <c r="A3214" s="23">
        <f>IFERROR(__xludf.DUMMYFUNCTION("""COMPUTED_VALUE"""),44815.0)</f>
        <v>44815</v>
      </c>
      <c r="B3214" s="24" t="str">
        <f>IFERROR(__xludf.DUMMYFUNCTION("""COMPUTED_VALUE"""),"Alex Wang")</f>
        <v>Alex Wang</v>
      </c>
      <c r="C3214" s="24">
        <f>IFERROR(__xludf.DUMMYFUNCTION("""COMPUTED_VALUE"""),3.0)</f>
        <v>3</v>
      </c>
      <c r="D3214" s="24"/>
      <c r="F3214" s="23">
        <f>IFERROR(__xludf.DUMMYFUNCTION("""COMPUTED_VALUE"""),44863.70019943287)</f>
        <v>44863.7002</v>
      </c>
      <c r="G3214" s="24" t="str">
        <f>IFERROR(__xludf.DUMMYFUNCTION("""COMPUTED_VALUE"""),"Raven Fernandes ")</f>
        <v>Raven Fernandes </v>
      </c>
      <c r="H3214" s="24">
        <f>IFERROR(__xludf.DUMMYFUNCTION("""COMPUTED_VALUE"""),6.5)</f>
        <v>6.5</v>
      </c>
      <c r="I3214" s="24" t="str">
        <f>IFERROR(__xludf.DUMMYFUNCTION("""COMPUTED_VALUE"""),"Regular (up to 20lbs)")</f>
        <v>Regular (up to 20lbs)</v>
      </c>
    </row>
    <row r="3215">
      <c r="A3215" s="23">
        <f>IFERROR(__xludf.DUMMYFUNCTION("""COMPUTED_VALUE"""),44815.0)</f>
        <v>44815</v>
      </c>
      <c r="B3215" s="24" t="str">
        <f>IFERROR(__xludf.DUMMYFUNCTION("""COMPUTED_VALUE"""),"Kaneesha")</f>
        <v>Kaneesha</v>
      </c>
      <c r="C3215" s="24">
        <f>IFERROR(__xludf.DUMMYFUNCTION("""COMPUTED_VALUE"""),13.0)</f>
        <v>13</v>
      </c>
      <c r="D3215" s="24"/>
      <c r="F3215" s="23">
        <f>IFERROR(__xludf.DUMMYFUNCTION("""COMPUTED_VALUE"""),44863.70023375)</f>
        <v>44863.70023</v>
      </c>
      <c r="G3215" s="24" t="str">
        <f>IFERROR(__xludf.DUMMYFUNCTION("""COMPUTED_VALUE"""),"Aisha Frazier ")</f>
        <v>Aisha Frazier </v>
      </c>
      <c r="H3215" s="24">
        <f>IFERROR(__xludf.DUMMYFUNCTION("""COMPUTED_VALUE"""),19.0)</f>
        <v>19</v>
      </c>
      <c r="I3215" s="24" t="str">
        <f>IFERROR(__xludf.DUMMYFUNCTION("""COMPUTED_VALUE"""),"Regular (up to 20lbs)")</f>
        <v>Regular (up to 20lbs)</v>
      </c>
    </row>
    <row r="3216">
      <c r="A3216" s="23">
        <f>IFERROR(__xludf.DUMMYFUNCTION("""COMPUTED_VALUE"""),44815.0)</f>
        <v>44815</v>
      </c>
      <c r="B3216" s="24" t="str">
        <f>IFERROR(__xludf.DUMMYFUNCTION("""COMPUTED_VALUE"""),"Kaneesha")</f>
        <v>Kaneesha</v>
      </c>
      <c r="C3216" s="24">
        <f>IFERROR(__xludf.DUMMYFUNCTION("""COMPUTED_VALUE"""),17.0)</f>
        <v>17</v>
      </c>
      <c r="D3216" s="24"/>
      <c r="F3216" s="23">
        <f>IFERROR(__xludf.DUMMYFUNCTION("""COMPUTED_VALUE"""),44863.70039702547)</f>
        <v>44863.7004</v>
      </c>
      <c r="G3216" s="24" t="str">
        <f>IFERROR(__xludf.DUMMYFUNCTION("""COMPUTED_VALUE"""),"Kayla Mack-Easley ")</f>
        <v>Kayla Mack-Easley </v>
      </c>
      <c r="H3216" s="24">
        <f>IFERROR(__xludf.DUMMYFUNCTION("""COMPUTED_VALUE"""),8.4)</f>
        <v>8.4</v>
      </c>
      <c r="I3216" s="24" t="str">
        <f>IFERROR(__xludf.DUMMYFUNCTION("""COMPUTED_VALUE"""),"Regular (up to 20lbs)")</f>
        <v>Regular (up to 20lbs)</v>
      </c>
    </row>
    <row r="3217">
      <c r="A3217" s="23">
        <f>IFERROR(__xludf.DUMMYFUNCTION("""COMPUTED_VALUE"""),44815.0)</f>
        <v>44815</v>
      </c>
      <c r="B3217" s="24" t="str">
        <f>IFERROR(__xludf.DUMMYFUNCTION("""COMPUTED_VALUE"""),"Marci")</f>
        <v>Marci</v>
      </c>
      <c r="C3217" s="24">
        <f>IFERROR(__xludf.DUMMYFUNCTION("""COMPUTED_VALUE"""),18.0)</f>
        <v>18</v>
      </c>
      <c r="D3217" s="24"/>
      <c r="F3217" s="23">
        <f>IFERROR(__xludf.DUMMYFUNCTION("""COMPUTED_VALUE"""),44863.7030633449)</f>
        <v>44863.70306</v>
      </c>
      <c r="G3217" s="24" t="str">
        <f>IFERROR(__xludf.DUMMYFUNCTION("""COMPUTED_VALUE"""),"Beverly")</f>
        <v>Beverly</v>
      </c>
      <c r="H3217" s="24">
        <f>IFERROR(__xludf.DUMMYFUNCTION("""COMPUTED_VALUE"""),-97.0)</f>
        <v>-97</v>
      </c>
      <c r="I3217" s="24" t="str">
        <f>IFERROR(__xludf.DUMMYFUNCTION("""COMPUTED_VALUE"""),"Paper Supplies")</f>
        <v>Paper Supplies</v>
      </c>
    </row>
    <row r="3218">
      <c r="A3218" s="23">
        <f>IFERROR(__xludf.DUMMYFUNCTION("""COMPUTED_VALUE"""),44815.0)</f>
        <v>44815</v>
      </c>
      <c r="B3218" s="24" t="str">
        <f>IFERROR(__xludf.DUMMYFUNCTION("""COMPUTED_VALUE"""),"Marci")</f>
        <v>Marci</v>
      </c>
      <c r="C3218" s="24">
        <f>IFERROR(__xludf.DUMMYFUNCTION("""COMPUTED_VALUE"""),29.0)</f>
        <v>29</v>
      </c>
      <c r="D3218" s="24"/>
      <c r="F3218" s="23">
        <f>IFERROR(__xludf.DUMMYFUNCTION("""COMPUTED_VALUE"""),44863.7035492824)</f>
        <v>44863.70355</v>
      </c>
      <c r="G3218" s="24" t="str">
        <f>IFERROR(__xludf.DUMMYFUNCTION("""COMPUTED_VALUE"""),"Beverly")</f>
        <v>Beverly</v>
      </c>
      <c r="H3218" s="24">
        <f>IFERROR(__xludf.DUMMYFUNCTION("""COMPUTED_VALUE"""),-116.0)</f>
        <v>-116</v>
      </c>
      <c r="I3218" s="24" t="str">
        <f>IFERROR(__xludf.DUMMYFUNCTION("""COMPUTED_VALUE"""),"Assorted ")</f>
        <v>Assorted </v>
      </c>
    </row>
    <row r="3219">
      <c r="A3219" s="23">
        <f>IFERROR(__xludf.DUMMYFUNCTION("""COMPUTED_VALUE"""),44815.0)</f>
        <v>44815</v>
      </c>
      <c r="B3219" s="24" t="str">
        <f>IFERROR(__xludf.DUMMYFUNCTION("""COMPUTED_VALUE"""),"Kate Weeks")</f>
        <v>Kate Weeks</v>
      </c>
      <c r="C3219" s="24">
        <f>IFERROR(__xludf.DUMMYFUNCTION("""COMPUTED_VALUE"""),20.0)</f>
        <v>20</v>
      </c>
      <c r="D3219" s="24"/>
      <c r="F3219" s="23">
        <f>IFERROR(__xludf.DUMMYFUNCTION("""COMPUTED_VALUE"""),44863.704041504636)</f>
        <v>44863.70404</v>
      </c>
      <c r="G3219" s="24" t="str">
        <f>IFERROR(__xludf.DUMMYFUNCTION("""COMPUTED_VALUE"""),"Beverly")</f>
        <v>Beverly</v>
      </c>
      <c r="H3219" s="24">
        <f>IFERROR(__xludf.DUMMYFUNCTION("""COMPUTED_VALUE"""),-33.0)</f>
        <v>-33</v>
      </c>
      <c r="I3219" s="24" t="str">
        <f>IFERROR(__xludf.DUMMYFUNCTION("""COMPUTED_VALUE"""),"Household")</f>
        <v>Household</v>
      </c>
    </row>
    <row r="3220">
      <c r="A3220" s="23">
        <f>IFERROR(__xludf.DUMMYFUNCTION("""COMPUTED_VALUE"""),44815.0)</f>
        <v>44815</v>
      </c>
      <c r="B3220" s="24" t="str">
        <f>IFERROR(__xludf.DUMMYFUNCTION("""COMPUTED_VALUE"""),"Kate Weeks")</f>
        <v>Kate Weeks</v>
      </c>
      <c r="C3220" s="24">
        <f>IFERROR(__xludf.DUMMYFUNCTION("""COMPUTED_VALUE"""),20.0)</f>
        <v>20</v>
      </c>
      <c r="D3220" s="24"/>
      <c r="F3220" s="23">
        <f>IFERROR(__xludf.DUMMYFUNCTION("""COMPUTED_VALUE"""),44863.7073906713)</f>
        <v>44863.70739</v>
      </c>
      <c r="G3220" s="24" t="str">
        <f>IFERROR(__xludf.DUMMYFUNCTION("""COMPUTED_VALUE"""),"Dean Chien")</f>
        <v>Dean Chien</v>
      </c>
      <c r="H3220" s="24">
        <f>IFERROR(__xludf.DUMMYFUNCTION("""COMPUTED_VALUE"""),10.0)</f>
        <v>10</v>
      </c>
      <c r="I3220" s="24" t="str">
        <f>IFERROR(__xludf.DUMMYFUNCTION("""COMPUTED_VALUE"""),"Regular (up to 20lbs)")</f>
        <v>Regular (up to 20lbs)</v>
      </c>
    </row>
    <row r="3221">
      <c r="A3221" s="23">
        <f>IFERROR(__xludf.DUMMYFUNCTION("""COMPUTED_VALUE"""),44815.0)</f>
        <v>44815</v>
      </c>
      <c r="B3221" s="24" t="str">
        <f>IFERROR(__xludf.DUMMYFUNCTION("""COMPUTED_VALUE"""),"Travis")</f>
        <v>Travis</v>
      </c>
      <c r="C3221" s="24">
        <f>IFERROR(__xludf.DUMMYFUNCTION("""COMPUTED_VALUE"""),20.0)</f>
        <v>20</v>
      </c>
      <c r="D3221" s="24"/>
      <c r="F3221" s="23">
        <f>IFERROR(__xludf.DUMMYFUNCTION("""COMPUTED_VALUE"""),44863.72888091436)</f>
        <v>44863.72888</v>
      </c>
      <c r="G3221" s="24" t="str">
        <f>IFERROR(__xludf.DUMMYFUNCTION("""COMPUTED_VALUE"""),"Lynnette")</f>
        <v>Lynnette</v>
      </c>
      <c r="H3221" s="24">
        <f>IFERROR(__xludf.DUMMYFUNCTION("""COMPUTED_VALUE"""),6.0)</f>
        <v>6</v>
      </c>
      <c r="I3221" s="24" t="str">
        <f>IFERROR(__xludf.DUMMYFUNCTION("""COMPUTED_VALUE"""),"Regular (up to 20lbs)")</f>
        <v>Regular (up to 20lbs)</v>
      </c>
    </row>
    <row r="3222">
      <c r="A3222" s="23">
        <f>IFERROR(__xludf.DUMMYFUNCTION("""COMPUTED_VALUE"""),44815.0)</f>
        <v>44815</v>
      </c>
      <c r="B3222" s="24" t="str">
        <f>IFERROR(__xludf.DUMMYFUNCTION("""COMPUTED_VALUE"""),"Travis")</f>
        <v>Travis</v>
      </c>
      <c r="C3222" s="24">
        <f>IFERROR(__xludf.DUMMYFUNCTION("""COMPUTED_VALUE"""),3.0)</f>
        <v>3</v>
      </c>
      <c r="D3222" s="24"/>
      <c r="F3222" s="23">
        <f>IFERROR(__xludf.DUMMYFUNCTION("""COMPUTED_VALUE"""),44864.0)</f>
        <v>44864</v>
      </c>
      <c r="G3222" s="24" t="str">
        <f>IFERROR(__xludf.DUMMYFUNCTION("""COMPUTED_VALUE"""),"Katelyn")</f>
        <v>Katelyn</v>
      </c>
      <c r="H3222" s="24">
        <f>IFERROR(__xludf.DUMMYFUNCTION("""COMPUTED_VALUE"""),7.0)</f>
        <v>7</v>
      </c>
      <c r="I3222" s="24" t="str">
        <f>IFERROR(__xludf.DUMMYFUNCTION("""COMPUTED_VALUE"""),"Damage/expired/extra")</f>
        <v>Damage/expired/extra</v>
      </c>
    </row>
    <row r="3223">
      <c r="A3223" s="23">
        <f>IFERROR(__xludf.DUMMYFUNCTION("""COMPUTED_VALUE"""),44815.67642116898)</f>
        <v>44815.67642</v>
      </c>
      <c r="B3223" s="24" t="str">
        <f>IFERROR(__xludf.DUMMYFUNCTION("""COMPUTED_VALUE"""),"Opey")</f>
        <v>Opey</v>
      </c>
      <c r="C3223" s="24">
        <f>IFERROR(__xludf.DUMMYFUNCTION("""COMPUTED_VALUE"""),4.0)</f>
        <v>4</v>
      </c>
      <c r="D3223" s="24"/>
      <c r="F3223" s="23">
        <f>IFERROR(__xludf.DUMMYFUNCTION("""COMPUTED_VALUE"""),44864.0)</f>
        <v>44864</v>
      </c>
      <c r="G3223" s="24" t="str">
        <f>IFERROR(__xludf.DUMMYFUNCTION("""COMPUTED_VALUE"""),"Dorja")</f>
        <v>Dorja</v>
      </c>
      <c r="H3223" s="24">
        <f>IFERROR(__xludf.DUMMYFUNCTION("""COMPUTED_VALUE"""),19.0)</f>
        <v>19</v>
      </c>
      <c r="I3223" s="24" t="str">
        <f>IFERROR(__xludf.DUMMYFUNCTION("""COMPUTED_VALUE"""),"Regular (up to 20lbs)")</f>
        <v>Regular (up to 20lbs)</v>
      </c>
    </row>
    <row r="3224">
      <c r="A3224" s="23">
        <f>IFERROR(__xludf.DUMMYFUNCTION("""COMPUTED_VALUE"""),44815.67653262731)</f>
        <v>44815.67653</v>
      </c>
      <c r="B3224" s="24" t="str">
        <f>IFERROR(__xludf.DUMMYFUNCTION("""COMPUTED_VALUE"""),"Zoe")</f>
        <v>Zoe</v>
      </c>
      <c r="C3224" s="24">
        <f>IFERROR(__xludf.DUMMYFUNCTION("""COMPUTED_VALUE"""),11.0)</f>
        <v>11</v>
      </c>
      <c r="D3224" s="24"/>
      <c r="F3224" s="23">
        <f>IFERROR(__xludf.DUMMYFUNCTION("""COMPUTED_VALUE"""),44864.0)</f>
        <v>44864</v>
      </c>
      <c r="G3224" s="24" t="str">
        <f>IFERROR(__xludf.DUMMYFUNCTION("""COMPUTED_VALUE"""),"Dorja")</f>
        <v>Dorja</v>
      </c>
      <c r="H3224" s="24">
        <f>IFERROR(__xludf.DUMMYFUNCTION("""COMPUTED_VALUE"""),35.0)</f>
        <v>35</v>
      </c>
      <c r="I3224" s="24" t="str">
        <f>IFERROR(__xludf.DUMMYFUNCTION("""COMPUTED_VALUE"""),"Damage/expired/extra")</f>
        <v>Damage/expired/extra</v>
      </c>
    </row>
    <row r="3225">
      <c r="A3225" s="23">
        <f>IFERROR(__xludf.DUMMYFUNCTION("""COMPUTED_VALUE"""),44817.0)</f>
        <v>44817</v>
      </c>
      <c r="B3225" s="24" t="str">
        <f>IFERROR(__xludf.DUMMYFUNCTION("""COMPUTED_VALUE"""),"Barbara Jordan")</f>
        <v>Barbara Jordan</v>
      </c>
      <c r="C3225" s="24">
        <f>IFERROR(__xludf.DUMMYFUNCTION("""COMPUTED_VALUE"""),20.0)</f>
        <v>20</v>
      </c>
      <c r="D3225" s="24"/>
      <c r="F3225" s="23">
        <f>IFERROR(__xludf.DUMMYFUNCTION("""COMPUTED_VALUE"""),44864.63952971064)</f>
        <v>44864.63953</v>
      </c>
      <c r="G3225" s="24" t="str">
        <f>IFERROR(__xludf.DUMMYFUNCTION("""COMPUTED_VALUE"""),"Dorja ")</f>
        <v>Dorja </v>
      </c>
      <c r="H3225" s="24">
        <f>IFERROR(__xludf.DUMMYFUNCTION("""COMPUTED_VALUE"""),1147.0)</f>
        <v>1147</v>
      </c>
      <c r="I3225" s="24" t="str">
        <f>IFERROR(__xludf.DUMMYFUNCTION("""COMPUTED_VALUE"""),"Dole")</f>
        <v>Dole</v>
      </c>
    </row>
    <row r="3226">
      <c r="A3226" s="23">
        <f>IFERROR(__xludf.DUMMYFUNCTION("""COMPUTED_VALUE"""),44817.0)</f>
        <v>44817</v>
      </c>
      <c r="B3226" s="24" t="str">
        <f>IFERROR(__xludf.DUMMYFUNCTION("""COMPUTED_VALUE"""),"Barbara Jordan")</f>
        <v>Barbara Jordan</v>
      </c>
      <c r="C3226" s="24">
        <f>IFERROR(__xludf.DUMMYFUNCTION("""COMPUTED_VALUE"""),7.0)</f>
        <v>7</v>
      </c>
      <c r="D3226" s="24"/>
      <c r="F3226" s="23">
        <f>IFERROR(__xludf.DUMMYFUNCTION("""COMPUTED_VALUE"""),44864.639944814815)</f>
        <v>44864.63994</v>
      </c>
      <c r="G3226" s="24" t="str">
        <f>IFERROR(__xludf.DUMMYFUNCTION("""COMPUTED_VALUE"""),"Dorja ")</f>
        <v>Dorja </v>
      </c>
      <c r="H3226" s="24">
        <f>IFERROR(__xludf.DUMMYFUNCTION("""COMPUTED_VALUE"""),450.0)</f>
        <v>450</v>
      </c>
      <c r="I3226" s="24" t="str">
        <f>IFERROR(__xludf.DUMMYFUNCTION("""COMPUTED_VALUE"""),"Potatoes ")</f>
        <v>Potatoes </v>
      </c>
    </row>
    <row r="3227">
      <c r="A3227" s="23">
        <f>IFERROR(__xludf.DUMMYFUNCTION("""COMPUTED_VALUE"""),44817.0)</f>
        <v>44817</v>
      </c>
      <c r="B3227" s="24" t="str">
        <f>IFERROR(__xludf.DUMMYFUNCTION("""COMPUTED_VALUE"""),"Jean")</f>
        <v>Jean</v>
      </c>
      <c r="C3227" s="24">
        <f>IFERROR(__xludf.DUMMYFUNCTION("""COMPUTED_VALUE"""),17.0)</f>
        <v>17</v>
      </c>
      <c r="D3227" s="24"/>
      <c r="F3227" s="23">
        <f>IFERROR(__xludf.DUMMYFUNCTION("""COMPUTED_VALUE"""),44864.64018149306)</f>
        <v>44864.64018</v>
      </c>
      <c r="G3227" s="24" t="str">
        <f>IFERROR(__xludf.DUMMYFUNCTION("""COMPUTED_VALUE"""),"Dorja ")</f>
        <v>Dorja </v>
      </c>
      <c r="H3227" s="24">
        <f>IFERROR(__xludf.DUMMYFUNCTION("""COMPUTED_VALUE"""),43.0)</f>
        <v>43</v>
      </c>
      <c r="I3227" s="24" t="str">
        <f>IFERROR(__xludf.DUMMYFUNCTION("""COMPUTED_VALUE"""),"Snacks")</f>
        <v>Snacks</v>
      </c>
    </row>
    <row r="3228">
      <c r="A3228" s="23">
        <f>IFERROR(__xludf.DUMMYFUNCTION("""COMPUTED_VALUE"""),44817.0)</f>
        <v>44817</v>
      </c>
      <c r="B3228" s="24" t="str">
        <f>IFERROR(__xludf.DUMMYFUNCTION("""COMPUTED_VALUE"""),"Jean")</f>
        <v>Jean</v>
      </c>
      <c r="C3228" s="24">
        <f>IFERROR(__xludf.DUMMYFUNCTION("""COMPUTED_VALUE"""),16.0)</f>
        <v>16</v>
      </c>
      <c r="D3228" s="24"/>
      <c r="F3228" s="23">
        <f>IFERROR(__xludf.DUMMYFUNCTION("""COMPUTED_VALUE"""),44864.640398263895)</f>
        <v>44864.6404</v>
      </c>
      <c r="G3228" s="24" t="str">
        <f>IFERROR(__xludf.DUMMYFUNCTION("""COMPUTED_VALUE"""),"Dorja ")</f>
        <v>Dorja </v>
      </c>
      <c r="H3228" s="24">
        <f>IFERROR(__xludf.DUMMYFUNCTION("""COMPUTED_VALUE"""),62.0)</f>
        <v>62</v>
      </c>
      <c r="I3228" s="24" t="str">
        <f>IFERROR(__xludf.DUMMYFUNCTION("""COMPUTED_VALUE"""),"Snacks")</f>
        <v>Snacks</v>
      </c>
    </row>
    <row r="3229">
      <c r="A3229" s="23">
        <f>IFERROR(__xludf.DUMMYFUNCTION("""COMPUTED_VALUE"""),44817.703065648144)</f>
        <v>44817.70307</v>
      </c>
      <c r="B3229" s="24" t="str">
        <f>IFERROR(__xludf.DUMMYFUNCTION("""COMPUTED_VALUE"""),"Treston")</f>
        <v>Treston</v>
      </c>
      <c r="C3229" s="24">
        <f>IFERROR(__xludf.DUMMYFUNCTION("""COMPUTED_VALUE"""),18.0)</f>
        <v>18</v>
      </c>
      <c r="D3229" s="24"/>
      <c r="F3229" s="23">
        <f>IFERROR(__xludf.DUMMYFUNCTION("""COMPUTED_VALUE"""),44864.640648715285)</f>
        <v>44864.64065</v>
      </c>
      <c r="G3229" s="24" t="str">
        <f>IFERROR(__xludf.DUMMYFUNCTION("""COMPUTED_VALUE"""),"Dorja ")</f>
        <v>Dorja </v>
      </c>
      <c r="H3229" s="24">
        <f>IFERROR(__xludf.DUMMYFUNCTION("""COMPUTED_VALUE"""),53.0)</f>
        <v>53</v>
      </c>
      <c r="I3229" s="24" t="str">
        <f>IFERROR(__xludf.DUMMYFUNCTION("""COMPUTED_VALUE"""),"Produce")</f>
        <v>Produce</v>
      </c>
    </row>
    <row r="3230">
      <c r="A3230" s="23">
        <f>IFERROR(__xludf.DUMMYFUNCTION("""COMPUTED_VALUE"""),44817.70596517361)</f>
        <v>44817.70597</v>
      </c>
      <c r="B3230" s="24" t="str">
        <f>IFERROR(__xludf.DUMMYFUNCTION("""COMPUTED_VALUE"""),"Beverly Graham")</f>
        <v>Beverly Graham</v>
      </c>
      <c r="C3230" s="24">
        <f>IFERROR(__xludf.DUMMYFUNCTION("""COMPUTED_VALUE"""),18.0)</f>
        <v>18</v>
      </c>
      <c r="D3230" s="24"/>
      <c r="F3230" s="23">
        <f>IFERROR(__xludf.DUMMYFUNCTION("""COMPUTED_VALUE"""),44864.64128642361)</f>
        <v>44864.64129</v>
      </c>
      <c r="G3230" s="24" t="str">
        <f>IFERROR(__xludf.DUMMYFUNCTION("""COMPUTED_VALUE"""),"Dorja ")</f>
        <v>Dorja </v>
      </c>
      <c r="H3230" s="24">
        <f>IFERROR(__xludf.DUMMYFUNCTION("""COMPUTED_VALUE"""),15.0)</f>
        <v>15</v>
      </c>
      <c r="I3230" s="24" t="str">
        <f>IFERROR(__xludf.DUMMYFUNCTION("""COMPUTED_VALUE"""),"Assorted Dry")</f>
        <v>Assorted Dry</v>
      </c>
    </row>
    <row r="3231">
      <c r="A3231" s="23">
        <f>IFERROR(__xludf.DUMMYFUNCTION("""COMPUTED_VALUE"""),44817.70599)</f>
        <v>44817.70599</v>
      </c>
      <c r="B3231" s="24" t="str">
        <f>IFERROR(__xludf.DUMMYFUNCTION("""COMPUTED_VALUE"""),"Romaine Bouldin ")</f>
        <v>Romaine Bouldin </v>
      </c>
      <c r="C3231" s="24">
        <f>IFERROR(__xludf.DUMMYFUNCTION("""COMPUTED_VALUE"""),13.0)</f>
        <v>13</v>
      </c>
      <c r="D3231" s="24"/>
      <c r="F3231" s="23">
        <f>IFERROR(__xludf.DUMMYFUNCTION("""COMPUTED_VALUE"""),44864.64158508102)</f>
        <v>44864.64159</v>
      </c>
      <c r="G3231" s="24" t="str">
        <f>IFERROR(__xludf.DUMMYFUNCTION("""COMPUTED_VALUE"""),"Dorja ")</f>
        <v>Dorja </v>
      </c>
      <c r="H3231" s="24">
        <f>IFERROR(__xludf.DUMMYFUNCTION("""COMPUTED_VALUE"""),334.0)</f>
        <v>334</v>
      </c>
      <c r="I3231" s="24" t="str">
        <f>IFERROR(__xludf.DUMMYFUNCTION("""COMPUTED_VALUE"""),"Produce")</f>
        <v>Produce</v>
      </c>
    </row>
    <row r="3232">
      <c r="A3232" s="23">
        <f>IFERROR(__xludf.DUMMYFUNCTION("""COMPUTED_VALUE"""),44817.70634943287)</f>
        <v>44817.70635</v>
      </c>
      <c r="B3232" s="24" t="str">
        <f>IFERROR(__xludf.DUMMYFUNCTION("""COMPUTED_VALUE"""),"Romaine Bouldin ")</f>
        <v>Romaine Bouldin </v>
      </c>
      <c r="C3232" s="24">
        <f>IFERROR(__xludf.DUMMYFUNCTION("""COMPUTED_VALUE"""),5.0)</f>
        <v>5</v>
      </c>
      <c r="D3232" s="24"/>
      <c r="F3232" s="23">
        <f>IFERROR(__xludf.DUMMYFUNCTION("""COMPUTED_VALUE"""),44864.64183179399)</f>
        <v>44864.64183</v>
      </c>
      <c r="G3232" s="24" t="str">
        <f>IFERROR(__xludf.DUMMYFUNCTION("""COMPUTED_VALUE"""),"Dorja ")</f>
        <v>Dorja </v>
      </c>
      <c r="H3232" s="24">
        <f>IFERROR(__xludf.DUMMYFUNCTION("""COMPUTED_VALUE"""),288.0)</f>
        <v>288</v>
      </c>
      <c r="I3232" s="24" t="str">
        <f>IFERROR(__xludf.DUMMYFUNCTION("""COMPUTED_VALUE"""),"Produce")</f>
        <v>Produce</v>
      </c>
    </row>
    <row r="3233">
      <c r="A3233" s="23">
        <f>IFERROR(__xludf.DUMMYFUNCTION("""COMPUTED_VALUE"""),44817.7064097338)</f>
        <v>44817.70641</v>
      </c>
      <c r="B3233" s="24" t="str">
        <f>IFERROR(__xludf.DUMMYFUNCTION("""COMPUTED_VALUE"""),"Beverly Graham")</f>
        <v>Beverly Graham</v>
      </c>
      <c r="C3233" s="24">
        <f>IFERROR(__xludf.DUMMYFUNCTION("""COMPUTED_VALUE"""),11.0)</f>
        <v>11</v>
      </c>
      <c r="D3233" s="24"/>
      <c r="F3233" s="23">
        <f>IFERROR(__xludf.DUMMYFUNCTION("""COMPUTED_VALUE"""),44864.642164780096)</f>
        <v>44864.64216</v>
      </c>
      <c r="G3233" s="24" t="str">
        <f>IFERROR(__xludf.DUMMYFUNCTION("""COMPUTED_VALUE"""),"Dorja ")</f>
        <v>Dorja </v>
      </c>
      <c r="H3233" s="24">
        <f>IFERROR(__xludf.DUMMYFUNCTION("""COMPUTED_VALUE"""),399.0)</f>
        <v>399</v>
      </c>
      <c r="I3233" s="24" t="str">
        <f>IFERROR(__xludf.DUMMYFUNCTION("""COMPUTED_VALUE"""),"Dole")</f>
        <v>Dole</v>
      </c>
    </row>
    <row r="3234">
      <c r="A3234" s="23">
        <f>IFERROR(__xludf.DUMMYFUNCTION("""COMPUTED_VALUE"""),44817.70791476852)</f>
        <v>44817.70791</v>
      </c>
      <c r="B3234" s="24" t="str">
        <f>IFERROR(__xludf.DUMMYFUNCTION("""COMPUTED_VALUE"""),"Doris Parker tuggle")</f>
        <v>Doris Parker tuggle</v>
      </c>
      <c r="C3234" s="24">
        <f>IFERROR(__xludf.DUMMYFUNCTION("""COMPUTED_VALUE"""),15.0)</f>
        <v>15</v>
      </c>
      <c r="D3234" s="24"/>
      <c r="F3234" s="23">
        <f>IFERROR(__xludf.DUMMYFUNCTION("""COMPUTED_VALUE"""),44864.64245347222)</f>
        <v>44864.64245</v>
      </c>
      <c r="G3234" s="24" t="str">
        <f>IFERROR(__xludf.DUMMYFUNCTION("""COMPUTED_VALUE"""),"Dorja")</f>
        <v>Dorja</v>
      </c>
      <c r="H3234" s="24">
        <f>IFERROR(__xludf.DUMMYFUNCTION("""COMPUTED_VALUE"""),292.0)</f>
        <v>292</v>
      </c>
      <c r="I3234" s="24" t="str">
        <f>IFERROR(__xludf.DUMMYFUNCTION("""COMPUTED_VALUE"""),"Produce")</f>
        <v>Produce</v>
      </c>
    </row>
    <row r="3235">
      <c r="A3235" s="23">
        <f>IFERROR(__xludf.DUMMYFUNCTION("""COMPUTED_VALUE"""),44817.0)</f>
        <v>44817</v>
      </c>
      <c r="B3235" s="24" t="str">
        <f>IFERROR(__xludf.DUMMYFUNCTION("""COMPUTED_VALUE"""),"Doris Parker tuggle")</f>
        <v>Doris Parker tuggle</v>
      </c>
      <c r="C3235" s="24">
        <f>IFERROR(__xludf.DUMMYFUNCTION("""COMPUTED_VALUE"""),20.0)</f>
        <v>20</v>
      </c>
      <c r="D3235" s="24"/>
      <c r="F3235" s="23">
        <f>IFERROR(__xludf.DUMMYFUNCTION("""COMPUTED_VALUE"""),44864.642773472224)</f>
        <v>44864.64277</v>
      </c>
      <c r="G3235" s="24" t="str">
        <f>IFERROR(__xludf.DUMMYFUNCTION("""COMPUTED_VALUE"""),"Dorja")</f>
        <v>Dorja</v>
      </c>
      <c r="H3235" s="24">
        <f>IFERROR(__xludf.DUMMYFUNCTION("""COMPUTED_VALUE"""),64.0)</f>
        <v>64</v>
      </c>
      <c r="I3235" s="24" t="str">
        <f>IFERROR(__xludf.DUMMYFUNCTION("""COMPUTED_VALUE"""),"Bread")</f>
        <v>Bread</v>
      </c>
    </row>
    <row r="3236">
      <c r="A3236" s="23">
        <f>IFERROR(__xludf.DUMMYFUNCTION("""COMPUTED_VALUE"""),44817.710013275464)</f>
        <v>44817.71001</v>
      </c>
      <c r="B3236" s="24" t="str">
        <f>IFERROR(__xludf.DUMMYFUNCTION("""COMPUTED_VALUE"""),"Kaneesha ")</f>
        <v>Kaneesha </v>
      </c>
      <c r="C3236" s="24">
        <f>IFERROR(__xludf.DUMMYFUNCTION("""COMPUTED_VALUE"""),20.0)</f>
        <v>20</v>
      </c>
      <c r="D3236" s="24"/>
      <c r="F3236" s="23">
        <f>IFERROR(__xludf.DUMMYFUNCTION("""COMPUTED_VALUE"""),44864.64310759259)</f>
        <v>44864.64311</v>
      </c>
      <c r="G3236" s="24" t="str">
        <f>IFERROR(__xludf.DUMMYFUNCTION("""COMPUTED_VALUE"""),"Dorja ")</f>
        <v>Dorja </v>
      </c>
      <c r="H3236" s="24">
        <f>IFERROR(__xludf.DUMMYFUNCTION("""COMPUTED_VALUE"""),57.0)</f>
        <v>57</v>
      </c>
      <c r="I3236" s="24" t="str">
        <f>IFERROR(__xludf.DUMMYFUNCTION("""COMPUTED_VALUE"""),"Vegetables")</f>
        <v>Vegetables</v>
      </c>
    </row>
    <row r="3237">
      <c r="A3237" s="23">
        <f>IFERROR(__xludf.DUMMYFUNCTION("""COMPUTED_VALUE"""),44817.71015651621)</f>
        <v>44817.71016</v>
      </c>
      <c r="B3237" s="24" t="str">
        <f>IFERROR(__xludf.DUMMYFUNCTION("""COMPUTED_VALUE"""),"Treston (extra)")</f>
        <v>Treston (extra)</v>
      </c>
      <c r="C3237" s="24">
        <f>IFERROR(__xludf.DUMMYFUNCTION("""COMPUTED_VALUE"""),16.0)</f>
        <v>16</v>
      </c>
      <c r="D3237" s="24"/>
      <c r="F3237" s="23">
        <f>IFERROR(__xludf.DUMMYFUNCTION("""COMPUTED_VALUE"""),44864.65071990741)</f>
        <v>44864.65072</v>
      </c>
      <c r="G3237" s="24" t="str">
        <f>IFERROR(__xludf.DUMMYFUNCTION("""COMPUTED_VALUE"""),"Dorja ")</f>
        <v>Dorja </v>
      </c>
      <c r="H3237" s="24">
        <f>IFERROR(__xludf.DUMMYFUNCTION("""COMPUTED_VALUE"""),128.0)</f>
        <v>128</v>
      </c>
      <c r="I3237" s="24" t="str">
        <f>IFERROR(__xludf.DUMMYFUNCTION("""COMPUTED_VALUE"""),"Assorted Dry")</f>
        <v>Assorted Dry</v>
      </c>
    </row>
    <row r="3238">
      <c r="A3238" s="23">
        <f>IFERROR(__xludf.DUMMYFUNCTION("""COMPUTED_VALUE"""),44817.710206365744)</f>
        <v>44817.71021</v>
      </c>
      <c r="B3238" s="24" t="str">
        <f>IFERROR(__xludf.DUMMYFUNCTION("""COMPUTED_VALUE"""),"Kaneesha ")</f>
        <v>Kaneesha </v>
      </c>
      <c r="C3238" s="24">
        <f>IFERROR(__xludf.DUMMYFUNCTION("""COMPUTED_VALUE"""),9.0)</f>
        <v>9</v>
      </c>
      <c r="D3238" s="24"/>
      <c r="F3238" s="23">
        <f>IFERROR(__xludf.DUMMYFUNCTION("""COMPUTED_VALUE"""),44864.65159460648)</f>
        <v>44864.65159</v>
      </c>
      <c r="G3238" s="24" t="str">
        <f>IFERROR(__xludf.DUMMYFUNCTION("""COMPUTED_VALUE"""),"Dorja ")</f>
        <v>Dorja </v>
      </c>
      <c r="H3238" s="24">
        <f>IFERROR(__xludf.DUMMYFUNCTION("""COMPUTED_VALUE"""),151.0)</f>
        <v>151</v>
      </c>
      <c r="I3238" s="24" t="str">
        <f>IFERROR(__xludf.DUMMYFUNCTION("""COMPUTED_VALUE"""),"Homewood Friends")</f>
        <v>Homewood Friends</v>
      </c>
    </row>
    <row r="3239">
      <c r="A3239" s="23">
        <f>IFERROR(__xludf.DUMMYFUNCTION("""COMPUTED_VALUE"""),44817.71155049768)</f>
        <v>44817.71155</v>
      </c>
      <c r="B3239" s="24" t="str">
        <f>IFERROR(__xludf.DUMMYFUNCTION("""COMPUTED_VALUE"""),"Beverly Pinn")</f>
        <v>Beverly Pinn</v>
      </c>
      <c r="C3239" s="24">
        <f>IFERROR(__xludf.DUMMYFUNCTION("""COMPUTED_VALUE"""),20.0)</f>
        <v>20</v>
      </c>
      <c r="D3239" s="24"/>
      <c r="F3239" s="23">
        <f>IFERROR(__xludf.DUMMYFUNCTION("""COMPUTED_VALUE"""),44864.652123935186)</f>
        <v>44864.65212</v>
      </c>
      <c r="G3239" s="24" t="str">
        <f>IFERROR(__xludf.DUMMYFUNCTION("""COMPUTED_VALUE"""),"Amazon ")</f>
        <v>Amazon </v>
      </c>
      <c r="H3239" s="24">
        <f>IFERROR(__xludf.DUMMYFUNCTION("""COMPUTED_VALUE"""),633.0)</f>
        <v>633</v>
      </c>
      <c r="I3239" s="24" t="str">
        <f>IFERROR(__xludf.DUMMYFUNCTION("""COMPUTED_VALUE"""),"Amazon")</f>
        <v>Amazon</v>
      </c>
    </row>
    <row r="3240">
      <c r="A3240" s="23">
        <f>IFERROR(__xludf.DUMMYFUNCTION("""COMPUTED_VALUE"""),44817.71177061342)</f>
        <v>44817.71177</v>
      </c>
      <c r="B3240" s="24" t="str">
        <f>IFERROR(__xludf.DUMMYFUNCTION("""COMPUTED_VALUE"""),"Beverly Pinn")</f>
        <v>Beverly Pinn</v>
      </c>
      <c r="C3240" s="24">
        <f>IFERROR(__xludf.DUMMYFUNCTION("""COMPUTED_VALUE"""),11.0)</f>
        <v>11</v>
      </c>
      <c r="D3240" s="24"/>
      <c r="F3240" s="23">
        <f>IFERROR(__xludf.DUMMYFUNCTION("""COMPUTED_VALUE"""),44864.6523622338)</f>
        <v>44864.65236</v>
      </c>
      <c r="G3240" s="24" t="str">
        <f>IFERROR(__xludf.DUMMYFUNCTION("""COMPUTED_VALUE"""),"Dorja ")</f>
        <v>Dorja </v>
      </c>
      <c r="H3240" s="24">
        <f>IFERROR(__xludf.DUMMYFUNCTION("""COMPUTED_VALUE"""),353.0)</f>
        <v>353</v>
      </c>
      <c r="I3240" s="24" t="str">
        <f>IFERROR(__xludf.DUMMYFUNCTION("""COMPUTED_VALUE"""),"Amazon")</f>
        <v>Amazon</v>
      </c>
    </row>
    <row r="3241">
      <c r="A3241" s="23">
        <f>IFERROR(__xludf.DUMMYFUNCTION("""COMPUTED_VALUE"""),44818.0)</f>
        <v>44818</v>
      </c>
      <c r="B3241" s="24" t="str">
        <f>IFERROR(__xludf.DUMMYFUNCTION("""COMPUTED_VALUE"""),"Doris Parker tuggle")</f>
        <v>Doris Parker tuggle</v>
      </c>
      <c r="C3241" s="24">
        <f>IFERROR(__xludf.DUMMYFUNCTION("""COMPUTED_VALUE"""),19.0)</f>
        <v>19</v>
      </c>
      <c r="D3241" s="24"/>
      <c r="F3241" s="23">
        <f>IFERROR(__xludf.DUMMYFUNCTION("""COMPUTED_VALUE"""),44864.652740081016)</f>
        <v>44864.65274</v>
      </c>
      <c r="G3241" s="24" t="str">
        <f>IFERROR(__xludf.DUMMYFUNCTION("""COMPUTED_VALUE"""),"Dorja")</f>
        <v>Dorja</v>
      </c>
      <c r="H3241" s="24">
        <f>IFERROR(__xludf.DUMMYFUNCTION("""COMPUTED_VALUE"""),622.0)</f>
        <v>622</v>
      </c>
      <c r="I3241" s="24" t="str">
        <f>IFERROR(__xludf.DUMMYFUNCTION("""COMPUTED_VALUE"""),"Amazon")</f>
        <v>Amazon</v>
      </c>
    </row>
    <row r="3242">
      <c r="A3242" s="23">
        <f>IFERROR(__xludf.DUMMYFUNCTION("""COMPUTED_VALUE"""),44818.0)</f>
        <v>44818</v>
      </c>
      <c r="B3242" s="24" t="str">
        <f>IFERROR(__xludf.DUMMYFUNCTION("""COMPUTED_VALUE"""),"Juanita Chandler")</f>
        <v>Juanita Chandler</v>
      </c>
      <c r="C3242" s="24">
        <f>IFERROR(__xludf.DUMMYFUNCTION("""COMPUTED_VALUE"""),13.0)</f>
        <v>13</v>
      </c>
      <c r="D3242" s="24"/>
      <c r="F3242" s="23">
        <f>IFERROR(__xludf.DUMMYFUNCTION("""COMPUTED_VALUE"""),44864.653297129626)</f>
        <v>44864.6533</v>
      </c>
      <c r="G3242" s="24" t="str">
        <f>IFERROR(__xludf.DUMMYFUNCTION("""COMPUTED_VALUE"""),"Dorja ")</f>
        <v>Dorja </v>
      </c>
      <c r="H3242" s="24">
        <f>IFERROR(__xludf.DUMMYFUNCTION("""COMPUTED_VALUE"""),789.0)</f>
        <v>789</v>
      </c>
      <c r="I3242" s="24" t="str">
        <f>IFERROR(__xludf.DUMMYFUNCTION("""COMPUTED_VALUE"""),"Amazon")</f>
        <v>Amazon</v>
      </c>
    </row>
    <row r="3243">
      <c r="A3243" s="23">
        <f>IFERROR(__xludf.DUMMYFUNCTION("""COMPUTED_VALUE"""),44818.0)</f>
        <v>44818</v>
      </c>
      <c r="B3243" s="24" t="str">
        <f>IFERROR(__xludf.DUMMYFUNCTION("""COMPUTED_VALUE"""),"Juanita Chandler")</f>
        <v>Juanita Chandler</v>
      </c>
      <c r="C3243" s="24">
        <f>IFERROR(__xludf.DUMMYFUNCTION("""COMPUTED_VALUE"""),34.0)</f>
        <v>34</v>
      </c>
      <c r="D3243" s="24"/>
      <c r="F3243" s="23">
        <f>IFERROR(__xludf.DUMMYFUNCTION("""COMPUTED_VALUE"""),44864.65371644676)</f>
        <v>44864.65372</v>
      </c>
      <c r="G3243" s="24" t="str">
        <f>IFERROR(__xludf.DUMMYFUNCTION("""COMPUTED_VALUE"""),"Dorja")</f>
        <v>Dorja</v>
      </c>
      <c r="H3243" s="24">
        <f>IFERROR(__xludf.DUMMYFUNCTION("""COMPUTED_VALUE"""),714.0)</f>
        <v>714</v>
      </c>
      <c r="I3243" s="24" t="str">
        <f>IFERROR(__xludf.DUMMYFUNCTION("""COMPUTED_VALUE"""),"Amazon")</f>
        <v>Amazon</v>
      </c>
    </row>
    <row r="3244">
      <c r="A3244" s="23">
        <f>IFERROR(__xludf.DUMMYFUNCTION("""COMPUTED_VALUE"""),44818.61182284722)</f>
        <v>44818.61182</v>
      </c>
      <c r="B3244" s="24" t="str">
        <f>IFERROR(__xludf.DUMMYFUNCTION("""COMPUTED_VALUE"""),"Bud-Sisson st dpw drinks ")</f>
        <v>Bud-Sisson st dpw drinks </v>
      </c>
      <c r="C3244" s="24">
        <f>IFERROR(__xludf.DUMMYFUNCTION("""COMPUTED_VALUE"""),16.0)</f>
        <v>16</v>
      </c>
      <c r="D3244" s="24"/>
      <c r="F3244" s="23">
        <f>IFERROR(__xludf.DUMMYFUNCTION("""COMPUTED_VALUE"""),44864.654179641206)</f>
        <v>44864.65418</v>
      </c>
      <c r="G3244" s="24" t="str">
        <f>IFERROR(__xludf.DUMMYFUNCTION("""COMPUTED_VALUE"""),"Dorja")</f>
        <v>Dorja</v>
      </c>
      <c r="H3244" s="24">
        <f>IFERROR(__xludf.DUMMYFUNCTION("""COMPUTED_VALUE"""),661.0)</f>
        <v>661</v>
      </c>
      <c r="I3244" s="24" t="str">
        <f>IFERROR(__xludf.DUMMYFUNCTION("""COMPUTED_VALUE"""),"Amazon")</f>
        <v>Amazon</v>
      </c>
    </row>
    <row r="3245">
      <c r="A3245" s="23">
        <f>IFERROR(__xludf.DUMMYFUNCTION("""COMPUTED_VALUE"""),44818.61225755787)</f>
        <v>44818.61226</v>
      </c>
      <c r="B3245" s="24" t="str">
        <f>IFERROR(__xludf.DUMMYFUNCTION("""COMPUTED_VALUE"""),"Bud Stracker - personal ")</f>
        <v>Bud Stracker - personal </v>
      </c>
      <c r="C3245" s="24">
        <f>IFERROR(__xludf.DUMMYFUNCTION("""COMPUTED_VALUE"""),12.0)</f>
        <v>12</v>
      </c>
      <c r="D3245" s="24"/>
      <c r="F3245" s="23">
        <f>IFERROR(__xludf.DUMMYFUNCTION("""COMPUTED_VALUE"""),44864.65437060186)</f>
        <v>44864.65437</v>
      </c>
      <c r="G3245" s="24" t="str">
        <f>IFERROR(__xludf.DUMMYFUNCTION("""COMPUTED_VALUE"""),"Dorja ")</f>
        <v>Dorja </v>
      </c>
      <c r="H3245" s="24">
        <f>IFERROR(__xludf.DUMMYFUNCTION("""COMPUTED_VALUE"""),662.0)</f>
        <v>662</v>
      </c>
      <c r="I3245" s="24" t="str">
        <f>IFERROR(__xludf.DUMMYFUNCTION("""COMPUTED_VALUE"""),"Amazon")</f>
        <v>Amazon</v>
      </c>
    </row>
    <row r="3246">
      <c r="A3246" s="23">
        <f>IFERROR(__xludf.DUMMYFUNCTION("""COMPUTED_VALUE"""),44818.84018355324)</f>
        <v>44818.84018</v>
      </c>
      <c r="B3246" s="24" t="str">
        <f>IFERROR(__xludf.DUMMYFUNCTION("""COMPUTED_VALUE"""),"Connor Gephart")</f>
        <v>Connor Gephart</v>
      </c>
      <c r="C3246" s="24">
        <f>IFERROR(__xludf.DUMMYFUNCTION("""COMPUTED_VALUE"""),10.0)</f>
        <v>10</v>
      </c>
      <c r="D3246" s="24"/>
      <c r="F3246" s="23">
        <f>IFERROR(__xludf.DUMMYFUNCTION("""COMPUTED_VALUE"""),44864.65455900463)</f>
        <v>44864.65456</v>
      </c>
      <c r="G3246" s="24" t="str">
        <f>IFERROR(__xludf.DUMMYFUNCTION("""COMPUTED_VALUE"""),"Dorja ")</f>
        <v>Dorja </v>
      </c>
      <c r="H3246" s="24">
        <f>IFERROR(__xludf.DUMMYFUNCTION("""COMPUTED_VALUE"""),665.0)</f>
        <v>665</v>
      </c>
      <c r="I3246" s="24" t="str">
        <f>IFERROR(__xludf.DUMMYFUNCTION("""COMPUTED_VALUE"""),"Amazon")</f>
        <v>Amazon</v>
      </c>
    </row>
    <row r="3247">
      <c r="A3247" s="23">
        <f>IFERROR(__xludf.DUMMYFUNCTION("""COMPUTED_VALUE"""),44818.840447083334)</f>
        <v>44818.84045</v>
      </c>
      <c r="B3247" s="24" t="str">
        <f>IFERROR(__xludf.DUMMYFUNCTION("""COMPUTED_VALUE"""),"Cybil Bailey")</f>
        <v>Cybil Bailey</v>
      </c>
      <c r="C3247" s="24">
        <f>IFERROR(__xludf.DUMMYFUNCTION("""COMPUTED_VALUE"""),6.0)</f>
        <v>6</v>
      </c>
      <c r="D3247" s="24"/>
      <c r="F3247" s="23">
        <f>IFERROR(__xludf.DUMMYFUNCTION("""COMPUTED_VALUE"""),44864.66816746527)</f>
        <v>44864.66817</v>
      </c>
      <c r="G3247" s="24" t="str">
        <f>IFERROR(__xludf.DUMMYFUNCTION("""COMPUTED_VALUE"""),"Opey")</f>
        <v>Opey</v>
      </c>
      <c r="H3247" s="24">
        <f>IFERROR(__xludf.DUMMYFUNCTION("""COMPUTED_VALUE"""),20.0)</f>
        <v>20</v>
      </c>
      <c r="I3247" s="24" t="str">
        <f>IFERROR(__xludf.DUMMYFUNCTION("""COMPUTED_VALUE"""),"Regular (up to 20lbs)")</f>
        <v>Regular (up to 20lbs)</v>
      </c>
    </row>
    <row r="3248">
      <c r="A3248" s="23">
        <f>IFERROR(__xludf.DUMMYFUNCTION("""COMPUTED_VALUE"""),44818.84054697917)</f>
        <v>44818.84055</v>
      </c>
      <c r="B3248" s="24" t="str">
        <f>IFERROR(__xludf.DUMMYFUNCTION("""COMPUTED_VALUE"""),"Maddie p ")</f>
        <v>Maddie p </v>
      </c>
      <c r="C3248" s="24">
        <f>IFERROR(__xludf.DUMMYFUNCTION("""COMPUTED_VALUE"""),9.0)</f>
        <v>9</v>
      </c>
      <c r="D3248" s="24"/>
      <c r="F3248" s="23">
        <f>IFERROR(__xludf.DUMMYFUNCTION("""COMPUTED_VALUE"""),44864.66830928241)</f>
        <v>44864.66831</v>
      </c>
      <c r="G3248" s="24" t="str">
        <f>IFERROR(__xludf.DUMMYFUNCTION("""COMPUTED_VALUE"""),"Zoe")</f>
        <v>Zoe</v>
      </c>
      <c r="H3248" s="24">
        <f>IFERROR(__xludf.DUMMYFUNCTION("""COMPUTED_VALUE"""),17.0)</f>
        <v>17</v>
      </c>
      <c r="I3248" s="24" t="str">
        <f>IFERROR(__xludf.DUMMYFUNCTION("""COMPUTED_VALUE"""),"Regular (up to 20lbs)")</f>
        <v>Regular (up to 20lbs)</v>
      </c>
    </row>
    <row r="3249">
      <c r="A3249" s="23">
        <f>IFERROR(__xludf.DUMMYFUNCTION("""COMPUTED_VALUE"""),44818.84056637731)</f>
        <v>44818.84057</v>
      </c>
      <c r="B3249" s="24" t="str">
        <f>IFERROR(__xludf.DUMMYFUNCTION("""COMPUTED_VALUE"""),"Joaiah")</f>
        <v>Joaiah</v>
      </c>
      <c r="C3249" s="24">
        <f>IFERROR(__xludf.DUMMYFUNCTION("""COMPUTED_VALUE"""),20.0)</f>
        <v>20</v>
      </c>
      <c r="D3249" s="24"/>
      <c r="F3249" s="23">
        <f>IFERROR(__xludf.DUMMYFUNCTION("""COMPUTED_VALUE"""),44864.673162280094)</f>
        <v>44864.67316</v>
      </c>
      <c r="G3249" s="24" t="str">
        <f>IFERROR(__xludf.DUMMYFUNCTION("""COMPUTED_VALUE"""),"Kaneesha ")</f>
        <v>Kaneesha </v>
      </c>
      <c r="H3249" s="24">
        <f>IFERROR(__xludf.DUMMYFUNCTION("""COMPUTED_VALUE"""),20.0)</f>
        <v>20</v>
      </c>
      <c r="I3249" s="24" t="str">
        <f>IFERROR(__xludf.DUMMYFUNCTION("""COMPUTED_VALUE"""),"Regular (up to 20lbs)")</f>
        <v>Regular (up to 20lbs)</v>
      </c>
    </row>
    <row r="3250">
      <c r="A3250" s="23">
        <f>IFERROR(__xludf.DUMMYFUNCTION("""COMPUTED_VALUE"""),44818.84658798611)</f>
        <v>44818.84659</v>
      </c>
      <c r="B3250" s="24" t="str">
        <f>IFERROR(__xludf.DUMMYFUNCTION("""COMPUTED_VALUE"""),"Luke mayhew ")</f>
        <v>Luke mayhew </v>
      </c>
      <c r="C3250" s="24">
        <f>IFERROR(__xludf.DUMMYFUNCTION("""COMPUTED_VALUE"""),20.0)</f>
        <v>20</v>
      </c>
      <c r="D3250" s="24"/>
      <c r="F3250" s="23">
        <f>IFERROR(__xludf.DUMMYFUNCTION("""COMPUTED_VALUE"""),44864.67332533564)</f>
        <v>44864.67333</v>
      </c>
      <c r="G3250" s="24" t="str">
        <f>IFERROR(__xludf.DUMMYFUNCTION("""COMPUTED_VALUE"""),"Kaneesha ")</f>
        <v>Kaneesha </v>
      </c>
      <c r="H3250" s="24">
        <f>IFERROR(__xludf.DUMMYFUNCTION("""COMPUTED_VALUE"""),40.0)</f>
        <v>40</v>
      </c>
      <c r="I3250" s="24" t="str">
        <f>IFERROR(__xludf.DUMMYFUNCTION("""COMPUTED_VALUE"""),"Damage/expired/extra")</f>
        <v>Damage/expired/extra</v>
      </c>
    </row>
    <row r="3251">
      <c r="A3251" s="23">
        <f>IFERROR(__xludf.DUMMYFUNCTION("""COMPUTED_VALUE"""),44818.846930451386)</f>
        <v>44818.84693</v>
      </c>
      <c r="B3251" s="24" t="str">
        <f>IFERROR(__xludf.DUMMYFUNCTION("""COMPUTED_VALUE"""),"Luke mayhew ")</f>
        <v>Luke mayhew </v>
      </c>
      <c r="C3251" s="24">
        <f>IFERROR(__xludf.DUMMYFUNCTION("""COMPUTED_VALUE"""),15.0)</f>
        <v>15</v>
      </c>
      <c r="D3251" s="24"/>
      <c r="F3251" s="23">
        <f>IFERROR(__xludf.DUMMYFUNCTION("""COMPUTED_VALUE"""),44864.677939780086)</f>
        <v>44864.67794</v>
      </c>
      <c r="G3251" s="24" t="str">
        <f>IFERROR(__xludf.DUMMYFUNCTION("""COMPUTED_VALUE"""),"Kate Weeks")</f>
        <v>Kate Weeks</v>
      </c>
      <c r="H3251" s="24">
        <f>IFERROR(__xludf.DUMMYFUNCTION("""COMPUTED_VALUE"""),20.0)</f>
        <v>20</v>
      </c>
      <c r="I3251" s="24" t="str">
        <f>IFERROR(__xludf.DUMMYFUNCTION("""COMPUTED_VALUE"""),"Regular (up to 20lbs)")</f>
        <v>Regular (up to 20lbs)</v>
      </c>
    </row>
    <row r="3252">
      <c r="A3252" s="23">
        <f>IFERROR(__xludf.DUMMYFUNCTION("""COMPUTED_VALUE"""),44819.0)</f>
        <v>44819</v>
      </c>
      <c r="B3252" s="24" t="str">
        <f>IFERROR(__xludf.DUMMYFUNCTION("""COMPUTED_VALUE"""),"Hong Xue")</f>
        <v>Hong Xue</v>
      </c>
      <c r="C3252" s="24">
        <f>IFERROR(__xludf.DUMMYFUNCTION("""COMPUTED_VALUE"""),19.0)</f>
        <v>19</v>
      </c>
      <c r="D3252" s="24"/>
      <c r="F3252" s="23">
        <f>IFERROR(__xludf.DUMMYFUNCTION("""COMPUTED_VALUE"""),44864.67821613426)</f>
        <v>44864.67822</v>
      </c>
      <c r="G3252" s="24" t="str">
        <f>IFERROR(__xludf.DUMMYFUNCTION("""COMPUTED_VALUE"""),"Kate Weeks ")</f>
        <v>Kate Weeks </v>
      </c>
      <c r="H3252" s="24">
        <f>IFERROR(__xludf.DUMMYFUNCTION("""COMPUTED_VALUE"""),48.0)</f>
        <v>48</v>
      </c>
      <c r="I3252" s="24" t="str">
        <f>IFERROR(__xludf.DUMMYFUNCTION("""COMPUTED_VALUE"""),"Damage/expired/extra")</f>
        <v>Damage/expired/extra</v>
      </c>
    </row>
    <row r="3253">
      <c r="A3253" s="23">
        <f>IFERROR(__xludf.DUMMYFUNCTION("""COMPUTED_VALUE"""),44819.0)</f>
        <v>44819</v>
      </c>
      <c r="B3253" s="24" t="str">
        <f>IFERROR(__xludf.DUMMYFUNCTION("""COMPUTED_VALUE"""),"Hong Xue")</f>
        <v>Hong Xue</v>
      </c>
      <c r="C3253" s="24">
        <f>IFERROR(__xludf.DUMMYFUNCTION("""COMPUTED_VALUE"""),13.0)</f>
        <v>13</v>
      </c>
      <c r="D3253" s="24"/>
      <c r="F3253" s="23">
        <f>IFERROR(__xludf.DUMMYFUNCTION("""COMPUTED_VALUE"""),44866.0)</f>
        <v>44866</v>
      </c>
      <c r="G3253" s="24" t="str">
        <f>IFERROR(__xludf.DUMMYFUNCTION("""COMPUTED_VALUE"""),"Hong Xue")</f>
        <v>Hong Xue</v>
      </c>
      <c r="H3253" s="24">
        <f>IFERROR(__xludf.DUMMYFUNCTION("""COMPUTED_VALUE"""),20.0)</f>
        <v>20</v>
      </c>
      <c r="I3253" s="24" t="str">
        <f>IFERROR(__xludf.DUMMYFUNCTION("""COMPUTED_VALUE"""),"Regular (up to 20lbs)")</f>
        <v>Regular (up to 20lbs)</v>
      </c>
    </row>
    <row r="3254">
      <c r="A3254" s="23">
        <f>IFERROR(__xludf.DUMMYFUNCTION("""COMPUTED_VALUE"""),44819.0)</f>
        <v>44819</v>
      </c>
      <c r="B3254" s="24" t="str">
        <f>IFERROR(__xludf.DUMMYFUNCTION("""COMPUTED_VALUE"""),"Denise Brown")</f>
        <v>Denise Brown</v>
      </c>
      <c r="C3254" s="24">
        <f>IFERROR(__xludf.DUMMYFUNCTION("""COMPUTED_VALUE"""),20.0)</f>
        <v>20</v>
      </c>
      <c r="D3254" s="24"/>
      <c r="F3254" s="23">
        <f>IFERROR(__xludf.DUMMYFUNCTION("""COMPUTED_VALUE"""),44866.0)</f>
        <v>44866</v>
      </c>
      <c r="G3254" s="24" t="str">
        <f>IFERROR(__xludf.DUMMYFUNCTION("""COMPUTED_VALUE"""),"Hong Xue")</f>
        <v>Hong Xue</v>
      </c>
      <c r="H3254" s="24">
        <f>IFERROR(__xludf.DUMMYFUNCTION("""COMPUTED_VALUE"""),37.0)</f>
        <v>37</v>
      </c>
      <c r="I3254" s="24" t="str">
        <f>IFERROR(__xludf.DUMMYFUNCTION("""COMPUTED_VALUE"""),"Damage/expired/extra")</f>
        <v>Damage/expired/extra</v>
      </c>
    </row>
    <row r="3255">
      <c r="A3255" s="23">
        <f>IFERROR(__xludf.DUMMYFUNCTION("""COMPUTED_VALUE"""),44819.0)</f>
        <v>44819</v>
      </c>
      <c r="B3255" s="24" t="str">
        <f>IFERROR(__xludf.DUMMYFUNCTION("""COMPUTED_VALUE"""),"Denise Brown")</f>
        <v>Denise Brown</v>
      </c>
      <c r="C3255" s="24">
        <f>IFERROR(__xludf.DUMMYFUNCTION("""COMPUTED_VALUE"""),41.0)</f>
        <v>41</v>
      </c>
      <c r="D3255" s="24"/>
      <c r="F3255" s="23">
        <f>IFERROR(__xludf.DUMMYFUNCTION("""COMPUTED_VALUE"""),44866.0)</f>
        <v>44866</v>
      </c>
      <c r="G3255" s="24" t="str">
        <f>IFERROR(__xludf.DUMMYFUNCTION("""COMPUTED_VALUE"""),"Marci")</f>
        <v>Marci</v>
      </c>
      <c r="H3255" s="24">
        <f>IFERROR(__xludf.DUMMYFUNCTION("""COMPUTED_VALUE"""),20.0)</f>
        <v>20</v>
      </c>
      <c r="I3255" s="24" t="str">
        <f>IFERROR(__xludf.DUMMYFUNCTION("""COMPUTED_VALUE"""),"Regular (up to 20lbs)")</f>
        <v>Regular (up to 20lbs)</v>
      </c>
    </row>
    <row r="3256">
      <c r="A3256" s="23">
        <f>IFERROR(__xludf.DUMMYFUNCTION("""COMPUTED_VALUE"""),44819.69793773148)</f>
        <v>44819.69794</v>
      </c>
      <c r="B3256" s="24" t="str">
        <f>IFERROR(__xludf.DUMMYFUNCTION("""COMPUTED_VALUE"""),"Jean.  Extra")</f>
        <v>Jean.  Extra</v>
      </c>
      <c r="C3256" s="24">
        <f>IFERROR(__xludf.DUMMYFUNCTION("""COMPUTED_VALUE"""),16.0)</f>
        <v>16</v>
      </c>
      <c r="D3256" s="24"/>
      <c r="F3256" s="23">
        <f>IFERROR(__xludf.DUMMYFUNCTION("""COMPUTED_VALUE"""),44866.0)</f>
        <v>44866</v>
      </c>
      <c r="G3256" s="24" t="str">
        <f>IFERROR(__xludf.DUMMYFUNCTION("""COMPUTED_VALUE"""),"Marci")</f>
        <v>Marci</v>
      </c>
      <c r="H3256" s="24">
        <f>IFERROR(__xludf.DUMMYFUNCTION("""COMPUTED_VALUE"""),53.0)</f>
        <v>53</v>
      </c>
      <c r="I3256" s="24" t="str">
        <f>IFERROR(__xludf.DUMMYFUNCTION("""COMPUTED_VALUE"""),"Damage/expired/extra")</f>
        <v>Damage/expired/extra</v>
      </c>
    </row>
    <row r="3257">
      <c r="A3257" s="23">
        <f>IFERROR(__xludf.DUMMYFUNCTION("""COMPUTED_VALUE"""),44819.698156956016)</f>
        <v>44819.69816</v>
      </c>
      <c r="B3257" s="24" t="str">
        <f>IFERROR(__xludf.DUMMYFUNCTION("""COMPUTED_VALUE"""),"Norma")</f>
        <v>Norma</v>
      </c>
      <c r="C3257" s="24">
        <f>IFERROR(__xludf.DUMMYFUNCTION("""COMPUTED_VALUE"""),13.0)</f>
        <v>13</v>
      </c>
      <c r="D3257" s="24"/>
      <c r="F3257" s="23">
        <f>IFERROR(__xludf.DUMMYFUNCTION("""COMPUTED_VALUE"""),44866.0)</f>
        <v>44866</v>
      </c>
      <c r="G3257" s="24" t="str">
        <f>IFERROR(__xludf.DUMMYFUNCTION("""COMPUTED_VALUE"""),"Susan larson")</f>
        <v>Susan larson</v>
      </c>
      <c r="H3257" s="24">
        <f>IFERROR(__xludf.DUMMYFUNCTION("""COMPUTED_VALUE"""),25.0)</f>
        <v>25</v>
      </c>
      <c r="I3257" s="24" t="str">
        <f>IFERROR(__xludf.DUMMYFUNCTION("""COMPUTED_VALUE"""),"Damage/expired/extra")</f>
        <v>Damage/expired/extra</v>
      </c>
    </row>
    <row r="3258">
      <c r="A3258" s="23">
        <f>IFERROR(__xludf.DUMMYFUNCTION("""COMPUTED_VALUE"""),44819.698779756945)</f>
        <v>44819.69878</v>
      </c>
      <c r="B3258" s="24" t="str">
        <f>IFERROR(__xludf.DUMMYFUNCTION("""COMPUTED_VALUE"""),"Jean")</f>
        <v>Jean</v>
      </c>
      <c r="C3258" s="24">
        <f>IFERROR(__xludf.DUMMYFUNCTION("""COMPUTED_VALUE"""),32.0)</f>
        <v>32</v>
      </c>
      <c r="D3258" s="24"/>
      <c r="F3258" s="23">
        <f>IFERROR(__xludf.DUMMYFUNCTION("""COMPUTED_VALUE"""),44866.67804690972)</f>
        <v>44866.67805</v>
      </c>
      <c r="G3258" s="24" t="str">
        <f>IFERROR(__xludf.DUMMYFUNCTION("""COMPUTED_VALUE"""),"Beverly")</f>
        <v>Beverly</v>
      </c>
      <c r="H3258" s="24">
        <f>IFERROR(__xludf.DUMMYFUNCTION("""COMPUTED_VALUE"""),1590.0)</f>
        <v>1590</v>
      </c>
      <c r="I3258" s="24" t="str">
        <f>IFERROR(__xludf.DUMMYFUNCTION("""COMPUTED_VALUE"""),"Jean Shiers")</f>
        <v>Jean Shiers</v>
      </c>
    </row>
    <row r="3259">
      <c r="A3259" s="23">
        <f>IFERROR(__xludf.DUMMYFUNCTION("""COMPUTED_VALUE"""),44819.86643475694)</f>
        <v>44819.86643</v>
      </c>
      <c r="B3259" s="24" t="str">
        <f>IFERROR(__xludf.DUMMYFUNCTION("""COMPUTED_VALUE"""),"Sheneil")</f>
        <v>Sheneil</v>
      </c>
      <c r="C3259" s="24">
        <f>IFERROR(__xludf.DUMMYFUNCTION("""COMPUTED_VALUE"""),20.0)</f>
        <v>20</v>
      </c>
      <c r="D3259" s="24"/>
      <c r="F3259" s="23">
        <f>IFERROR(__xludf.DUMMYFUNCTION("""COMPUTED_VALUE"""),44866.67953988426)</f>
        <v>44866.67954</v>
      </c>
      <c r="G3259" s="24" t="str">
        <f>IFERROR(__xludf.DUMMYFUNCTION("""COMPUTED_VALUE"""),"Beverly")</f>
        <v>Beverly</v>
      </c>
      <c r="H3259" s="24">
        <f>IFERROR(__xludf.DUMMYFUNCTION("""COMPUTED_VALUE"""),1490.0)</f>
        <v>1490</v>
      </c>
      <c r="I3259" s="24" t="str">
        <f>IFERROR(__xludf.DUMMYFUNCTION("""COMPUTED_VALUE"""),"Jean Shiers")</f>
        <v>Jean Shiers</v>
      </c>
    </row>
    <row r="3260">
      <c r="A3260" s="23">
        <f>IFERROR(__xludf.DUMMYFUNCTION("""COMPUTED_VALUE"""),44820.0)</f>
        <v>44820</v>
      </c>
      <c r="B3260" s="24" t="str">
        <f>IFERROR(__xludf.DUMMYFUNCTION("""COMPUTED_VALUE"""),"Juanita Chandler")</f>
        <v>Juanita Chandler</v>
      </c>
      <c r="C3260" s="24">
        <f>IFERROR(__xludf.DUMMYFUNCTION("""COMPUTED_VALUE"""),5.0)</f>
        <v>5</v>
      </c>
      <c r="D3260" s="24"/>
      <c r="F3260" s="23">
        <f>IFERROR(__xludf.DUMMYFUNCTION("""COMPUTED_VALUE"""),44866.68561569445)</f>
        <v>44866.68562</v>
      </c>
      <c r="G3260" s="24" t="str">
        <f>IFERROR(__xludf.DUMMYFUNCTION("""COMPUTED_VALUE"""),"Beverly")</f>
        <v>Beverly</v>
      </c>
      <c r="H3260" s="24">
        <f>IFERROR(__xludf.DUMMYFUNCTION("""COMPUTED_VALUE"""),1671.0)</f>
        <v>1671</v>
      </c>
      <c r="I3260" s="24" t="str">
        <f>IFERROR(__xludf.DUMMYFUNCTION("""COMPUTED_VALUE"""),"Jean Shiers ")</f>
        <v>Jean Shiers </v>
      </c>
    </row>
    <row r="3261">
      <c r="A3261" s="23">
        <f>IFERROR(__xludf.DUMMYFUNCTION("""COMPUTED_VALUE"""),44820.0)</f>
        <v>44820</v>
      </c>
      <c r="B3261" s="24" t="str">
        <f>IFERROR(__xludf.DUMMYFUNCTION("""COMPUTED_VALUE"""),"Juanita Chandler")</f>
        <v>Juanita Chandler</v>
      </c>
      <c r="C3261" s="24">
        <f>IFERROR(__xludf.DUMMYFUNCTION("""COMPUTED_VALUE"""),6.0)</f>
        <v>6</v>
      </c>
      <c r="D3261" s="24"/>
      <c r="F3261" s="23">
        <f>IFERROR(__xludf.DUMMYFUNCTION("""COMPUTED_VALUE"""),44866.68908965278)</f>
        <v>44866.68909</v>
      </c>
      <c r="G3261" s="24" t="str">
        <f>IFERROR(__xludf.DUMMYFUNCTION("""COMPUTED_VALUE"""),"Beverly")</f>
        <v>Beverly</v>
      </c>
      <c r="H3261" s="24">
        <f>IFERROR(__xludf.DUMMYFUNCTION("""COMPUTED_VALUE"""),1511.0)</f>
        <v>1511</v>
      </c>
      <c r="I3261" s="24" t="str">
        <f>IFERROR(__xludf.DUMMYFUNCTION("""COMPUTED_VALUE"""),"Jean Shiers ")</f>
        <v>Jean Shiers </v>
      </c>
    </row>
    <row r="3262">
      <c r="A3262" s="23">
        <f>IFERROR(__xludf.DUMMYFUNCTION("""COMPUTED_VALUE"""),44820.0)</f>
        <v>44820</v>
      </c>
      <c r="B3262" s="24" t="str">
        <f>IFERROR(__xludf.DUMMYFUNCTION("""COMPUTED_VALUE"""),"Beth Torres")</f>
        <v>Beth Torres</v>
      </c>
      <c r="C3262" s="24">
        <f>IFERROR(__xludf.DUMMYFUNCTION("""COMPUTED_VALUE"""),12.0)</f>
        <v>12</v>
      </c>
      <c r="D3262" s="24"/>
      <c r="F3262" s="23">
        <f>IFERROR(__xludf.DUMMYFUNCTION("""COMPUTED_VALUE"""),44866.707308564815)</f>
        <v>44866.70731</v>
      </c>
      <c r="G3262" s="24" t="str">
        <f>IFERROR(__xludf.DUMMYFUNCTION("""COMPUTED_VALUE"""),"Romaine Bouldin ")</f>
        <v>Romaine Bouldin </v>
      </c>
      <c r="H3262" s="24">
        <f>IFERROR(__xludf.DUMMYFUNCTION("""COMPUTED_VALUE"""),16.0)</f>
        <v>16</v>
      </c>
      <c r="I3262" s="24" t="str">
        <f>IFERROR(__xludf.DUMMYFUNCTION("""COMPUTED_VALUE"""),"Regular (up to 20lbs)")</f>
        <v>Regular (up to 20lbs)</v>
      </c>
    </row>
    <row r="3263">
      <c r="A3263" s="23">
        <f>IFERROR(__xludf.DUMMYFUNCTION("""COMPUTED_VALUE"""),44820.0)</f>
        <v>44820</v>
      </c>
      <c r="B3263" s="24" t="str">
        <f>IFERROR(__xludf.DUMMYFUNCTION("""COMPUTED_VALUE"""),"Beth Torres")</f>
        <v>Beth Torres</v>
      </c>
      <c r="C3263" s="24">
        <f>IFERROR(__xludf.DUMMYFUNCTION("""COMPUTED_VALUE"""),21.0)</f>
        <v>21</v>
      </c>
      <c r="D3263" s="24"/>
      <c r="F3263" s="23">
        <f>IFERROR(__xludf.DUMMYFUNCTION("""COMPUTED_VALUE"""),44866.70771665509)</f>
        <v>44866.70772</v>
      </c>
      <c r="G3263" s="24" t="str">
        <f>IFERROR(__xludf.DUMMYFUNCTION("""COMPUTED_VALUE"""),"Beverly Graham ")</f>
        <v>Beverly Graham </v>
      </c>
      <c r="H3263" s="24">
        <f>IFERROR(__xludf.DUMMYFUNCTION("""COMPUTED_VALUE"""),13.0)</f>
        <v>13</v>
      </c>
      <c r="I3263" s="24" t="str">
        <f>IFERROR(__xludf.DUMMYFUNCTION("""COMPUTED_VALUE"""),"Regular (up to 20lbs)")</f>
        <v>Regular (up to 20lbs)</v>
      </c>
    </row>
    <row r="3264">
      <c r="A3264" s="23">
        <f>IFERROR(__xludf.DUMMYFUNCTION("""COMPUTED_VALUE"""),44820.0)</f>
        <v>44820</v>
      </c>
      <c r="B3264" s="24" t="str">
        <f>IFERROR(__xludf.DUMMYFUNCTION("""COMPUTED_VALUE"""),"Marci")</f>
        <v>Marci</v>
      </c>
      <c r="C3264" s="24">
        <f>IFERROR(__xludf.DUMMYFUNCTION("""COMPUTED_VALUE"""),9.0)</f>
        <v>9</v>
      </c>
      <c r="D3264" s="24"/>
      <c r="F3264" s="23">
        <f>IFERROR(__xludf.DUMMYFUNCTION("""COMPUTED_VALUE"""),44866.70776034723)</f>
        <v>44866.70776</v>
      </c>
      <c r="G3264" s="24" t="str">
        <f>IFERROR(__xludf.DUMMYFUNCTION("""COMPUTED_VALUE"""),"Romaine Bouldin ")</f>
        <v>Romaine Bouldin </v>
      </c>
      <c r="H3264" s="24">
        <f>IFERROR(__xludf.DUMMYFUNCTION("""COMPUTED_VALUE"""),6.0)</f>
        <v>6</v>
      </c>
      <c r="I3264" s="24" t="str">
        <f>IFERROR(__xludf.DUMMYFUNCTION("""COMPUTED_VALUE"""),"Damage/expired/extra")</f>
        <v>Damage/expired/extra</v>
      </c>
    </row>
    <row r="3265">
      <c r="A3265" s="23">
        <f>IFERROR(__xludf.DUMMYFUNCTION("""COMPUTED_VALUE"""),44820.0)</f>
        <v>44820</v>
      </c>
      <c r="B3265" s="24" t="str">
        <f>IFERROR(__xludf.DUMMYFUNCTION("""COMPUTED_VALUE"""),"Marci")</f>
        <v>Marci</v>
      </c>
      <c r="C3265" s="24">
        <f>IFERROR(__xludf.DUMMYFUNCTION("""COMPUTED_VALUE"""),8.0)</f>
        <v>8</v>
      </c>
      <c r="D3265" s="24"/>
      <c r="F3265" s="23">
        <f>IFERROR(__xludf.DUMMYFUNCTION("""COMPUTED_VALUE"""),44866.70798099537)</f>
        <v>44866.70798</v>
      </c>
      <c r="G3265" s="24" t="str">
        <f>IFERROR(__xludf.DUMMYFUNCTION("""COMPUTED_VALUE"""),"Beverly Graham")</f>
        <v>Beverly Graham</v>
      </c>
      <c r="H3265" s="24">
        <f>IFERROR(__xludf.DUMMYFUNCTION("""COMPUTED_VALUE"""),8.0)</f>
        <v>8</v>
      </c>
      <c r="I3265" s="24" t="str">
        <f>IFERROR(__xludf.DUMMYFUNCTION("""COMPUTED_VALUE"""),"Damage/expired/extra")</f>
        <v>Damage/expired/extra</v>
      </c>
    </row>
    <row r="3266">
      <c r="A3266" s="23">
        <f>IFERROR(__xludf.DUMMYFUNCTION("""COMPUTED_VALUE"""),44820.709416956015)</f>
        <v>44820.70942</v>
      </c>
      <c r="B3266" s="24" t="str">
        <f>IFERROR(__xludf.DUMMYFUNCTION("""COMPUTED_VALUE"""),"Sunita pathik ")</f>
        <v>Sunita pathik </v>
      </c>
      <c r="C3266" s="24">
        <f>IFERROR(__xludf.DUMMYFUNCTION("""COMPUTED_VALUE"""),3.0)</f>
        <v>3</v>
      </c>
      <c r="D3266" s="24"/>
      <c r="F3266" s="23">
        <f>IFERROR(__xludf.DUMMYFUNCTION("""COMPUTED_VALUE"""),44866.71143368055)</f>
        <v>44866.71143</v>
      </c>
      <c r="G3266" s="24" t="str">
        <f>IFERROR(__xludf.DUMMYFUNCTION("""COMPUTED_VALUE"""),"Susan larson")</f>
        <v>Susan larson</v>
      </c>
      <c r="H3266" s="24">
        <f>IFERROR(__xludf.DUMMYFUNCTION("""COMPUTED_VALUE"""),6.0)</f>
        <v>6</v>
      </c>
      <c r="I3266" s="24" t="str">
        <f>IFERROR(__xludf.DUMMYFUNCTION("""COMPUTED_VALUE"""),"Regular (up to 20lbs)")</f>
        <v>Regular (up to 20lbs)</v>
      </c>
    </row>
    <row r="3267">
      <c r="A3267" s="23">
        <f>IFERROR(__xludf.DUMMYFUNCTION("""COMPUTED_VALUE"""),44820.7105474537)</f>
        <v>44820.71055</v>
      </c>
      <c r="B3267" s="24" t="str">
        <f>IFERROR(__xludf.DUMMYFUNCTION("""COMPUTED_VALUE"""),"Sunita pathik")</f>
        <v>Sunita pathik</v>
      </c>
      <c r="C3267" s="24">
        <f>IFERROR(__xludf.DUMMYFUNCTION("""COMPUTED_VALUE"""),2.0)</f>
        <v>2</v>
      </c>
      <c r="D3267" s="24"/>
      <c r="F3267" s="23">
        <f>IFERROR(__xludf.DUMMYFUNCTION("""COMPUTED_VALUE"""),44866.713175729165)</f>
        <v>44866.71318</v>
      </c>
      <c r="G3267" s="24" t="str">
        <f>IFERROR(__xludf.DUMMYFUNCTION("""COMPUTED_VALUE"""),"Beverly Pinn")</f>
        <v>Beverly Pinn</v>
      </c>
      <c r="H3267" s="24">
        <f>IFERROR(__xludf.DUMMYFUNCTION("""COMPUTED_VALUE"""),16.0)</f>
        <v>16</v>
      </c>
      <c r="I3267" s="24" t="str">
        <f>IFERROR(__xludf.DUMMYFUNCTION("""COMPUTED_VALUE"""),"Regular (up to 20lbs)")</f>
        <v>Regular (up to 20lbs)</v>
      </c>
    </row>
    <row r="3268">
      <c r="A3268" s="23">
        <f>IFERROR(__xludf.DUMMYFUNCTION("""COMPUTED_VALUE"""),44821.0)</f>
        <v>44821</v>
      </c>
      <c r="B3268" s="24" t="str">
        <f>IFERROR(__xludf.DUMMYFUNCTION("""COMPUTED_VALUE"""),"Emily Stucke")</f>
        <v>Emily Stucke</v>
      </c>
      <c r="C3268" s="24">
        <f>IFERROR(__xludf.DUMMYFUNCTION("""COMPUTED_VALUE"""),4.0)</f>
        <v>4</v>
      </c>
      <c r="D3268" s="24"/>
      <c r="F3268" s="23">
        <f>IFERROR(__xludf.DUMMYFUNCTION("""COMPUTED_VALUE"""),44866.71334184028)</f>
        <v>44866.71334</v>
      </c>
      <c r="G3268" s="24" t="str">
        <f>IFERROR(__xludf.DUMMYFUNCTION("""COMPUTED_VALUE"""),"Beverly Pinn")</f>
        <v>Beverly Pinn</v>
      </c>
      <c r="H3268" s="24">
        <f>IFERROR(__xludf.DUMMYFUNCTION("""COMPUTED_VALUE"""),25.0)</f>
        <v>25</v>
      </c>
      <c r="I3268" s="24" t="str">
        <f>IFERROR(__xludf.DUMMYFUNCTION("""COMPUTED_VALUE"""),"Damage/expired/extra")</f>
        <v>Damage/expired/extra</v>
      </c>
    </row>
    <row r="3269">
      <c r="A3269" s="23">
        <f>IFERROR(__xludf.DUMMYFUNCTION("""COMPUTED_VALUE"""),44821.0)</f>
        <v>44821</v>
      </c>
      <c r="B3269" s="24" t="str">
        <f>IFERROR(__xludf.DUMMYFUNCTION("""COMPUTED_VALUE"""),"Lee Little")</f>
        <v>Lee Little</v>
      </c>
      <c r="C3269" s="24">
        <f>IFERROR(__xludf.DUMMYFUNCTION("""COMPUTED_VALUE"""),13.0)</f>
        <v>13</v>
      </c>
      <c r="D3269" s="24"/>
      <c r="F3269" s="23">
        <f>IFERROR(__xludf.DUMMYFUNCTION("""COMPUTED_VALUE"""),44866.71479064815)</f>
        <v>44866.71479</v>
      </c>
      <c r="G3269" s="24" t="str">
        <f>IFERROR(__xludf.DUMMYFUNCTION("""COMPUTED_VALUE"""),"Jean")</f>
        <v>Jean</v>
      </c>
      <c r="H3269" s="24">
        <f>IFERROR(__xludf.DUMMYFUNCTION("""COMPUTED_VALUE"""),32.0)</f>
        <v>32</v>
      </c>
      <c r="I3269" s="24" t="str">
        <f>IFERROR(__xludf.DUMMYFUNCTION("""COMPUTED_VALUE"""),"Damage/expired/extra")</f>
        <v>Damage/expired/extra</v>
      </c>
    </row>
    <row r="3270">
      <c r="A3270" s="23">
        <f>IFERROR(__xludf.DUMMYFUNCTION("""COMPUTED_VALUE"""),44821.0)</f>
        <v>44821</v>
      </c>
      <c r="B3270" s="24" t="str">
        <f>IFERROR(__xludf.DUMMYFUNCTION("""COMPUTED_VALUE"""),"Janet Lomax")</f>
        <v>Janet Lomax</v>
      </c>
      <c r="C3270" s="24">
        <f>IFERROR(__xludf.DUMMYFUNCTION("""COMPUTED_VALUE"""),20.0)</f>
        <v>20</v>
      </c>
      <c r="D3270" s="24"/>
      <c r="F3270" s="23">
        <f>IFERROR(__xludf.DUMMYFUNCTION("""COMPUTED_VALUE"""),44866.71501447917)</f>
        <v>44866.71501</v>
      </c>
      <c r="G3270" s="24" t="str">
        <f>IFERROR(__xludf.DUMMYFUNCTION("""COMPUTED_VALUE"""),"Jean")</f>
        <v>Jean</v>
      </c>
      <c r="H3270" s="24">
        <f>IFERROR(__xludf.DUMMYFUNCTION("""COMPUTED_VALUE"""),16.0)</f>
        <v>16</v>
      </c>
      <c r="I3270" s="24" t="str">
        <f>IFERROR(__xludf.DUMMYFUNCTION("""COMPUTED_VALUE"""),"Regular (up to 20lbs)")</f>
        <v>Regular (up to 20lbs)</v>
      </c>
    </row>
    <row r="3271">
      <c r="A3271" s="23">
        <f>IFERROR(__xludf.DUMMYFUNCTION("""COMPUTED_VALUE"""),44821.0)</f>
        <v>44821</v>
      </c>
      <c r="B3271" s="24" t="str">
        <f>IFERROR(__xludf.DUMMYFUNCTION("""COMPUTED_VALUE"""),"Denise Brown")</f>
        <v>Denise Brown</v>
      </c>
      <c r="C3271" s="24">
        <f>IFERROR(__xludf.DUMMYFUNCTION("""COMPUTED_VALUE"""),12.0)</f>
        <v>12</v>
      </c>
      <c r="D3271" s="24"/>
      <c r="F3271" s="23">
        <f>IFERROR(__xludf.DUMMYFUNCTION("""COMPUTED_VALUE"""),44866.71551204861)</f>
        <v>44866.71551</v>
      </c>
      <c r="G3271" s="24" t="str">
        <f>IFERROR(__xludf.DUMMYFUNCTION("""COMPUTED_VALUE"""),"Anna West")</f>
        <v>Anna West</v>
      </c>
      <c r="H3271" s="24">
        <f>IFERROR(__xludf.DUMMYFUNCTION("""COMPUTED_VALUE"""),18.0)</f>
        <v>18</v>
      </c>
      <c r="I3271" s="24" t="str">
        <f>IFERROR(__xludf.DUMMYFUNCTION("""COMPUTED_VALUE"""),"Regular (up to 20lbs)")</f>
        <v>Regular (up to 20lbs)</v>
      </c>
    </row>
    <row r="3272">
      <c r="A3272" s="23">
        <f>IFERROR(__xludf.DUMMYFUNCTION("""COMPUTED_VALUE"""),44821.0)</f>
        <v>44821</v>
      </c>
      <c r="B3272" s="24" t="str">
        <f>IFERROR(__xludf.DUMMYFUNCTION("""COMPUTED_VALUE"""),"Cheryl Utsey")</f>
        <v>Cheryl Utsey</v>
      </c>
      <c r="C3272" s="24">
        <f>IFERROR(__xludf.DUMMYFUNCTION("""COMPUTED_VALUE"""),20.0)</f>
        <v>20</v>
      </c>
      <c r="D3272" s="24"/>
      <c r="F3272" s="23">
        <f>IFERROR(__xludf.DUMMYFUNCTION("""COMPUTED_VALUE"""),44866.715653125)</f>
        <v>44866.71565</v>
      </c>
      <c r="G3272" s="24" t="str">
        <f>IFERROR(__xludf.DUMMYFUNCTION("""COMPUTED_VALUE"""),"Anna West")</f>
        <v>Anna West</v>
      </c>
      <c r="H3272" s="24">
        <f>IFERROR(__xludf.DUMMYFUNCTION("""COMPUTED_VALUE"""),26.0)</f>
        <v>26</v>
      </c>
      <c r="I3272" s="24" t="str">
        <f>IFERROR(__xludf.DUMMYFUNCTION("""COMPUTED_VALUE"""),"Damage/expired/extra")</f>
        <v>Damage/expired/extra</v>
      </c>
    </row>
    <row r="3273">
      <c r="A3273" s="23">
        <f>IFERROR(__xludf.DUMMYFUNCTION("""COMPUTED_VALUE"""),44821.0)</f>
        <v>44821</v>
      </c>
      <c r="B3273" s="24" t="str">
        <f>IFERROR(__xludf.DUMMYFUNCTION("""COMPUTED_VALUE"""),"Juanita Chandler")</f>
        <v>Juanita Chandler</v>
      </c>
      <c r="C3273" s="24">
        <f>IFERROR(__xludf.DUMMYFUNCTION("""COMPUTED_VALUE"""),8.0)</f>
        <v>8</v>
      </c>
      <c r="D3273" s="24"/>
      <c r="F3273" s="23">
        <f>IFERROR(__xludf.DUMMYFUNCTION("""COMPUTED_VALUE"""),44867.0)</f>
        <v>44867</v>
      </c>
      <c r="G3273" s="24" t="str">
        <f>IFERROR(__xludf.DUMMYFUNCTION("""COMPUTED_VALUE"""),"Sarah Krensky")</f>
        <v>Sarah Krensky</v>
      </c>
      <c r="H3273" s="24">
        <f>IFERROR(__xludf.DUMMYFUNCTION("""COMPUTED_VALUE"""),25.0)</f>
        <v>25</v>
      </c>
      <c r="I3273" s="24" t="str">
        <f>IFERROR(__xludf.DUMMYFUNCTION("""COMPUTED_VALUE"""),"Regular (up to 20lbs)")</f>
        <v>Regular (up to 20lbs)</v>
      </c>
    </row>
    <row r="3274">
      <c r="A3274" s="23">
        <f>IFERROR(__xludf.DUMMYFUNCTION("""COMPUTED_VALUE"""),44821.0)</f>
        <v>44821</v>
      </c>
      <c r="B3274" s="24" t="str">
        <f>IFERROR(__xludf.DUMMYFUNCTION("""COMPUTED_VALUE"""),"Gabriela Cortez")</f>
        <v>Gabriela Cortez</v>
      </c>
      <c r="C3274" s="24">
        <f>IFERROR(__xludf.DUMMYFUNCTION("""COMPUTED_VALUE"""),14.0)</f>
        <v>14</v>
      </c>
      <c r="D3274" s="24"/>
      <c r="F3274" s="23">
        <f>IFERROR(__xludf.DUMMYFUNCTION("""COMPUTED_VALUE"""),44867.0)</f>
        <v>44867</v>
      </c>
      <c r="G3274" s="24" t="str">
        <f>IFERROR(__xludf.DUMMYFUNCTION("""COMPUTED_VALUE"""),"Juantia Chandler")</f>
        <v>Juantia Chandler</v>
      </c>
      <c r="H3274" s="24">
        <f>IFERROR(__xludf.DUMMYFUNCTION("""COMPUTED_VALUE"""),7.0)</f>
        <v>7</v>
      </c>
      <c r="I3274" s="24" t="str">
        <f>IFERROR(__xludf.DUMMYFUNCTION("""COMPUTED_VALUE"""),"Regular (up to 20lbs)")</f>
        <v>Regular (up to 20lbs)</v>
      </c>
    </row>
    <row r="3275">
      <c r="A3275" s="23">
        <f>IFERROR(__xludf.DUMMYFUNCTION("""COMPUTED_VALUE"""),44821.0)</f>
        <v>44821</v>
      </c>
      <c r="B3275" s="24" t="str">
        <f>IFERROR(__xludf.DUMMYFUNCTION("""COMPUTED_VALUE"""),"Gilda Castillo")</f>
        <v>Gilda Castillo</v>
      </c>
      <c r="C3275" s="24">
        <f>IFERROR(__xludf.DUMMYFUNCTION("""COMPUTED_VALUE"""),20.0)</f>
        <v>20</v>
      </c>
      <c r="D3275" s="24"/>
      <c r="F3275" s="23">
        <f>IFERROR(__xludf.DUMMYFUNCTION("""COMPUTED_VALUE"""),44867.0)</f>
        <v>44867</v>
      </c>
      <c r="G3275" s="24" t="str">
        <f>IFERROR(__xludf.DUMMYFUNCTION("""COMPUTED_VALUE"""),"Juanita Chandler ")</f>
        <v>Juanita Chandler </v>
      </c>
      <c r="H3275" s="24">
        <f>IFERROR(__xludf.DUMMYFUNCTION("""COMPUTED_VALUE"""),16.0)</f>
        <v>16</v>
      </c>
      <c r="I3275" s="24" t="str">
        <f>IFERROR(__xludf.DUMMYFUNCTION("""COMPUTED_VALUE"""),"Damage/expired/extra")</f>
        <v>Damage/expired/extra</v>
      </c>
    </row>
    <row r="3276">
      <c r="A3276" s="23">
        <f>IFERROR(__xludf.DUMMYFUNCTION("""COMPUTED_VALUE"""),44821.0)</f>
        <v>44821</v>
      </c>
      <c r="B3276" s="24" t="str">
        <f>IFERROR(__xludf.DUMMYFUNCTION("""COMPUTED_VALUE"""),"Angeles Cortes")</f>
        <v>Angeles Cortes</v>
      </c>
      <c r="C3276" s="24">
        <f>IFERROR(__xludf.DUMMYFUNCTION("""COMPUTED_VALUE"""),20.0)</f>
        <v>20</v>
      </c>
      <c r="D3276" s="24"/>
      <c r="F3276" s="23">
        <f>IFERROR(__xludf.DUMMYFUNCTION("""COMPUTED_VALUE"""),44867.0)</f>
        <v>44867</v>
      </c>
      <c r="G3276" s="24" t="str">
        <f>IFERROR(__xludf.DUMMYFUNCTION("""COMPUTED_VALUE"""),"Karen Moore")</f>
        <v>Karen Moore</v>
      </c>
      <c r="H3276" s="24">
        <f>IFERROR(__xludf.DUMMYFUNCTION("""COMPUTED_VALUE"""),16.0)</f>
        <v>16</v>
      </c>
      <c r="I3276" s="24" t="str">
        <f>IFERROR(__xludf.DUMMYFUNCTION("""COMPUTED_VALUE"""),"Regular (up to 20lbs)")</f>
        <v>Regular (up to 20lbs)</v>
      </c>
    </row>
    <row r="3277">
      <c r="A3277" s="23">
        <f>IFERROR(__xludf.DUMMYFUNCTION("""COMPUTED_VALUE"""),44821.0)</f>
        <v>44821</v>
      </c>
      <c r="B3277" s="24" t="str">
        <f>IFERROR(__xludf.DUMMYFUNCTION("""COMPUTED_VALUE"""),"Angeles Cortes")</f>
        <v>Angeles Cortes</v>
      </c>
      <c r="C3277" s="24">
        <f>IFERROR(__xludf.DUMMYFUNCTION("""COMPUTED_VALUE"""),4.0)</f>
        <v>4</v>
      </c>
      <c r="D3277" s="24"/>
      <c r="F3277" s="23">
        <f>IFERROR(__xludf.DUMMYFUNCTION("""COMPUTED_VALUE"""),44867.0)</f>
        <v>44867</v>
      </c>
      <c r="G3277" s="24" t="str">
        <f>IFERROR(__xludf.DUMMYFUNCTION("""COMPUTED_VALUE"""),"Karen Moore")</f>
        <v>Karen Moore</v>
      </c>
      <c r="H3277" s="24">
        <f>IFERROR(__xludf.DUMMYFUNCTION("""COMPUTED_VALUE"""),85.0)</f>
        <v>85</v>
      </c>
      <c r="I3277" s="24" t="str">
        <f>IFERROR(__xludf.DUMMYFUNCTION("""COMPUTED_VALUE"""),"Damage/expired/extra")</f>
        <v>Damage/expired/extra</v>
      </c>
    </row>
    <row r="3278">
      <c r="A3278" s="23">
        <f>IFERROR(__xludf.DUMMYFUNCTION("""COMPUTED_VALUE"""),44821.0)</f>
        <v>44821</v>
      </c>
      <c r="B3278" s="24" t="str">
        <f>IFERROR(__xludf.DUMMYFUNCTION("""COMPUTED_VALUE"""),"Theresa Columbus")</f>
        <v>Theresa Columbus</v>
      </c>
      <c r="C3278" s="24">
        <f>IFERROR(__xludf.DUMMYFUNCTION("""COMPUTED_VALUE"""),18.0)</f>
        <v>18</v>
      </c>
      <c r="D3278" s="24"/>
      <c r="F3278" s="23">
        <f>IFERROR(__xludf.DUMMYFUNCTION("""COMPUTED_VALUE"""),44867.60049885417)</f>
        <v>44867.6005</v>
      </c>
      <c r="G3278" s="24" t="str">
        <f>IFERROR(__xludf.DUMMYFUNCTION("""COMPUTED_VALUE"""),"Bud Stracker - personal ")</f>
        <v>Bud Stracker - personal </v>
      </c>
      <c r="H3278" s="24">
        <f>IFERROR(__xludf.DUMMYFUNCTION("""COMPUTED_VALUE"""),6.0)</f>
        <v>6</v>
      </c>
      <c r="I3278" s="24" t="str">
        <f>IFERROR(__xludf.DUMMYFUNCTION("""COMPUTED_VALUE"""),"Regular (up to 20lbs)")</f>
        <v>Regular (up to 20lbs)</v>
      </c>
    </row>
    <row r="3279">
      <c r="A3279" s="23">
        <f>IFERROR(__xludf.DUMMYFUNCTION("""COMPUTED_VALUE"""),44821.0)</f>
        <v>44821</v>
      </c>
      <c r="B3279" s="24" t="str">
        <f>IFERROR(__xludf.DUMMYFUNCTION("""COMPUTED_VALUE"""),"Theresa Columbus")</f>
        <v>Theresa Columbus</v>
      </c>
      <c r="C3279" s="24">
        <f>IFERROR(__xludf.DUMMYFUNCTION("""COMPUTED_VALUE"""),8.0)</f>
        <v>8</v>
      </c>
      <c r="D3279" s="24"/>
      <c r="F3279" s="23">
        <f>IFERROR(__xludf.DUMMYFUNCTION("""COMPUTED_VALUE"""),44867.60109417824)</f>
        <v>44867.60109</v>
      </c>
      <c r="G3279" s="24" t="str">
        <f>IFERROR(__xludf.DUMMYFUNCTION("""COMPUTED_VALUE"""),"Bud - Sisson st dpw drinks ")</f>
        <v>Bud - Sisson st dpw drinks </v>
      </c>
      <c r="H3279" s="24">
        <f>IFERROR(__xludf.DUMMYFUNCTION("""COMPUTED_VALUE"""),7.0)</f>
        <v>7</v>
      </c>
      <c r="I3279" s="24" t="str">
        <f>IFERROR(__xludf.DUMMYFUNCTION("""COMPUTED_VALUE"""),"Regular (up to 20lbs)")</f>
        <v>Regular (up to 20lbs)</v>
      </c>
    </row>
    <row r="3280">
      <c r="A3280" s="23">
        <f>IFERROR(__xludf.DUMMYFUNCTION("""COMPUTED_VALUE"""),44821.0)</f>
        <v>44821</v>
      </c>
      <c r="B3280" s="24" t="str">
        <f>IFERROR(__xludf.DUMMYFUNCTION("""COMPUTED_VALUE"""),"Clarice Cook")</f>
        <v>Clarice Cook</v>
      </c>
      <c r="C3280" s="24">
        <f>IFERROR(__xludf.DUMMYFUNCTION("""COMPUTED_VALUE"""),31.0)</f>
        <v>31</v>
      </c>
      <c r="D3280" s="24"/>
      <c r="F3280" s="23">
        <f>IFERROR(__xludf.DUMMYFUNCTION("""COMPUTED_VALUE"""),44867.80098094907)</f>
        <v>44867.80098</v>
      </c>
      <c r="G3280" s="24" t="str">
        <f>IFERROR(__xludf.DUMMYFUNCTION("""COMPUTED_VALUE"""),"Claire")</f>
        <v>Claire</v>
      </c>
      <c r="H3280" s="24">
        <f>IFERROR(__xludf.DUMMYFUNCTION("""COMPUTED_VALUE"""),513.0)</f>
        <v>513</v>
      </c>
      <c r="I3280" s="24" t="str">
        <f>IFERROR(__xludf.DUMMYFUNCTION("""COMPUTED_VALUE"""),"First Fruits Farm")</f>
        <v>First Fruits Farm</v>
      </c>
    </row>
    <row r="3281">
      <c r="A3281" s="23">
        <f>IFERROR(__xludf.DUMMYFUNCTION("""COMPUTED_VALUE"""),44821.68608674768)</f>
        <v>44821.68609</v>
      </c>
      <c r="B3281" s="24" t="str">
        <f>IFERROR(__xludf.DUMMYFUNCTION("""COMPUTED_VALUE"""),"Theresa Keil")</f>
        <v>Theresa Keil</v>
      </c>
      <c r="C3281" s="24">
        <f>IFERROR(__xludf.DUMMYFUNCTION("""COMPUTED_VALUE"""),30.0)</f>
        <v>30</v>
      </c>
      <c r="D3281" s="24"/>
      <c r="F3281" s="23">
        <f>IFERROR(__xludf.DUMMYFUNCTION("""COMPUTED_VALUE"""),44867.801619375)</f>
        <v>44867.80162</v>
      </c>
      <c r="G3281" s="24" t="str">
        <f>IFERROR(__xludf.DUMMYFUNCTION("""COMPUTED_VALUE"""),"Claire")</f>
        <v>Claire</v>
      </c>
      <c r="H3281" s="24">
        <f>IFERROR(__xludf.DUMMYFUNCTION("""COMPUTED_VALUE"""),1372.0)</f>
        <v>1372</v>
      </c>
      <c r="I3281" s="24" t="str">
        <f>IFERROR(__xludf.DUMMYFUNCTION("""COMPUTED_VALUE"""),"First Fruits Farm")</f>
        <v>First Fruits Farm</v>
      </c>
    </row>
    <row r="3282">
      <c r="A3282" s="23">
        <f>IFERROR(__xludf.DUMMYFUNCTION("""COMPUTED_VALUE"""),44821.705332592595)</f>
        <v>44821.70533</v>
      </c>
      <c r="B3282" s="24" t="str">
        <f>IFERROR(__xludf.DUMMYFUNCTION("""COMPUTED_VALUE"""),"nathan")</f>
        <v>nathan</v>
      </c>
      <c r="C3282" s="24">
        <f>IFERROR(__xludf.DUMMYFUNCTION("""COMPUTED_VALUE"""),17.0)</f>
        <v>17</v>
      </c>
      <c r="D3282" s="24"/>
      <c r="F3282" s="23">
        <f>IFERROR(__xludf.DUMMYFUNCTION("""COMPUTED_VALUE"""),44867.80202166667)</f>
        <v>44867.80202</v>
      </c>
      <c r="G3282" s="24" t="str">
        <f>IFERROR(__xludf.DUMMYFUNCTION("""COMPUTED_VALUE"""),"Claire")</f>
        <v>Claire</v>
      </c>
      <c r="H3282" s="24">
        <f>IFERROR(__xludf.DUMMYFUNCTION("""COMPUTED_VALUE"""),1480.0)</f>
        <v>1480</v>
      </c>
      <c r="I3282" s="24" t="str">
        <f>IFERROR(__xludf.DUMMYFUNCTION("""COMPUTED_VALUE"""),"First Fruits Farm")</f>
        <v>First Fruits Farm</v>
      </c>
    </row>
    <row r="3283">
      <c r="A3283" s="23">
        <f>IFERROR(__xludf.DUMMYFUNCTION("""COMPUTED_VALUE"""),44821.70629525463)</f>
        <v>44821.7063</v>
      </c>
      <c r="B3283" s="24" t="str">
        <f>IFERROR(__xludf.DUMMYFUNCTION("""COMPUTED_VALUE"""),"Yvette wilson")</f>
        <v>Yvette wilson</v>
      </c>
      <c r="C3283" s="24">
        <f>IFERROR(__xludf.DUMMYFUNCTION("""COMPUTED_VALUE"""),20.0)</f>
        <v>20</v>
      </c>
      <c r="D3283" s="24"/>
      <c r="F3283" s="23">
        <f>IFERROR(__xludf.DUMMYFUNCTION("""COMPUTED_VALUE"""),44867.802310347215)</f>
        <v>44867.80231</v>
      </c>
      <c r="G3283" s="24" t="str">
        <f>IFERROR(__xludf.DUMMYFUNCTION("""COMPUTED_VALUE"""),"Claire")</f>
        <v>Claire</v>
      </c>
      <c r="H3283" s="24">
        <f>IFERROR(__xludf.DUMMYFUNCTION("""COMPUTED_VALUE"""),573.0)</f>
        <v>573</v>
      </c>
      <c r="I3283" s="24" t="str">
        <f>IFERROR(__xludf.DUMMYFUNCTION("""COMPUTED_VALUE"""),"First Fruits Farm")</f>
        <v>First Fruits Farm</v>
      </c>
    </row>
    <row r="3284">
      <c r="A3284" s="23">
        <f>IFERROR(__xludf.DUMMYFUNCTION("""COMPUTED_VALUE"""),44821.707504537044)</f>
        <v>44821.7075</v>
      </c>
      <c r="B3284" s="24" t="str">
        <f>IFERROR(__xludf.DUMMYFUNCTION("""COMPUTED_VALUE"""),"Beverly Pinn")</f>
        <v>Beverly Pinn</v>
      </c>
      <c r="C3284" s="24">
        <f>IFERROR(__xludf.DUMMYFUNCTION("""COMPUTED_VALUE"""),11.0)</f>
        <v>11</v>
      </c>
      <c r="D3284" s="24"/>
      <c r="F3284" s="23">
        <f>IFERROR(__xludf.DUMMYFUNCTION("""COMPUTED_VALUE"""),44867.802703125)</f>
        <v>44867.8027</v>
      </c>
      <c r="G3284" s="24" t="str">
        <f>IFERROR(__xludf.DUMMYFUNCTION("""COMPUTED_VALUE"""),"Claire")</f>
        <v>Claire</v>
      </c>
      <c r="H3284" s="24">
        <f>IFERROR(__xludf.DUMMYFUNCTION("""COMPUTED_VALUE"""),568.0)</f>
        <v>568</v>
      </c>
      <c r="I3284" s="24" t="str">
        <f>IFERROR(__xludf.DUMMYFUNCTION("""COMPUTED_VALUE"""),"First Fruits Farm")</f>
        <v>First Fruits Farm</v>
      </c>
    </row>
    <row r="3285">
      <c r="A3285" s="23">
        <f>IFERROR(__xludf.DUMMYFUNCTION("""COMPUTED_VALUE"""),44821.70803761574)</f>
        <v>44821.70804</v>
      </c>
      <c r="B3285" s="24" t="str">
        <f>IFERROR(__xludf.DUMMYFUNCTION("""COMPUTED_VALUE"""),"Sara B. ")</f>
        <v>Sara B. </v>
      </c>
      <c r="C3285" s="24">
        <f>IFERROR(__xludf.DUMMYFUNCTION("""COMPUTED_VALUE"""),11.0)</f>
        <v>11</v>
      </c>
      <c r="D3285" s="24"/>
      <c r="F3285" s="23">
        <f>IFERROR(__xludf.DUMMYFUNCTION("""COMPUTED_VALUE"""),44867.80299888889)</f>
        <v>44867.803</v>
      </c>
      <c r="G3285" s="24" t="str">
        <f>IFERROR(__xludf.DUMMYFUNCTION("""COMPUTED_VALUE"""),"Claire")</f>
        <v>Claire</v>
      </c>
      <c r="H3285" s="24">
        <f>IFERROR(__xludf.DUMMYFUNCTION("""COMPUTED_VALUE"""),590.0)</f>
        <v>590</v>
      </c>
      <c r="I3285" s="24" t="str">
        <f>IFERROR(__xludf.DUMMYFUNCTION("""COMPUTED_VALUE"""),"First Fruits Farm")</f>
        <v>First Fruits Farm</v>
      </c>
    </row>
    <row r="3286">
      <c r="A3286" s="23">
        <f>IFERROR(__xludf.DUMMYFUNCTION("""COMPUTED_VALUE"""),44821.70817092592)</f>
        <v>44821.70817</v>
      </c>
      <c r="B3286" s="24" t="str">
        <f>IFERROR(__xludf.DUMMYFUNCTION("""COMPUTED_VALUE"""),"Beverly Pinn")</f>
        <v>Beverly Pinn</v>
      </c>
      <c r="C3286" s="24">
        <f>IFERROR(__xludf.DUMMYFUNCTION("""COMPUTED_VALUE"""),2.0)</f>
        <v>2</v>
      </c>
      <c r="D3286" s="24"/>
      <c r="F3286" s="23">
        <f>IFERROR(__xludf.DUMMYFUNCTION("""COMPUTED_VALUE"""),44867.803257534724)</f>
        <v>44867.80326</v>
      </c>
      <c r="G3286" s="24" t="str">
        <f>IFERROR(__xludf.DUMMYFUNCTION("""COMPUTED_VALUE"""),"Claire")</f>
        <v>Claire</v>
      </c>
      <c r="H3286" s="24">
        <f>IFERROR(__xludf.DUMMYFUNCTION("""COMPUTED_VALUE"""),510.0)</f>
        <v>510</v>
      </c>
      <c r="I3286" s="24" t="str">
        <f>IFERROR(__xludf.DUMMYFUNCTION("""COMPUTED_VALUE"""),"First Fruits Farm")</f>
        <v>First Fruits Farm</v>
      </c>
    </row>
    <row r="3287">
      <c r="A3287" s="23">
        <f>IFERROR(__xludf.DUMMYFUNCTION("""COMPUTED_VALUE"""),44821.70824961806)</f>
        <v>44821.70825</v>
      </c>
      <c r="B3287" s="24" t="str">
        <f>IFERROR(__xludf.DUMMYFUNCTION("""COMPUTED_VALUE"""),"Dean Chien")</f>
        <v>Dean Chien</v>
      </c>
      <c r="C3287" s="24">
        <f>IFERROR(__xludf.DUMMYFUNCTION("""COMPUTED_VALUE"""),18.0)</f>
        <v>18</v>
      </c>
      <c r="D3287" s="24"/>
      <c r="F3287" s="23">
        <f>IFERROR(__xludf.DUMMYFUNCTION("""COMPUTED_VALUE"""),44867.80350795139)</f>
        <v>44867.80351</v>
      </c>
      <c r="G3287" s="24" t="str">
        <f>IFERROR(__xludf.DUMMYFUNCTION("""COMPUTED_VALUE"""),"Claire")</f>
        <v>Claire</v>
      </c>
      <c r="H3287" s="24">
        <f>IFERROR(__xludf.DUMMYFUNCTION("""COMPUTED_VALUE"""),518.0)</f>
        <v>518</v>
      </c>
      <c r="I3287" s="24" t="str">
        <f>IFERROR(__xludf.DUMMYFUNCTION("""COMPUTED_VALUE"""),"First Fruits Farm")</f>
        <v>First Fruits Farm</v>
      </c>
    </row>
    <row r="3288">
      <c r="A3288" s="23">
        <f>IFERROR(__xludf.DUMMYFUNCTION("""COMPUTED_VALUE"""),44821.0)</f>
        <v>44821</v>
      </c>
      <c r="B3288" s="24" t="str">
        <f>IFERROR(__xludf.DUMMYFUNCTION("""COMPUTED_VALUE"""),"Dean Chien")</f>
        <v>Dean Chien</v>
      </c>
      <c r="C3288" s="24">
        <f>IFERROR(__xludf.DUMMYFUNCTION("""COMPUTED_VALUE"""),1.0)</f>
        <v>1</v>
      </c>
      <c r="D3288" s="24"/>
      <c r="F3288" s="23">
        <f>IFERROR(__xludf.DUMMYFUNCTION("""COMPUTED_VALUE"""),44867.81474592593)</f>
        <v>44867.81475</v>
      </c>
      <c r="G3288" s="24" t="str">
        <f>IFERROR(__xludf.DUMMYFUNCTION("""COMPUTED_VALUE"""),"Lynnette c")</f>
        <v>Lynnette c</v>
      </c>
      <c r="H3288" s="24">
        <f>IFERROR(__xludf.DUMMYFUNCTION("""COMPUTED_VALUE"""),8.0)</f>
        <v>8</v>
      </c>
      <c r="I3288" s="24" t="str">
        <f>IFERROR(__xludf.DUMMYFUNCTION("""COMPUTED_VALUE"""),"Damage/expired/extra")</f>
        <v>Damage/expired/extra</v>
      </c>
    </row>
    <row r="3289">
      <c r="A3289" s="23">
        <f>IFERROR(__xludf.DUMMYFUNCTION("""COMPUTED_VALUE"""),44821.70836931712)</f>
        <v>44821.70837</v>
      </c>
      <c r="B3289" s="24" t="str">
        <f>IFERROR(__xludf.DUMMYFUNCTION("""COMPUTED_VALUE"""),"Sara B. (free)")</f>
        <v>Sara B. (free)</v>
      </c>
      <c r="C3289" s="24">
        <f>IFERROR(__xludf.DUMMYFUNCTION("""COMPUTED_VALUE"""),2.0)</f>
        <v>2</v>
      </c>
      <c r="D3289" s="24"/>
      <c r="F3289" s="23">
        <f>IFERROR(__xludf.DUMMYFUNCTION("""COMPUTED_VALUE"""),44867.81489197917)</f>
        <v>44867.81489</v>
      </c>
      <c r="G3289" s="24" t="str">
        <f>IFERROR(__xludf.DUMMYFUNCTION("""COMPUTED_VALUE"""),"Lynnette ")</f>
        <v>Lynnette </v>
      </c>
      <c r="H3289" s="24">
        <f>IFERROR(__xludf.DUMMYFUNCTION("""COMPUTED_VALUE"""),5.0)</f>
        <v>5</v>
      </c>
      <c r="I3289" s="24" t="str">
        <f>IFERROR(__xludf.DUMMYFUNCTION("""COMPUTED_VALUE"""),"Regular (up to 20lbs)")</f>
        <v>Regular (up to 20lbs)</v>
      </c>
    </row>
    <row r="3290">
      <c r="A3290" s="23">
        <f>IFERROR(__xludf.DUMMYFUNCTION("""COMPUTED_VALUE"""),44821.71302699074)</f>
        <v>44821.71303</v>
      </c>
      <c r="B3290" s="24" t="str">
        <f>IFERROR(__xludf.DUMMYFUNCTION("""COMPUTED_VALUE"""),"Lynette Cromer")</f>
        <v>Lynette Cromer</v>
      </c>
      <c r="C3290" s="24">
        <f>IFERROR(__xludf.DUMMYFUNCTION("""COMPUTED_VALUE"""),10.0)</f>
        <v>10</v>
      </c>
      <c r="D3290" s="24"/>
      <c r="F3290" s="23">
        <f>IFERROR(__xludf.DUMMYFUNCTION("""COMPUTED_VALUE"""),44867.816095682865)</f>
        <v>44867.8161</v>
      </c>
      <c r="G3290" s="24" t="str">
        <f>IFERROR(__xludf.DUMMYFUNCTION("""COMPUTED_VALUE"""),"Lynnette c")</f>
        <v>Lynnette c</v>
      </c>
      <c r="H3290" s="24">
        <f>IFERROR(__xludf.DUMMYFUNCTION("""COMPUTED_VALUE"""),2.0)</f>
        <v>2</v>
      </c>
      <c r="I3290" s="24" t="str">
        <f>IFERROR(__xludf.DUMMYFUNCTION("""COMPUTED_VALUE"""),"Damage/expired/extra")</f>
        <v>Damage/expired/extra</v>
      </c>
    </row>
    <row r="3291">
      <c r="A3291" s="23">
        <f>IFERROR(__xludf.DUMMYFUNCTION("""COMPUTED_VALUE"""),44821.7133052662)</f>
        <v>44821.71331</v>
      </c>
      <c r="B3291" s="24" t="str">
        <f>IFERROR(__xludf.DUMMYFUNCTION("""COMPUTED_VALUE"""),"Lynette Cromer")</f>
        <v>Lynette Cromer</v>
      </c>
      <c r="C3291" s="24">
        <f>IFERROR(__xludf.DUMMYFUNCTION("""COMPUTED_VALUE"""),9.0)</f>
        <v>9</v>
      </c>
      <c r="D3291" s="24"/>
      <c r="F3291" s="23">
        <f>IFERROR(__xludf.DUMMYFUNCTION("""COMPUTED_VALUE"""),44867.837150405096)</f>
        <v>44867.83715</v>
      </c>
      <c r="G3291" s="24" t="str">
        <f>IFERROR(__xludf.DUMMYFUNCTION("""COMPUTED_VALUE"""),"Connor Gephart")</f>
        <v>Connor Gephart</v>
      </c>
      <c r="H3291" s="24">
        <f>IFERROR(__xludf.DUMMYFUNCTION("""COMPUTED_VALUE"""),10.0)</f>
        <v>10</v>
      </c>
      <c r="I3291" s="24" t="str">
        <f>IFERROR(__xludf.DUMMYFUNCTION("""COMPUTED_VALUE"""),"Regular (up to 20lbs)")</f>
        <v>Regular (up to 20lbs)</v>
      </c>
    </row>
    <row r="3292">
      <c r="A3292" s="23">
        <f>IFERROR(__xludf.DUMMYFUNCTION("""COMPUTED_VALUE"""),44821.71872428241)</f>
        <v>44821.71872</v>
      </c>
      <c r="B3292" s="24" t="str">
        <f>IFERROR(__xludf.DUMMYFUNCTION("""COMPUTED_VALUE"""),"Lynnette  cromer")</f>
        <v>Lynnette  cromer</v>
      </c>
      <c r="C3292" s="24">
        <f>IFERROR(__xludf.DUMMYFUNCTION("""COMPUTED_VALUE"""),1.0)</f>
        <v>1</v>
      </c>
      <c r="D3292" s="24"/>
      <c r="F3292" s="23">
        <f>IFERROR(__xludf.DUMMYFUNCTION("""COMPUTED_VALUE"""),44867.83718511574)</f>
        <v>44867.83719</v>
      </c>
      <c r="G3292" s="24" t="str">
        <f>IFERROR(__xludf.DUMMYFUNCTION("""COMPUTED_VALUE"""),"Maddie Pardes")</f>
        <v>Maddie Pardes</v>
      </c>
      <c r="H3292" s="24">
        <f>IFERROR(__xludf.DUMMYFUNCTION("""COMPUTED_VALUE"""),5.0)</f>
        <v>5</v>
      </c>
      <c r="I3292" s="24" t="str">
        <f>IFERROR(__xludf.DUMMYFUNCTION("""COMPUTED_VALUE"""),"Regular (up to 20lbs)")</f>
        <v>Regular (up to 20lbs)</v>
      </c>
    </row>
    <row r="3293">
      <c r="A3293" s="23">
        <f>IFERROR(__xludf.DUMMYFUNCTION("""COMPUTED_VALUE"""),44822.0)</f>
        <v>44822</v>
      </c>
      <c r="B3293" s="24" t="str">
        <f>IFERROR(__xludf.DUMMYFUNCTION("""COMPUTED_VALUE"""),"Alex Wang")</f>
        <v>Alex Wang</v>
      </c>
      <c r="C3293" s="24">
        <f>IFERROR(__xludf.DUMMYFUNCTION("""COMPUTED_VALUE"""),20.0)</f>
        <v>20</v>
      </c>
      <c r="D3293" s="24"/>
      <c r="F3293" s="23">
        <f>IFERROR(__xludf.DUMMYFUNCTION("""COMPUTED_VALUE"""),44867.842491875)</f>
        <v>44867.84249</v>
      </c>
      <c r="G3293" s="24" t="str">
        <f>IFERROR(__xludf.DUMMYFUNCTION("""COMPUTED_VALUE"""),"Luke mayhew")</f>
        <v>Luke mayhew</v>
      </c>
      <c r="H3293" s="24">
        <f>IFERROR(__xludf.DUMMYFUNCTION("""COMPUTED_VALUE"""),19.0)</f>
        <v>19</v>
      </c>
      <c r="I3293" s="24" t="str">
        <f>IFERROR(__xludf.DUMMYFUNCTION("""COMPUTED_VALUE"""),"Regular (up to 20lbs)")</f>
        <v>Regular (up to 20lbs)</v>
      </c>
    </row>
    <row r="3294">
      <c r="A3294" s="23">
        <f>IFERROR(__xludf.DUMMYFUNCTION("""COMPUTED_VALUE"""),44822.0)</f>
        <v>44822</v>
      </c>
      <c r="B3294" s="24" t="str">
        <f>IFERROR(__xludf.DUMMYFUNCTION("""COMPUTED_VALUE"""),"Alex Wang")</f>
        <v>Alex Wang</v>
      </c>
      <c r="C3294" s="24">
        <f>IFERROR(__xludf.DUMMYFUNCTION("""COMPUTED_VALUE"""),4.0)</f>
        <v>4</v>
      </c>
      <c r="D3294" s="24"/>
      <c r="F3294" s="23">
        <f>IFERROR(__xludf.DUMMYFUNCTION("""COMPUTED_VALUE"""),44867.84315597223)</f>
        <v>44867.84316</v>
      </c>
      <c r="G3294" s="24" t="str">
        <f>IFERROR(__xludf.DUMMYFUNCTION("""COMPUTED_VALUE"""),"Luke mayhew")</f>
        <v>Luke mayhew</v>
      </c>
      <c r="H3294" s="24">
        <f>IFERROR(__xludf.DUMMYFUNCTION("""COMPUTED_VALUE"""),15.0)</f>
        <v>15</v>
      </c>
      <c r="I3294" s="24" t="str">
        <f>IFERROR(__xludf.DUMMYFUNCTION("""COMPUTED_VALUE"""),"Damage/expired/extra")</f>
        <v>Damage/expired/extra</v>
      </c>
    </row>
    <row r="3295">
      <c r="A3295" s="23">
        <f>IFERROR(__xludf.DUMMYFUNCTION("""COMPUTED_VALUE"""),44822.0)</f>
        <v>44822</v>
      </c>
      <c r="B3295" s="24" t="str">
        <f>IFERROR(__xludf.DUMMYFUNCTION("""COMPUTED_VALUE"""),"Marci")</f>
        <v>Marci</v>
      </c>
      <c r="C3295" s="24">
        <f>IFERROR(__xludf.DUMMYFUNCTION("""COMPUTED_VALUE"""),19.0)</f>
        <v>19</v>
      </c>
      <c r="D3295" s="24"/>
      <c r="F3295" s="23">
        <f>IFERROR(__xludf.DUMMYFUNCTION("""COMPUTED_VALUE"""),44868.0)</f>
        <v>44868</v>
      </c>
      <c r="G3295" s="24" t="str">
        <f>IFERROR(__xludf.DUMMYFUNCTION("""COMPUTED_VALUE"""),"Jean")</f>
        <v>Jean</v>
      </c>
      <c r="H3295" s="24">
        <f>IFERROR(__xludf.DUMMYFUNCTION("""COMPUTED_VALUE"""),36.0)</f>
        <v>36</v>
      </c>
      <c r="I3295" s="24" t="str">
        <f>IFERROR(__xludf.DUMMYFUNCTION("""COMPUTED_VALUE"""),"Regular (up to 20lbs)")</f>
        <v>Regular (up to 20lbs)</v>
      </c>
    </row>
    <row r="3296">
      <c r="A3296" s="23">
        <f>IFERROR(__xludf.DUMMYFUNCTION("""COMPUTED_VALUE"""),44822.0)</f>
        <v>44822</v>
      </c>
      <c r="B3296" s="24" t="str">
        <f>IFERROR(__xludf.DUMMYFUNCTION("""COMPUTED_VALUE"""),"Marci")</f>
        <v>Marci</v>
      </c>
      <c r="C3296" s="24">
        <f>IFERROR(__xludf.DUMMYFUNCTION("""COMPUTED_VALUE"""),23.0)</f>
        <v>23</v>
      </c>
      <c r="D3296" s="24"/>
      <c r="F3296" s="23">
        <f>IFERROR(__xludf.DUMMYFUNCTION("""COMPUTED_VALUE"""),44868.0)</f>
        <v>44868</v>
      </c>
      <c r="G3296" s="24" t="str">
        <f>IFERROR(__xludf.DUMMYFUNCTION("""COMPUTED_VALUE"""),"Jean")</f>
        <v>Jean</v>
      </c>
      <c r="H3296" s="24">
        <f>IFERROR(__xludf.DUMMYFUNCTION("""COMPUTED_VALUE"""),4.0)</f>
        <v>4</v>
      </c>
      <c r="I3296" s="24" t="str">
        <f>IFERROR(__xludf.DUMMYFUNCTION("""COMPUTED_VALUE"""),"Damage/expired/extra")</f>
        <v>Damage/expired/extra</v>
      </c>
    </row>
    <row r="3297">
      <c r="A3297" s="23">
        <f>IFERROR(__xludf.DUMMYFUNCTION("""COMPUTED_VALUE"""),44822.0)</f>
        <v>44822</v>
      </c>
      <c r="B3297" s="24" t="str">
        <f>IFERROR(__xludf.DUMMYFUNCTION("""COMPUTED_VALUE"""),"Kaneesha Bailey")</f>
        <v>Kaneesha Bailey</v>
      </c>
      <c r="C3297" s="24">
        <f>IFERROR(__xludf.DUMMYFUNCTION("""COMPUTED_VALUE"""),15.0)</f>
        <v>15</v>
      </c>
      <c r="D3297" s="24"/>
      <c r="F3297" s="23">
        <f>IFERROR(__xludf.DUMMYFUNCTION("""COMPUTED_VALUE"""),44868.0)</f>
        <v>44868</v>
      </c>
      <c r="G3297" s="24" t="str">
        <f>IFERROR(__xludf.DUMMYFUNCTION("""COMPUTED_VALUE"""),"Hong Xue")</f>
        <v>Hong Xue</v>
      </c>
      <c r="H3297" s="24">
        <f>IFERROR(__xludf.DUMMYFUNCTION("""COMPUTED_VALUE"""),20.0)</f>
        <v>20</v>
      </c>
      <c r="I3297" s="24" t="str">
        <f>IFERROR(__xludf.DUMMYFUNCTION("""COMPUTED_VALUE"""),"Regular (up to 20lbs)")</f>
        <v>Regular (up to 20lbs)</v>
      </c>
    </row>
    <row r="3298">
      <c r="A3298" s="23">
        <f>IFERROR(__xludf.DUMMYFUNCTION("""COMPUTED_VALUE"""),44822.0)</f>
        <v>44822</v>
      </c>
      <c r="B3298" s="24" t="str">
        <f>IFERROR(__xludf.DUMMYFUNCTION("""COMPUTED_VALUE"""),"Kaneesha Bailey")</f>
        <v>Kaneesha Bailey</v>
      </c>
      <c r="C3298" s="24">
        <f>IFERROR(__xludf.DUMMYFUNCTION("""COMPUTED_VALUE"""),9.0)</f>
        <v>9</v>
      </c>
      <c r="D3298" s="24"/>
      <c r="F3298" s="23">
        <f>IFERROR(__xludf.DUMMYFUNCTION("""COMPUTED_VALUE"""),44868.0)</f>
        <v>44868</v>
      </c>
      <c r="G3298" s="24" t="str">
        <f>IFERROR(__xludf.DUMMYFUNCTION("""COMPUTED_VALUE"""),"Hong Xue")</f>
        <v>Hong Xue</v>
      </c>
      <c r="H3298" s="24">
        <f>IFERROR(__xludf.DUMMYFUNCTION("""COMPUTED_VALUE"""),10.0)</f>
        <v>10</v>
      </c>
      <c r="I3298" s="24" t="str">
        <f>IFERROR(__xludf.DUMMYFUNCTION("""COMPUTED_VALUE"""),"Damage/expired/extra")</f>
        <v>Damage/expired/extra</v>
      </c>
    </row>
    <row r="3299">
      <c r="A3299" s="23">
        <f>IFERROR(__xludf.DUMMYFUNCTION("""COMPUTED_VALUE"""),44822.651149641206)</f>
        <v>44822.65115</v>
      </c>
      <c r="B3299" s="24" t="str">
        <f>IFERROR(__xludf.DUMMYFUNCTION("""COMPUTED_VALUE"""),"Carla")</f>
        <v>Carla</v>
      </c>
      <c r="C3299" s="24">
        <f>IFERROR(__xludf.DUMMYFUNCTION("""COMPUTED_VALUE"""),20.0)</f>
        <v>20</v>
      </c>
      <c r="D3299" s="24"/>
      <c r="F3299" s="23">
        <f>IFERROR(__xludf.DUMMYFUNCTION("""COMPUTED_VALUE"""),44868.0)</f>
        <v>44868</v>
      </c>
      <c r="G3299" s="24" t="str">
        <f>IFERROR(__xludf.DUMMYFUNCTION("""COMPUTED_VALUE"""),"Barbara Jordan")</f>
        <v>Barbara Jordan</v>
      </c>
      <c r="H3299" s="24">
        <f>IFERROR(__xludf.DUMMYFUNCTION("""COMPUTED_VALUE"""),14.0)</f>
        <v>14</v>
      </c>
      <c r="I3299" s="24" t="str">
        <f>IFERROR(__xludf.DUMMYFUNCTION("""COMPUTED_VALUE"""),"Regular (up to 20lbs)")</f>
        <v>Regular (up to 20lbs)</v>
      </c>
    </row>
    <row r="3300">
      <c r="A3300" s="23">
        <f>IFERROR(__xludf.DUMMYFUNCTION("""COMPUTED_VALUE"""),44822.66294138889)</f>
        <v>44822.66294</v>
      </c>
      <c r="B3300" s="24" t="str">
        <f>IFERROR(__xludf.DUMMYFUNCTION("""COMPUTED_VALUE"""),"Denise Rivers")</f>
        <v>Denise Rivers</v>
      </c>
      <c r="C3300" s="24">
        <f>IFERROR(__xludf.DUMMYFUNCTION("""COMPUTED_VALUE"""),18.0)</f>
        <v>18</v>
      </c>
      <c r="D3300" s="24"/>
      <c r="F3300" s="23">
        <f>IFERROR(__xludf.DUMMYFUNCTION("""COMPUTED_VALUE"""),44868.0)</f>
        <v>44868</v>
      </c>
      <c r="G3300" s="24" t="str">
        <f>IFERROR(__xludf.DUMMYFUNCTION("""COMPUTED_VALUE"""),"Barbara Jordan")</f>
        <v>Barbara Jordan</v>
      </c>
      <c r="H3300" s="24">
        <f>IFERROR(__xludf.DUMMYFUNCTION("""COMPUTED_VALUE"""),3.0)</f>
        <v>3</v>
      </c>
      <c r="I3300" s="24" t="str">
        <f>IFERROR(__xludf.DUMMYFUNCTION("""COMPUTED_VALUE"""),"Damage/expired/extra")</f>
        <v>Damage/expired/extra</v>
      </c>
    </row>
    <row r="3301">
      <c r="A3301" s="23">
        <f>IFERROR(__xludf.DUMMYFUNCTION("""COMPUTED_VALUE"""),44822.66328069445)</f>
        <v>44822.66328</v>
      </c>
      <c r="B3301" s="24" t="str">
        <f>IFERROR(__xludf.DUMMYFUNCTION("""COMPUTED_VALUE"""),"Denise Rivers")</f>
        <v>Denise Rivers</v>
      </c>
      <c r="C3301" s="24">
        <f>IFERROR(__xludf.DUMMYFUNCTION("""COMPUTED_VALUE"""),25.0)</f>
        <v>25</v>
      </c>
      <c r="D3301" s="24"/>
      <c r="F3301" s="23">
        <f>IFERROR(__xludf.DUMMYFUNCTION("""COMPUTED_VALUE"""),44868.0)</f>
        <v>44868</v>
      </c>
      <c r="G3301" s="24" t="str">
        <f>IFERROR(__xludf.DUMMYFUNCTION("""COMPUTED_VALUE"""),"Melissa Thomas")</f>
        <v>Melissa Thomas</v>
      </c>
      <c r="H3301" s="24">
        <f>IFERROR(__xludf.DUMMYFUNCTION("""COMPUTED_VALUE"""),20.0)</f>
        <v>20</v>
      </c>
      <c r="I3301" s="24" t="str">
        <f>IFERROR(__xludf.DUMMYFUNCTION("""COMPUTED_VALUE"""),"Regular (up to 20lbs)")</f>
        <v>Regular (up to 20lbs)</v>
      </c>
    </row>
    <row r="3302">
      <c r="A3302" s="23">
        <f>IFERROR(__xludf.DUMMYFUNCTION("""COMPUTED_VALUE"""),44822.66543626157)</f>
        <v>44822.66544</v>
      </c>
      <c r="B3302" s="24" t="str">
        <f>IFERROR(__xludf.DUMMYFUNCTION("""COMPUTED_VALUE"""),"Kate Weeks")</f>
        <v>Kate Weeks</v>
      </c>
      <c r="C3302" s="24">
        <f>IFERROR(__xludf.DUMMYFUNCTION("""COMPUTED_VALUE"""),20.0)</f>
        <v>20</v>
      </c>
      <c r="D3302" s="24"/>
      <c r="F3302" s="23">
        <f>IFERROR(__xludf.DUMMYFUNCTION("""COMPUTED_VALUE"""),44868.0)</f>
        <v>44868</v>
      </c>
      <c r="G3302" s="24" t="str">
        <f>IFERROR(__xludf.DUMMYFUNCTION("""COMPUTED_VALUE"""),"Melissa Thomas")</f>
        <v>Melissa Thomas</v>
      </c>
      <c r="H3302" s="24">
        <f>IFERROR(__xludf.DUMMYFUNCTION("""COMPUTED_VALUE"""),24.0)</f>
        <v>24</v>
      </c>
      <c r="I3302" s="24" t="str">
        <f>IFERROR(__xludf.DUMMYFUNCTION("""COMPUTED_VALUE"""),"Damage/expired/extra")</f>
        <v>Damage/expired/extra</v>
      </c>
    </row>
    <row r="3303">
      <c r="A3303" s="23">
        <f>IFERROR(__xludf.DUMMYFUNCTION("""COMPUTED_VALUE"""),44822.0)</f>
        <v>44822</v>
      </c>
      <c r="B3303" s="24" t="str">
        <f>IFERROR(__xludf.DUMMYFUNCTION("""COMPUTED_VALUE"""),"Kate Weeks")</f>
        <v>Kate Weeks</v>
      </c>
      <c r="C3303" s="24">
        <f>IFERROR(__xludf.DUMMYFUNCTION("""COMPUTED_VALUE"""),14.0)</f>
        <v>14</v>
      </c>
      <c r="D3303" s="24"/>
      <c r="F3303" s="23">
        <f>IFERROR(__xludf.DUMMYFUNCTION("""COMPUTED_VALUE"""),44868.0)</f>
        <v>44868</v>
      </c>
      <c r="G3303" s="24" t="str">
        <f>IFERROR(__xludf.DUMMYFUNCTION("""COMPUTED_VALUE"""),"Julia Buckson")</f>
        <v>Julia Buckson</v>
      </c>
      <c r="H3303" s="24">
        <f>IFERROR(__xludf.DUMMYFUNCTION("""COMPUTED_VALUE"""),20.0)</f>
        <v>20</v>
      </c>
      <c r="I3303" s="24" t="str">
        <f>IFERROR(__xludf.DUMMYFUNCTION("""COMPUTED_VALUE"""),"Regular (up to 20lbs)")</f>
        <v>Regular (up to 20lbs)</v>
      </c>
    </row>
    <row r="3304">
      <c r="A3304" s="23">
        <f>IFERROR(__xludf.DUMMYFUNCTION("""COMPUTED_VALUE"""),44822.67341038195)</f>
        <v>44822.67341</v>
      </c>
      <c r="B3304" s="24" t="str">
        <f>IFERROR(__xludf.DUMMYFUNCTION("""COMPUTED_VALUE"""),"Opey")</f>
        <v>Opey</v>
      </c>
      <c r="C3304" s="24">
        <f>IFERROR(__xludf.DUMMYFUNCTION("""COMPUTED_VALUE"""),13.0)</f>
        <v>13</v>
      </c>
      <c r="D3304" s="24"/>
      <c r="F3304" s="23">
        <f>IFERROR(__xludf.DUMMYFUNCTION("""COMPUTED_VALUE"""),44868.0)</f>
        <v>44868</v>
      </c>
      <c r="G3304" s="24" t="str">
        <f>IFERROR(__xludf.DUMMYFUNCTION("""COMPUTED_VALUE"""),"Julia Buckson")</f>
        <v>Julia Buckson</v>
      </c>
      <c r="H3304" s="24">
        <f>IFERROR(__xludf.DUMMYFUNCTION("""COMPUTED_VALUE"""),25.0)</f>
        <v>25</v>
      </c>
      <c r="I3304" s="24" t="str">
        <f>IFERROR(__xludf.DUMMYFUNCTION("""COMPUTED_VALUE"""),"Damage/expired/extra")</f>
        <v>Damage/expired/extra</v>
      </c>
    </row>
    <row r="3305">
      <c r="A3305" s="23">
        <f>IFERROR(__xludf.DUMMYFUNCTION("""COMPUTED_VALUE"""),44822.67376943287)</f>
        <v>44822.67377</v>
      </c>
      <c r="B3305" s="24" t="str">
        <f>IFERROR(__xludf.DUMMYFUNCTION("""COMPUTED_VALUE"""),"Zoe")</f>
        <v>Zoe</v>
      </c>
      <c r="C3305" s="24">
        <f>IFERROR(__xludf.DUMMYFUNCTION("""COMPUTED_VALUE"""),14.0)</f>
        <v>14</v>
      </c>
      <c r="D3305" s="24"/>
      <c r="F3305" s="23">
        <f>IFERROR(__xludf.DUMMYFUNCTION("""COMPUTED_VALUE"""),44868.0)</f>
        <v>44868</v>
      </c>
      <c r="G3305" s="24" t="str">
        <f>IFERROR(__xludf.DUMMYFUNCTION("""COMPUTED_VALUE"""),"Aziza Frank")</f>
        <v>Aziza Frank</v>
      </c>
      <c r="H3305" s="24">
        <f>IFERROR(__xludf.DUMMYFUNCTION("""COMPUTED_VALUE"""),20.0)</f>
        <v>20</v>
      </c>
      <c r="I3305" s="24" t="str">
        <f>IFERROR(__xludf.DUMMYFUNCTION("""COMPUTED_VALUE"""),"Regular (up to 20lbs)")</f>
        <v>Regular (up to 20lbs)</v>
      </c>
    </row>
    <row r="3306">
      <c r="A3306" s="23">
        <f>IFERROR(__xludf.DUMMYFUNCTION("""COMPUTED_VALUE"""),44822.6750106713)</f>
        <v>44822.67501</v>
      </c>
      <c r="B3306" s="24" t="str">
        <f>IFERROR(__xludf.DUMMYFUNCTION("""COMPUTED_VALUE"""),"Dorja ")</f>
        <v>Dorja </v>
      </c>
      <c r="C3306" s="24">
        <f>IFERROR(__xludf.DUMMYFUNCTION("""COMPUTED_VALUE"""),28.0)</f>
        <v>28</v>
      </c>
      <c r="D3306" s="24"/>
      <c r="F3306" s="23">
        <f>IFERROR(__xludf.DUMMYFUNCTION("""COMPUTED_VALUE"""),44868.0)</f>
        <v>44868</v>
      </c>
      <c r="G3306" s="24" t="str">
        <f>IFERROR(__xludf.DUMMYFUNCTION("""COMPUTED_VALUE"""),"Aziza Frank")</f>
        <v>Aziza Frank</v>
      </c>
      <c r="H3306" s="24">
        <f>IFERROR(__xludf.DUMMYFUNCTION("""COMPUTED_VALUE"""),16.0)</f>
        <v>16</v>
      </c>
      <c r="I3306" s="24" t="str">
        <f>IFERROR(__xludf.DUMMYFUNCTION("""COMPUTED_VALUE"""),"Damage/expired/extra")</f>
        <v>Damage/expired/extra</v>
      </c>
    </row>
    <row r="3307">
      <c r="A3307" s="23">
        <f>IFERROR(__xludf.DUMMYFUNCTION("""COMPUTED_VALUE"""),44822.942274548615)</f>
        <v>44822.94227</v>
      </c>
      <c r="B3307" s="24" t="str">
        <f>IFERROR(__xludf.DUMMYFUNCTION("""COMPUTED_VALUE"""),"Dorja ")</f>
        <v>Dorja </v>
      </c>
      <c r="C3307" s="24">
        <f>IFERROR(__xludf.DUMMYFUNCTION("""COMPUTED_VALUE"""),31.0)</f>
        <v>31</v>
      </c>
      <c r="D3307" s="24"/>
      <c r="F3307" s="23">
        <f>IFERROR(__xludf.DUMMYFUNCTION("""COMPUTED_VALUE"""),44868.0)</f>
        <v>44868</v>
      </c>
      <c r="G3307" s="24" t="str">
        <f>IFERROR(__xludf.DUMMYFUNCTION("""COMPUTED_VALUE"""),"Nathaniel McClean")</f>
        <v>Nathaniel McClean</v>
      </c>
      <c r="H3307" s="24">
        <f>IFERROR(__xludf.DUMMYFUNCTION("""COMPUTED_VALUE"""),19.0)</f>
        <v>19</v>
      </c>
      <c r="I3307" s="24" t="str">
        <f>IFERROR(__xludf.DUMMYFUNCTION("""COMPUTED_VALUE"""),"Regular (up to 20lbs)")</f>
        <v>Regular (up to 20lbs)</v>
      </c>
    </row>
    <row r="3308">
      <c r="A3308" s="23">
        <f>IFERROR(__xludf.DUMMYFUNCTION("""COMPUTED_VALUE"""),44824.0)</f>
        <v>44824</v>
      </c>
      <c r="B3308" s="24" t="str">
        <f>IFERROR(__xludf.DUMMYFUNCTION("""COMPUTED_VALUE"""),"Doris Parker tuggle")</f>
        <v>Doris Parker tuggle</v>
      </c>
      <c r="C3308" s="24">
        <f>IFERROR(__xludf.DUMMYFUNCTION("""COMPUTED_VALUE"""),15.0)</f>
        <v>15</v>
      </c>
      <c r="D3308" s="24"/>
      <c r="F3308" s="23">
        <f>IFERROR(__xludf.DUMMYFUNCTION("""COMPUTED_VALUE"""),44868.0)</f>
        <v>44868</v>
      </c>
      <c r="G3308" s="24" t="str">
        <f>IFERROR(__xludf.DUMMYFUNCTION("""COMPUTED_VALUE"""),"Nathaniel McClean")</f>
        <v>Nathaniel McClean</v>
      </c>
      <c r="H3308" s="24">
        <f>IFERROR(__xludf.DUMMYFUNCTION("""COMPUTED_VALUE"""),14.0)</f>
        <v>14</v>
      </c>
      <c r="I3308" s="24" t="str">
        <f>IFERROR(__xludf.DUMMYFUNCTION("""COMPUTED_VALUE"""),"Damage/expired/extra")</f>
        <v>Damage/expired/extra</v>
      </c>
    </row>
    <row r="3309">
      <c r="A3309" s="23">
        <f>IFERROR(__xludf.DUMMYFUNCTION("""COMPUTED_VALUE"""),44824.0)</f>
        <v>44824</v>
      </c>
      <c r="B3309" s="24" t="str">
        <f>IFERROR(__xludf.DUMMYFUNCTION("""COMPUTED_VALUE"""),"Doris Parker tuggle")</f>
        <v>Doris Parker tuggle</v>
      </c>
      <c r="C3309" s="24">
        <f>IFERROR(__xludf.DUMMYFUNCTION("""COMPUTED_VALUE"""),1.0)</f>
        <v>1</v>
      </c>
      <c r="D3309" s="24"/>
      <c r="F3309" s="23">
        <f>IFERROR(__xludf.DUMMYFUNCTION("""COMPUTED_VALUE"""),44868.0)</f>
        <v>44868</v>
      </c>
      <c r="G3309" s="24" t="str">
        <f>IFERROR(__xludf.DUMMYFUNCTION("""COMPUTED_VALUE"""),"Sheneil Black")</f>
        <v>Sheneil Black</v>
      </c>
      <c r="H3309" s="24">
        <f>IFERROR(__xludf.DUMMYFUNCTION("""COMPUTED_VALUE"""),20.0)</f>
        <v>20</v>
      </c>
      <c r="I3309" s="24" t="str">
        <f>IFERROR(__xludf.DUMMYFUNCTION("""COMPUTED_VALUE"""),"Regular (up to 20lbs)")</f>
        <v>Regular (up to 20lbs)</v>
      </c>
    </row>
    <row r="3310">
      <c r="A3310" s="23">
        <f>IFERROR(__xludf.DUMMYFUNCTION("""COMPUTED_VALUE"""),44824.0)</f>
        <v>44824</v>
      </c>
      <c r="B3310" s="24" t="str">
        <f>IFERROR(__xludf.DUMMYFUNCTION("""COMPUTED_VALUE"""),"Barbara Jordan")</f>
        <v>Barbara Jordan</v>
      </c>
      <c r="C3310" s="24">
        <f>IFERROR(__xludf.DUMMYFUNCTION("""COMPUTED_VALUE"""),12.0)</f>
        <v>12</v>
      </c>
      <c r="D3310" s="24"/>
      <c r="F3310" s="23">
        <f>IFERROR(__xludf.DUMMYFUNCTION("""COMPUTED_VALUE"""),44868.0)</f>
        <v>44868</v>
      </c>
      <c r="G3310" s="24" t="str">
        <f>IFERROR(__xludf.DUMMYFUNCTION("""COMPUTED_VALUE"""),"Sheneil Black")</f>
        <v>Sheneil Black</v>
      </c>
      <c r="H3310" s="24">
        <f>IFERROR(__xludf.DUMMYFUNCTION("""COMPUTED_VALUE"""),15.0)</f>
        <v>15</v>
      </c>
      <c r="I3310" s="24" t="str">
        <f>IFERROR(__xludf.DUMMYFUNCTION("""COMPUTED_VALUE"""),"Damage/expired/extra")</f>
        <v>Damage/expired/extra</v>
      </c>
    </row>
    <row r="3311">
      <c r="A3311" s="23">
        <f>IFERROR(__xludf.DUMMYFUNCTION("""COMPUTED_VALUE"""),44824.0)</f>
        <v>44824</v>
      </c>
      <c r="B3311" s="24" t="str">
        <f>IFERROR(__xludf.DUMMYFUNCTION("""COMPUTED_VALUE"""),"Barbara Jordan")</f>
        <v>Barbara Jordan</v>
      </c>
      <c r="C3311" s="24">
        <f>IFERROR(__xludf.DUMMYFUNCTION("""COMPUTED_VALUE"""),3.0)</f>
        <v>3</v>
      </c>
      <c r="D3311" s="24"/>
      <c r="F3311" s="23">
        <f>IFERROR(__xludf.DUMMYFUNCTION("""COMPUTED_VALUE"""),44868.0)</f>
        <v>44868</v>
      </c>
      <c r="G3311" s="24" t="str">
        <f>IFERROR(__xludf.DUMMYFUNCTION("""COMPUTED_VALUE"""),"Raquel Bailey")</f>
        <v>Raquel Bailey</v>
      </c>
      <c r="H3311" s="24">
        <f>IFERROR(__xludf.DUMMYFUNCTION("""COMPUTED_VALUE"""),20.0)</f>
        <v>20</v>
      </c>
      <c r="I3311" s="24" t="str">
        <f>IFERROR(__xludf.DUMMYFUNCTION("""COMPUTED_VALUE"""),"Regular (up to 20lbs)")</f>
        <v>Regular (up to 20lbs)</v>
      </c>
    </row>
    <row r="3312">
      <c r="A3312" s="23">
        <f>IFERROR(__xludf.DUMMYFUNCTION("""COMPUTED_VALUE"""),44824.0)</f>
        <v>44824</v>
      </c>
      <c r="B3312" s="24" t="str">
        <f>IFERROR(__xludf.DUMMYFUNCTION("""COMPUTED_VALUE"""),"Hong Xue")</f>
        <v>Hong Xue</v>
      </c>
      <c r="C3312" s="24">
        <f>IFERROR(__xludf.DUMMYFUNCTION("""COMPUTED_VALUE"""),20.0)</f>
        <v>20</v>
      </c>
      <c r="D3312" s="24"/>
      <c r="F3312" s="23">
        <f>IFERROR(__xludf.DUMMYFUNCTION("""COMPUTED_VALUE"""),44868.0)</f>
        <v>44868</v>
      </c>
      <c r="G3312" s="24" t="str">
        <f>IFERROR(__xludf.DUMMYFUNCTION("""COMPUTED_VALUE"""),"Raquel Bailey")</f>
        <v>Raquel Bailey</v>
      </c>
      <c r="H3312" s="24">
        <f>IFERROR(__xludf.DUMMYFUNCTION("""COMPUTED_VALUE"""),15.0)</f>
        <v>15</v>
      </c>
      <c r="I3312" s="24" t="str">
        <f>IFERROR(__xludf.DUMMYFUNCTION("""COMPUTED_VALUE"""),"Damage/expired/extra")</f>
        <v>Damage/expired/extra</v>
      </c>
    </row>
    <row r="3313">
      <c r="A3313" s="23">
        <f>IFERROR(__xludf.DUMMYFUNCTION("""COMPUTED_VALUE"""),44824.0)</f>
        <v>44824</v>
      </c>
      <c r="B3313" s="24" t="str">
        <f>IFERROR(__xludf.DUMMYFUNCTION("""COMPUTED_VALUE"""),"Hong Xue")</f>
        <v>Hong Xue</v>
      </c>
      <c r="C3313" s="24">
        <f>IFERROR(__xludf.DUMMYFUNCTION("""COMPUTED_VALUE"""),5.0)</f>
        <v>5</v>
      </c>
      <c r="D3313" s="24"/>
      <c r="F3313" s="23">
        <f>IFERROR(__xludf.DUMMYFUNCTION("""COMPUTED_VALUE"""),44868.0)</f>
        <v>44868</v>
      </c>
      <c r="G3313" s="24" t="str">
        <f>IFERROR(__xludf.DUMMYFUNCTION("""COMPUTED_VALUE"""),"Adeola")</f>
        <v>Adeola</v>
      </c>
      <c r="H3313" s="24">
        <f>IFERROR(__xludf.DUMMYFUNCTION("""COMPUTED_VALUE"""),20.0)</f>
        <v>20</v>
      </c>
      <c r="I3313" s="24" t="str">
        <f>IFERROR(__xludf.DUMMYFUNCTION("""COMPUTED_VALUE"""),"Regular (up to 20lbs)")</f>
        <v>Regular (up to 20lbs)</v>
      </c>
    </row>
    <row r="3314">
      <c r="A3314" s="23">
        <f>IFERROR(__xludf.DUMMYFUNCTION("""COMPUTED_VALUE"""),44824.0)</f>
        <v>44824</v>
      </c>
      <c r="B3314" s="24" t="str">
        <f>IFERROR(__xludf.DUMMYFUNCTION("""COMPUTED_VALUE"""),"Kaneesha Bailey")</f>
        <v>Kaneesha Bailey</v>
      </c>
      <c r="C3314" s="24">
        <f>IFERROR(__xludf.DUMMYFUNCTION("""COMPUTED_VALUE"""),20.0)</f>
        <v>20</v>
      </c>
      <c r="D3314" s="24"/>
      <c r="F3314" s="23">
        <f>IFERROR(__xludf.DUMMYFUNCTION("""COMPUTED_VALUE"""),44868.63187525463)</f>
        <v>44868.63188</v>
      </c>
      <c r="G3314" s="24" t="str">
        <f>IFERROR(__xludf.DUMMYFUNCTION("""COMPUTED_VALUE"""),"Jean")</f>
        <v>Jean</v>
      </c>
      <c r="H3314" s="24">
        <f>IFERROR(__xludf.DUMMYFUNCTION("""COMPUTED_VALUE"""),164.0)</f>
        <v>164</v>
      </c>
      <c r="I3314" s="24" t="str">
        <f>IFERROR(__xludf.DUMMYFUNCTION("""COMPUTED_VALUE"""),"Assorted Dry")</f>
        <v>Assorted Dry</v>
      </c>
    </row>
    <row r="3315">
      <c r="A3315" s="23">
        <f>IFERROR(__xludf.DUMMYFUNCTION("""COMPUTED_VALUE"""),44824.0)</f>
        <v>44824</v>
      </c>
      <c r="B3315" s="24" t="str">
        <f>IFERROR(__xludf.DUMMYFUNCTION("""COMPUTED_VALUE"""),"Kaneesha Bailey")</f>
        <v>Kaneesha Bailey</v>
      </c>
      <c r="C3315" s="24">
        <f>IFERROR(__xludf.DUMMYFUNCTION("""COMPUTED_VALUE"""),9.0)</f>
        <v>9</v>
      </c>
      <c r="D3315" s="24"/>
      <c r="F3315" s="23">
        <f>IFERROR(__xludf.DUMMYFUNCTION("""COMPUTED_VALUE"""),44868.63414340278)</f>
        <v>44868.63414</v>
      </c>
      <c r="G3315" s="24" t="str">
        <f>IFERROR(__xludf.DUMMYFUNCTION("""COMPUTED_VALUE"""),"Jean")</f>
        <v>Jean</v>
      </c>
      <c r="H3315" s="24">
        <f>IFERROR(__xludf.DUMMYFUNCTION("""COMPUTED_VALUE"""),702.0)</f>
        <v>702</v>
      </c>
      <c r="I3315" s="24" t="str">
        <f>IFERROR(__xludf.DUMMYFUNCTION("""COMPUTED_VALUE"""),"Dole fruit cups")</f>
        <v>Dole fruit cups</v>
      </c>
    </row>
    <row r="3316">
      <c r="A3316" s="23">
        <f>IFERROR(__xludf.DUMMYFUNCTION("""COMPUTED_VALUE"""),44824.69013449074)</f>
        <v>44824.69013</v>
      </c>
      <c r="B3316" s="24" t="str">
        <f>IFERROR(__xludf.DUMMYFUNCTION("""COMPUTED_VALUE"""),"Romaine Bouldin ")</f>
        <v>Romaine Bouldin </v>
      </c>
      <c r="C3316" s="24">
        <f>IFERROR(__xludf.DUMMYFUNCTION("""COMPUTED_VALUE"""),9.0)</f>
        <v>9</v>
      </c>
      <c r="D3316" s="24"/>
      <c r="F3316" s="23">
        <f>IFERROR(__xludf.DUMMYFUNCTION("""COMPUTED_VALUE"""),44868.63559582176)</f>
        <v>44868.6356</v>
      </c>
      <c r="G3316" s="24" t="str">
        <f>IFERROR(__xludf.DUMMYFUNCTION("""COMPUTED_VALUE"""),"Jean")</f>
        <v>Jean</v>
      </c>
      <c r="H3316" s="24">
        <f>IFERROR(__xludf.DUMMYFUNCTION("""COMPUTED_VALUE"""),729.0)</f>
        <v>729</v>
      </c>
      <c r="I3316" s="24" t="str">
        <f>IFERROR(__xludf.DUMMYFUNCTION("""COMPUTED_VALUE"""),"Assorted Fridge")</f>
        <v>Assorted Fridge</v>
      </c>
    </row>
    <row r="3317">
      <c r="A3317" s="23">
        <f>IFERROR(__xludf.DUMMYFUNCTION("""COMPUTED_VALUE"""),44824.69177182871)</f>
        <v>44824.69177</v>
      </c>
      <c r="B3317" s="24" t="str">
        <f>IFERROR(__xludf.DUMMYFUNCTION("""COMPUTED_VALUE"""),"Beverly Graham ")</f>
        <v>Beverly Graham </v>
      </c>
      <c r="C3317" s="24">
        <f>IFERROR(__xludf.DUMMYFUNCTION("""COMPUTED_VALUE"""),13.0)</f>
        <v>13</v>
      </c>
      <c r="D3317" s="24"/>
      <c r="F3317" s="23">
        <f>IFERROR(__xludf.DUMMYFUNCTION("""COMPUTED_VALUE"""),44868.63791704861)</f>
        <v>44868.63792</v>
      </c>
      <c r="G3317" s="24" t="str">
        <f>IFERROR(__xludf.DUMMYFUNCTION("""COMPUTED_VALUE"""),"Jean")</f>
        <v>Jean</v>
      </c>
      <c r="H3317" s="24">
        <f>IFERROR(__xludf.DUMMYFUNCTION("""COMPUTED_VALUE"""),223.0)</f>
        <v>223</v>
      </c>
      <c r="I3317" s="24" t="str">
        <f>IFERROR(__xludf.DUMMYFUNCTION("""COMPUTED_VALUE"""),"Assorted Dry")</f>
        <v>Assorted Dry</v>
      </c>
    </row>
    <row r="3318">
      <c r="A3318" s="23">
        <f>IFERROR(__xludf.DUMMYFUNCTION("""COMPUTED_VALUE"""),44824.69281353009)</f>
        <v>44824.69281</v>
      </c>
      <c r="B3318" s="24" t="str">
        <f>IFERROR(__xludf.DUMMYFUNCTION("""COMPUTED_VALUE"""),"Jean")</f>
        <v>Jean</v>
      </c>
      <c r="C3318" s="24">
        <f>IFERROR(__xludf.DUMMYFUNCTION("""COMPUTED_VALUE"""),14.0)</f>
        <v>14</v>
      </c>
      <c r="D3318" s="24"/>
      <c r="F3318" s="23">
        <f>IFERROR(__xludf.DUMMYFUNCTION("""COMPUTED_VALUE"""),44868.63934480324)</f>
        <v>44868.63934</v>
      </c>
      <c r="G3318" s="24" t="str">
        <f>IFERROR(__xludf.DUMMYFUNCTION("""COMPUTED_VALUE"""),"Jean")</f>
        <v>Jean</v>
      </c>
      <c r="H3318" s="24">
        <f>IFERROR(__xludf.DUMMYFUNCTION("""COMPUTED_VALUE"""),126.0)</f>
        <v>126</v>
      </c>
      <c r="I3318" s="24" t="str">
        <f>IFERROR(__xludf.DUMMYFUNCTION("""COMPUTED_VALUE"""),"Dole fruit cups")</f>
        <v>Dole fruit cups</v>
      </c>
    </row>
    <row r="3319">
      <c r="A3319" s="23">
        <f>IFERROR(__xludf.DUMMYFUNCTION("""COMPUTED_VALUE"""),44824.693256886574)</f>
        <v>44824.69326</v>
      </c>
      <c r="B3319" s="24" t="str">
        <f>IFERROR(__xludf.DUMMYFUNCTION("""COMPUTED_VALUE"""),"Jjean.     Extra")</f>
        <v>Jjean.     Extra</v>
      </c>
      <c r="C3319" s="24">
        <f>IFERROR(__xludf.DUMMYFUNCTION("""COMPUTED_VALUE"""),5.0)</f>
        <v>5</v>
      </c>
      <c r="D3319" s="24"/>
      <c r="F3319" s="23">
        <f>IFERROR(__xludf.DUMMYFUNCTION("""COMPUTED_VALUE"""),44868.64033052084)</f>
        <v>44868.64033</v>
      </c>
      <c r="G3319" s="24" t="str">
        <f>IFERROR(__xludf.DUMMYFUNCTION("""COMPUTED_VALUE"""),"Jean")</f>
        <v>Jean</v>
      </c>
      <c r="H3319" s="24">
        <f>IFERROR(__xludf.DUMMYFUNCTION("""COMPUTED_VALUE"""),240.0)</f>
        <v>240</v>
      </c>
      <c r="I3319" s="24" t="str">
        <f>IFERROR(__xludf.DUMMYFUNCTION("""COMPUTED_VALUE"""),"Cleaning Supplies")</f>
        <v>Cleaning Supplies</v>
      </c>
    </row>
    <row r="3320">
      <c r="A3320" s="23">
        <f>IFERROR(__xludf.DUMMYFUNCTION("""COMPUTED_VALUE"""),44824.69355393518)</f>
        <v>44824.69355</v>
      </c>
      <c r="B3320" s="24" t="str">
        <f>IFERROR(__xludf.DUMMYFUNCTION("""COMPUTED_VALUE"""),"Kaneesha")</f>
        <v>Kaneesha</v>
      </c>
      <c r="C3320" s="24">
        <f>IFERROR(__xludf.DUMMYFUNCTION("""COMPUTED_VALUE"""),20.0)</f>
        <v>20</v>
      </c>
      <c r="D3320" s="24"/>
      <c r="F3320" s="23">
        <f>IFERROR(__xludf.DUMMYFUNCTION("""COMPUTED_VALUE"""),44868.692484907406)</f>
        <v>44868.69248</v>
      </c>
      <c r="G3320" s="24" t="str">
        <f>IFERROR(__xludf.DUMMYFUNCTION("""COMPUTED_VALUE"""),"Xiomara Rodriguez ")</f>
        <v>Xiomara Rodriguez </v>
      </c>
      <c r="H3320" s="24">
        <f>IFERROR(__xludf.DUMMYFUNCTION("""COMPUTED_VALUE"""),4.0)</f>
        <v>4</v>
      </c>
      <c r="I3320" s="24" t="str">
        <f>IFERROR(__xludf.DUMMYFUNCTION("""COMPUTED_VALUE"""),"Regular (up to 20lbs)")</f>
        <v>Regular (up to 20lbs)</v>
      </c>
    </row>
    <row r="3321">
      <c r="A3321" s="23">
        <f>IFERROR(__xludf.DUMMYFUNCTION("""COMPUTED_VALUE"""),44824.6939357176)</f>
        <v>44824.69394</v>
      </c>
      <c r="B3321" s="24" t="str">
        <f>IFERROR(__xludf.DUMMYFUNCTION("""COMPUTED_VALUE"""),"Kaneesh(expired)")</f>
        <v>Kaneesh(expired)</v>
      </c>
      <c r="C3321" s="24">
        <f>IFERROR(__xludf.DUMMYFUNCTION("""COMPUTED_VALUE"""),9.0)</f>
        <v>9</v>
      </c>
      <c r="D3321" s="24"/>
      <c r="F3321" s="23">
        <f>IFERROR(__xludf.DUMMYFUNCTION("""COMPUTED_VALUE"""),44868.69262144676)</f>
        <v>44868.69262</v>
      </c>
      <c r="G3321" s="24" t="str">
        <f>IFERROR(__xludf.DUMMYFUNCTION("""COMPUTED_VALUE"""),"Xiomara Rodriguez ")</f>
        <v>Xiomara Rodriguez </v>
      </c>
      <c r="H3321" s="24">
        <f>IFERROR(__xludf.DUMMYFUNCTION("""COMPUTED_VALUE"""),2.0)</f>
        <v>2</v>
      </c>
      <c r="I3321" s="24" t="str">
        <f>IFERROR(__xludf.DUMMYFUNCTION("""COMPUTED_VALUE"""),"Damage/expired/extra")</f>
        <v>Damage/expired/extra</v>
      </c>
    </row>
    <row r="3322">
      <c r="A3322" s="23">
        <f>IFERROR(__xludf.DUMMYFUNCTION("""COMPUTED_VALUE"""),44824.69611231482)</f>
        <v>44824.69611</v>
      </c>
      <c r="B3322" s="24" t="str">
        <f>IFERROR(__xludf.DUMMYFUNCTION("""COMPUTED_VALUE"""),"Beverly Pinn")</f>
        <v>Beverly Pinn</v>
      </c>
      <c r="C3322" s="24">
        <f>IFERROR(__xludf.DUMMYFUNCTION("""COMPUTED_VALUE"""),17.0)</f>
        <v>17</v>
      </c>
      <c r="D3322" s="24"/>
      <c r="F3322" s="23">
        <f>IFERROR(__xludf.DUMMYFUNCTION("""COMPUTED_VALUE"""),44868.70084153936)</f>
        <v>44868.70084</v>
      </c>
      <c r="G3322" s="24" t="str">
        <f>IFERROR(__xludf.DUMMYFUNCTION("""COMPUTED_VALUE"""),"Norma Kriger")</f>
        <v>Norma Kriger</v>
      </c>
      <c r="H3322" s="24">
        <f>IFERROR(__xludf.DUMMYFUNCTION("""COMPUTED_VALUE"""),16.0)</f>
        <v>16</v>
      </c>
      <c r="I3322" s="24" t="str">
        <f>IFERROR(__xludf.DUMMYFUNCTION("""COMPUTED_VALUE"""),"Regular (up to 20lbs)")</f>
        <v>Regular (up to 20lbs)</v>
      </c>
    </row>
    <row r="3323">
      <c r="A3323" s="23">
        <f>IFERROR(__xludf.DUMMYFUNCTION("""COMPUTED_VALUE"""),44824.69637133102)</f>
        <v>44824.69637</v>
      </c>
      <c r="B3323" s="24" t="str">
        <f>IFERROR(__xludf.DUMMYFUNCTION("""COMPUTED_VALUE"""),"Beverly Pinn")</f>
        <v>Beverly Pinn</v>
      </c>
      <c r="C3323" s="24">
        <f>IFERROR(__xludf.DUMMYFUNCTION("""COMPUTED_VALUE"""),10.0)</f>
        <v>10</v>
      </c>
      <c r="D3323" s="24"/>
      <c r="F3323" s="23">
        <f>IFERROR(__xludf.DUMMYFUNCTION("""COMPUTED_VALUE"""),44868.7012633912)</f>
        <v>44868.70126</v>
      </c>
      <c r="G3323" s="24" t="str">
        <f>IFERROR(__xludf.DUMMYFUNCTION("""COMPUTED_VALUE"""),"Norma Kriger")</f>
        <v>Norma Kriger</v>
      </c>
      <c r="H3323" s="24">
        <f>IFERROR(__xludf.DUMMYFUNCTION("""COMPUTED_VALUE"""),5.0)</f>
        <v>5</v>
      </c>
      <c r="I3323" s="24" t="str">
        <f>IFERROR(__xludf.DUMMYFUNCTION("""COMPUTED_VALUE"""),"Damage/expired/extra")</f>
        <v>Damage/expired/extra</v>
      </c>
    </row>
    <row r="3324">
      <c r="A3324" s="23">
        <f>IFERROR(__xludf.DUMMYFUNCTION("""COMPUTED_VALUE"""),44824.696896284724)</f>
        <v>44824.6969</v>
      </c>
      <c r="B3324" s="24" t="str">
        <f>IFERROR(__xludf.DUMMYFUNCTION("""COMPUTED_VALUE"""),"Jean")</f>
        <v>Jean</v>
      </c>
      <c r="C3324" s="24">
        <f>IFERROR(__xludf.DUMMYFUNCTION("""COMPUTED_VALUE"""),3.0)</f>
        <v>3</v>
      </c>
      <c r="D3324" s="24"/>
      <c r="F3324" s="23">
        <f>IFERROR(__xludf.DUMMYFUNCTION("""COMPUTED_VALUE"""),44869.0)</f>
        <v>44869</v>
      </c>
      <c r="G3324" s="24" t="str">
        <f>IFERROR(__xludf.DUMMYFUNCTION("""COMPUTED_VALUE"""),"Theresa Columbus")</f>
        <v>Theresa Columbus</v>
      </c>
      <c r="H3324" s="24">
        <f>IFERROR(__xludf.DUMMYFUNCTION("""COMPUTED_VALUE"""),20.0)</f>
        <v>20</v>
      </c>
      <c r="I3324" s="24" t="str">
        <f>IFERROR(__xludf.DUMMYFUNCTION("""COMPUTED_VALUE"""),"Regular (up to 20lbs)")</f>
        <v>Regular (up to 20lbs)</v>
      </c>
    </row>
    <row r="3325">
      <c r="A3325" s="23">
        <f>IFERROR(__xludf.DUMMYFUNCTION("""COMPUTED_VALUE"""),44824.7114191088)</f>
        <v>44824.71142</v>
      </c>
      <c r="B3325" s="24" t="str">
        <f>IFERROR(__xludf.DUMMYFUNCTION("""COMPUTED_VALUE"""),"Jean")</f>
        <v>Jean</v>
      </c>
      <c r="C3325" s="24">
        <f>IFERROR(__xludf.DUMMYFUNCTION("""COMPUTED_VALUE"""),4.0)</f>
        <v>4</v>
      </c>
      <c r="D3325" s="24"/>
      <c r="F3325" s="23">
        <f>IFERROR(__xludf.DUMMYFUNCTION("""COMPUTED_VALUE"""),44869.0)</f>
        <v>44869</v>
      </c>
      <c r="G3325" s="24" t="str">
        <f>IFERROR(__xludf.DUMMYFUNCTION("""COMPUTED_VALUE"""),"Theresa Columbus")</f>
        <v>Theresa Columbus</v>
      </c>
      <c r="H3325" s="24">
        <f>IFERROR(__xludf.DUMMYFUNCTION("""COMPUTED_VALUE"""),7.0)</f>
        <v>7</v>
      </c>
      <c r="I3325" s="24" t="str">
        <f>IFERROR(__xludf.DUMMYFUNCTION("""COMPUTED_VALUE"""),"Damage/expired/extra")</f>
        <v>Damage/expired/extra</v>
      </c>
    </row>
    <row r="3326">
      <c r="A3326" s="23">
        <f>IFERROR(__xludf.DUMMYFUNCTION("""COMPUTED_VALUE"""),44825.0)</f>
        <v>44825</v>
      </c>
      <c r="B3326" s="24" t="str">
        <f>IFERROR(__xludf.DUMMYFUNCTION("""COMPUTED_VALUE"""),"Juanita Chandler")</f>
        <v>Juanita Chandler</v>
      </c>
      <c r="C3326" s="24">
        <f>IFERROR(__xludf.DUMMYFUNCTION("""COMPUTED_VALUE"""),15.0)</f>
        <v>15</v>
      </c>
      <c r="D3326" s="24"/>
      <c r="F3326" s="23">
        <f>IFERROR(__xludf.DUMMYFUNCTION("""COMPUTED_VALUE"""),44869.61801658564)</f>
        <v>44869.61802</v>
      </c>
      <c r="G3326" s="24" t="str">
        <f>IFERROR(__xludf.DUMMYFUNCTION("""COMPUTED_VALUE"""),"Claire")</f>
        <v>Claire</v>
      </c>
      <c r="H3326" s="24">
        <f>IFERROR(__xludf.DUMMYFUNCTION("""COMPUTED_VALUE"""),639.0)</f>
        <v>639</v>
      </c>
      <c r="I3326" s="24" t="str">
        <f>IFERROR(__xludf.DUMMYFUNCTION("""COMPUTED_VALUE"""),"Assorted Dry")</f>
        <v>Assorted Dry</v>
      </c>
    </row>
    <row r="3327">
      <c r="A3327" s="23">
        <f>IFERROR(__xludf.DUMMYFUNCTION("""COMPUTED_VALUE"""),44825.0)</f>
        <v>44825</v>
      </c>
      <c r="B3327" s="24" t="str">
        <f>IFERROR(__xludf.DUMMYFUNCTION("""COMPUTED_VALUE"""),"Juanita Chandler")</f>
        <v>Juanita Chandler</v>
      </c>
      <c r="C3327" s="24">
        <f>IFERROR(__xludf.DUMMYFUNCTION("""COMPUTED_VALUE"""),25.0)</f>
        <v>25</v>
      </c>
      <c r="D3327" s="24"/>
      <c r="F3327" s="23">
        <f>IFERROR(__xludf.DUMMYFUNCTION("""COMPUTED_VALUE"""),44869.61840791667)</f>
        <v>44869.61841</v>
      </c>
      <c r="G3327" s="24" t="str">
        <f>IFERROR(__xludf.DUMMYFUNCTION("""COMPUTED_VALUE"""),"Claire")</f>
        <v>Claire</v>
      </c>
      <c r="H3327" s="24">
        <f>IFERROR(__xludf.DUMMYFUNCTION("""COMPUTED_VALUE"""),619.0)</f>
        <v>619</v>
      </c>
      <c r="I3327" s="24" t="str">
        <f>IFERROR(__xludf.DUMMYFUNCTION("""COMPUTED_VALUE"""),"Assorted Dry")</f>
        <v>Assorted Dry</v>
      </c>
    </row>
    <row r="3328">
      <c r="A3328" s="23">
        <f>IFERROR(__xludf.DUMMYFUNCTION("""COMPUTED_VALUE"""),44825.0)</f>
        <v>44825</v>
      </c>
      <c r="B3328" s="24" t="str">
        <f>IFERROR(__xludf.DUMMYFUNCTION("""COMPUTED_VALUE"""),"Doris Parker tuggle")</f>
        <v>Doris Parker tuggle</v>
      </c>
      <c r="C3328" s="24">
        <f>IFERROR(__xludf.DUMMYFUNCTION("""COMPUTED_VALUE"""),15.0)</f>
        <v>15</v>
      </c>
      <c r="D3328" s="24"/>
      <c r="F3328" s="23">
        <f>IFERROR(__xludf.DUMMYFUNCTION("""COMPUTED_VALUE"""),44869.61884496528)</f>
        <v>44869.61884</v>
      </c>
      <c r="G3328" s="24" t="str">
        <f>IFERROR(__xludf.DUMMYFUNCTION("""COMPUTED_VALUE"""),"Claire")</f>
        <v>Claire</v>
      </c>
      <c r="H3328" s="24">
        <f>IFERROR(__xludf.DUMMYFUNCTION("""COMPUTED_VALUE"""),111.0)</f>
        <v>111</v>
      </c>
      <c r="I3328" s="24" t="str">
        <f>IFERROR(__xludf.DUMMYFUNCTION("""COMPUTED_VALUE"""),"Snacks")</f>
        <v>Snacks</v>
      </c>
    </row>
    <row r="3329">
      <c r="A3329" s="23">
        <f>IFERROR(__xludf.DUMMYFUNCTION("""COMPUTED_VALUE"""),44825.0)</f>
        <v>44825</v>
      </c>
      <c r="B3329" s="24" t="str">
        <f>IFERROR(__xludf.DUMMYFUNCTION("""COMPUTED_VALUE"""),"Doris Parker tuggle")</f>
        <v>Doris Parker tuggle</v>
      </c>
      <c r="C3329" s="24">
        <f>IFERROR(__xludf.DUMMYFUNCTION("""COMPUTED_VALUE"""),4.0)</f>
        <v>4</v>
      </c>
      <c r="D3329" s="24"/>
      <c r="F3329" s="23">
        <f>IFERROR(__xludf.DUMMYFUNCTION("""COMPUTED_VALUE"""),44869.61922538194)</f>
        <v>44869.61923</v>
      </c>
      <c r="G3329" s="24" t="str">
        <f>IFERROR(__xludf.DUMMYFUNCTION("""COMPUTED_VALUE"""),"Claire")</f>
        <v>Claire</v>
      </c>
      <c r="H3329" s="24">
        <f>IFERROR(__xludf.DUMMYFUNCTION("""COMPUTED_VALUE"""),119.0)</f>
        <v>119</v>
      </c>
      <c r="I3329" s="24" t="str">
        <f>IFERROR(__xludf.DUMMYFUNCTION("""COMPUTED_VALUE"""),"Fruit cups")</f>
        <v>Fruit cups</v>
      </c>
    </row>
    <row r="3330">
      <c r="A3330" s="23">
        <f>IFERROR(__xludf.DUMMYFUNCTION("""COMPUTED_VALUE"""),44825.0)</f>
        <v>44825</v>
      </c>
      <c r="B3330" s="24" t="str">
        <f>IFERROR(__xludf.DUMMYFUNCTION("""COMPUTED_VALUE"""),"Dee Satterfield")</f>
        <v>Dee Satterfield</v>
      </c>
      <c r="C3330" s="24">
        <f>IFERROR(__xludf.DUMMYFUNCTION("""COMPUTED_VALUE"""),17.0)</f>
        <v>17</v>
      </c>
      <c r="D3330" s="24"/>
      <c r="F3330" s="23">
        <f>IFERROR(__xludf.DUMMYFUNCTION("""COMPUTED_VALUE"""),44869.61961561343)</f>
        <v>44869.61962</v>
      </c>
      <c r="G3330" s="24" t="str">
        <f>IFERROR(__xludf.DUMMYFUNCTION("""COMPUTED_VALUE"""),"Claire")</f>
        <v>Claire</v>
      </c>
      <c r="H3330" s="24">
        <f>IFERROR(__xludf.DUMMYFUNCTION("""COMPUTED_VALUE"""),1174.0)</f>
        <v>1174</v>
      </c>
      <c r="I3330" s="24" t="str">
        <f>IFERROR(__xludf.DUMMYFUNCTION("""COMPUTED_VALUE"""),"Fruit cups")</f>
        <v>Fruit cups</v>
      </c>
    </row>
    <row r="3331">
      <c r="A3331" s="23">
        <f>IFERROR(__xludf.DUMMYFUNCTION("""COMPUTED_VALUE"""),44825.0)</f>
        <v>44825</v>
      </c>
      <c r="B3331" s="24" t="str">
        <f>IFERROR(__xludf.DUMMYFUNCTION("""COMPUTED_VALUE"""),"Dee Satterfield")</f>
        <v>Dee Satterfield</v>
      </c>
      <c r="C3331" s="24">
        <f>IFERROR(__xludf.DUMMYFUNCTION("""COMPUTED_VALUE"""),1.0)</f>
        <v>1</v>
      </c>
      <c r="D3331" s="24"/>
      <c r="F3331" s="23">
        <f>IFERROR(__xludf.DUMMYFUNCTION("""COMPUTED_VALUE"""),44869.62013113426)</f>
        <v>44869.62013</v>
      </c>
      <c r="G3331" s="24" t="str">
        <f>IFERROR(__xludf.DUMMYFUNCTION("""COMPUTED_VALUE"""),"Claire")</f>
        <v>Claire</v>
      </c>
      <c r="H3331" s="24">
        <f>IFERROR(__xludf.DUMMYFUNCTION("""COMPUTED_VALUE"""),1134.0)</f>
        <v>1134</v>
      </c>
      <c r="I3331" s="24" t="str">
        <f>IFERROR(__xludf.DUMMYFUNCTION("""COMPUTED_VALUE"""),"Fruit cups")</f>
        <v>Fruit cups</v>
      </c>
    </row>
    <row r="3332">
      <c r="A3332" s="23">
        <f>IFERROR(__xludf.DUMMYFUNCTION("""COMPUTED_VALUE"""),44825.0)</f>
        <v>44825</v>
      </c>
      <c r="B3332" s="24" t="str">
        <f>IFERROR(__xludf.DUMMYFUNCTION("""COMPUTED_VALUE"""),"Sharron Robinson")</f>
        <v>Sharron Robinson</v>
      </c>
      <c r="C3332" s="24">
        <f>IFERROR(__xludf.DUMMYFUNCTION("""COMPUTED_VALUE"""),18.0)</f>
        <v>18</v>
      </c>
      <c r="D3332" s="24"/>
      <c r="F3332" s="23">
        <f>IFERROR(__xludf.DUMMYFUNCTION("""COMPUTED_VALUE"""),44869.62050203704)</f>
        <v>44869.6205</v>
      </c>
      <c r="G3332" s="24" t="str">
        <f>IFERROR(__xludf.DUMMYFUNCTION("""COMPUTED_VALUE"""),"Claire")</f>
        <v>Claire</v>
      </c>
      <c r="H3332" s="24">
        <f>IFERROR(__xludf.DUMMYFUNCTION("""COMPUTED_VALUE"""),768.0)</f>
        <v>768</v>
      </c>
      <c r="I3332" s="24" t="str">
        <f>IFERROR(__xludf.DUMMYFUNCTION("""COMPUTED_VALUE"""),"Produce")</f>
        <v>Produce</v>
      </c>
    </row>
    <row r="3333">
      <c r="A3333" s="23">
        <f>IFERROR(__xludf.DUMMYFUNCTION("""COMPUTED_VALUE"""),44825.0)</f>
        <v>44825</v>
      </c>
      <c r="B3333" s="24" t="str">
        <f>IFERROR(__xludf.DUMMYFUNCTION("""COMPUTED_VALUE"""),"Sharron Robinson")</f>
        <v>Sharron Robinson</v>
      </c>
      <c r="C3333" s="24">
        <f>IFERROR(__xludf.DUMMYFUNCTION("""COMPUTED_VALUE"""),18.0)</f>
        <v>18</v>
      </c>
      <c r="D3333" s="24"/>
      <c r="F3333" s="23">
        <f>IFERROR(__xludf.DUMMYFUNCTION("""COMPUTED_VALUE"""),44869.62102298611)</f>
        <v>44869.62102</v>
      </c>
      <c r="G3333" s="24" t="str">
        <f>IFERROR(__xludf.DUMMYFUNCTION("""COMPUTED_VALUE"""),"Claire")</f>
        <v>Claire</v>
      </c>
      <c r="H3333" s="24">
        <f>IFERROR(__xludf.DUMMYFUNCTION("""COMPUTED_VALUE"""),1038.0)</f>
        <v>1038</v>
      </c>
      <c r="I3333" s="24" t="str">
        <f>IFERROR(__xludf.DUMMYFUNCTION("""COMPUTED_VALUE"""),"Fruit cups")</f>
        <v>Fruit cups</v>
      </c>
    </row>
    <row r="3334">
      <c r="A3334" s="23">
        <f>IFERROR(__xludf.DUMMYFUNCTION("""COMPUTED_VALUE"""),44825.0)</f>
        <v>44825</v>
      </c>
      <c r="B3334" s="24" t="str">
        <f>IFERROR(__xludf.DUMMYFUNCTION("""COMPUTED_VALUE"""),"Jo Richards")</f>
        <v>Jo Richards</v>
      </c>
      <c r="C3334" s="24">
        <f>IFERROR(__xludf.DUMMYFUNCTION("""COMPUTED_VALUE"""),20.0)</f>
        <v>20</v>
      </c>
      <c r="D3334" s="24"/>
      <c r="F3334" s="23">
        <f>IFERROR(__xludf.DUMMYFUNCTION("""COMPUTED_VALUE"""),44869.621321875)</f>
        <v>44869.62132</v>
      </c>
      <c r="G3334" s="24" t="str">
        <f>IFERROR(__xludf.DUMMYFUNCTION("""COMPUTED_VALUE"""),"Claire")</f>
        <v>Claire</v>
      </c>
      <c r="H3334" s="24">
        <f>IFERROR(__xludf.DUMMYFUNCTION("""COMPUTED_VALUE"""),860.0)</f>
        <v>860</v>
      </c>
      <c r="I3334" s="24" t="str">
        <f>IFERROR(__xludf.DUMMYFUNCTION("""COMPUTED_VALUE"""),"Produce")</f>
        <v>Produce</v>
      </c>
    </row>
    <row r="3335">
      <c r="A3335" s="23">
        <f>IFERROR(__xludf.DUMMYFUNCTION("""COMPUTED_VALUE"""),44825.0)</f>
        <v>44825</v>
      </c>
      <c r="B3335" s="24" t="str">
        <f>IFERROR(__xludf.DUMMYFUNCTION("""COMPUTED_VALUE"""),"Jo Richards")</f>
        <v>Jo Richards</v>
      </c>
      <c r="C3335" s="24">
        <f>IFERROR(__xludf.DUMMYFUNCTION("""COMPUTED_VALUE"""),1.0)</f>
        <v>1</v>
      </c>
      <c r="D3335" s="24"/>
      <c r="F3335" s="23">
        <f>IFERROR(__xludf.DUMMYFUNCTION("""COMPUTED_VALUE"""),44869.62163019676)</f>
        <v>44869.62163</v>
      </c>
      <c r="G3335" s="24" t="str">
        <f>IFERROR(__xludf.DUMMYFUNCTION("""COMPUTED_VALUE"""),"Claire")</f>
        <v>Claire</v>
      </c>
      <c r="H3335" s="24">
        <f>IFERROR(__xludf.DUMMYFUNCTION("""COMPUTED_VALUE"""),789.0)</f>
        <v>789</v>
      </c>
      <c r="I3335" s="24" t="str">
        <f>IFERROR(__xludf.DUMMYFUNCTION("""COMPUTED_VALUE"""),"Produce")</f>
        <v>Produce</v>
      </c>
    </row>
    <row r="3336">
      <c r="A3336" s="23">
        <f>IFERROR(__xludf.DUMMYFUNCTION("""COMPUTED_VALUE"""),44825.0)</f>
        <v>44825</v>
      </c>
      <c r="B3336" s="24" t="str">
        <f>IFERROR(__xludf.DUMMYFUNCTION("""COMPUTED_VALUE"""),"Lynwood McDaniel")</f>
        <v>Lynwood McDaniel</v>
      </c>
      <c r="C3336" s="24">
        <f>IFERROR(__xludf.DUMMYFUNCTION("""COMPUTED_VALUE"""),19.0)</f>
        <v>19</v>
      </c>
      <c r="D3336" s="24"/>
      <c r="F3336" s="23">
        <f>IFERROR(__xludf.DUMMYFUNCTION("""COMPUTED_VALUE"""),44869.62196128473)</f>
        <v>44869.62196</v>
      </c>
      <c r="G3336" s="24" t="str">
        <f>IFERROR(__xludf.DUMMYFUNCTION("""COMPUTED_VALUE"""),"Claire")</f>
        <v>Claire</v>
      </c>
      <c r="H3336" s="24">
        <f>IFERROR(__xludf.DUMMYFUNCTION("""COMPUTED_VALUE"""),1163.0)</f>
        <v>1163</v>
      </c>
      <c r="I3336" s="24" t="str">
        <f>IFERROR(__xludf.DUMMYFUNCTION("""COMPUTED_VALUE"""),"Fruit cups")</f>
        <v>Fruit cups</v>
      </c>
    </row>
    <row r="3337">
      <c r="A3337" s="23">
        <f>IFERROR(__xludf.DUMMYFUNCTION("""COMPUTED_VALUE"""),44825.0)</f>
        <v>44825</v>
      </c>
      <c r="B3337" s="24" t="str">
        <f>IFERROR(__xludf.DUMMYFUNCTION("""COMPUTED_VALUE"""),"Lynwood McDaniel")</f>
        <v>Lynwood McDaniel</v>
      </c>
      <c r="C3337" s="24">
        <f>IFERROR(__xludf.DUMMYFUNCTION("""COMPUTED_VALUE"""),5.0)</f>
        <v>5</v>
      </c>
      <c r="D3337" s="24"/>
      <c r="F3337" s="23">
        <f>IFERROR(__xludf.DUMMYFUNCTION("""COMPUTED_VALUE"""),44869.622328101854)</f>
        <v>44869.62233</v>
      </c>
      <c r="G3337" s="24" t="str">
        <f>IFERROR(__xludf.DUMMYFUNCTION("""COMPUTED_VALUE"""),"Claire")</f>
        <v>Claire</v>
      </c>
      <c r="H3337" s="24">
        <f>IFERROR(__xludf.DUMMYFUNCTION("""COMPUTED_VALUE"""),1502.0)</f>
        <v>1502</v>
      </c>
      <c r="I3337" s="24" t="str">
        <f>IFERROR(__xludf.DUMMYFUNCTION("""COMPUTED_VALUE"""),"Hand sanitizer")</f>
        <v>Hand sanitizer</v>
      </c>
    </row>
    <row r="3338">
      <c r="A3338" s="23">
        <f>IFERROR(__xludf.DUMMYFUNCTION("""COMPUTED_VALUE"""),44825.0)</f>
        <v>44825</v>
      </c>
      <c r="B3338" s="24" t="str">
        <f>IFERROR(__xludf.DUMMYFUNCTION("""COMPUTED_VALUE"""),"Melissa")</f>
        <v>Melissa</v>
      </c>
      <c r="C3338" s="24">
        <f>IFERROR(__xludf.DUMMYFUNCTION("""COMPUTED_VALUE"""),18.0)</f>
        <v>18</v>
      </c>
      <c r="D3338" s="24"/>
      <c r="F3338" s="23">
        <f>IFERROR(__xludf.DUMMYFUNCTION("""COMPUTED_VALUE"""),44869.62263208333)</f>
        <v>44869.62263</v>
      </c>
      <c r="G3338" s="24" t="str">
        <f>IFERROR(__xludf.DUMMYFUNCTION("""COMPUTED_VALUE"""),"Claire")</f>
        <v>Claire</v>
      </c>
      <c r="H3338" s="24">
        <f>IFERROR(__xludf.DUMMYFUNCTION("""COMPUTED_VALUE"""),223.0)</f>
        <v>223</v>
      </c>
      <c r="I3338" s="24" t="str">
        <f>IFERROR(__xludf.DUMMYFUNCTION("""COMPUTED_VALUE"""),"Snacks")</f>
        <v>Snacks</v>
      </c>
    </row>
    <row r="3339">
      <c r="A3339" s="23">
        <f>IFERROR(__xludf.DUMMYFUNCTION("""COMPUTED_VALUE"""),44825.0)</f>
        <v>44825</v>
      </c>
      <c r="B3339" s="24" t="str">
        <f>IFERROR(__xludf.DUMMYFUNCTION("""COMPUTED_VALUE"""),"melissa")</f>
        <v>melissa</v>
      </c>
      <c r="C3339" s="24">
        <f>IFERROR(__xludf.DUMMYFUNCTION("""COMPUTED_VALUE"""),7.0)</f>
        <v>7</v>
      </c>
      <c r="D3339" s="24"/>
      <c r="F3339" s="23">
        <f>IFERROR(__xludf.DUMMYFUNCTION("""COMPUTED_VALUE"""),44869.68822130787)</f>
        <v>44869.68822</v>
      </c>
      <c r="G3339" s="24" t="str">
        <f>IFERROR(__xludf.DUMMYFUNCTION("""COMPUTED_VALUE"""),"Maria Reyes ")</f>
        <v>Maria Reyes </v>
      </c>
      <c r="H3339" s="24">
        <f>IFERROR(__xludf.DUMMYFUNCTION("""COMPUTED_VALUE"""),13.0)</f>
        <v>13</v>
      </c>
      <c r="I3339" s="24" t="str">
        <f>IFERROR(__xludf.DUMMYFUNCTION("""COMPUTED_VALUE"""),"Regular (up to 20lbs)")</f>
        <v>Regular (up to 20lbs)</v>
      </c>
    </row>
    <row r="3340">
      <c r="A3340" s="23">
        <f>IFERROR(__xludf.DUMMYFUNCTION("""COMPUTED_VALUE"""),44825.59412230324)</f>
        <v>44825.59412</v>
      </c>
      <c r="B3340" s="24" t="str">
        <f>IFERROR(__xludf.DUMMYFUNCTION("""COMPUTED_VALUE"""),"Bud- Sisson st dpw drinks")</f>
        <v>Bud- Sisson st dpw drinks</v>
      </c>
      <c r="C3340" s="24">
        <f>IFERROR(__xludf.DUMMYFUNCTION("""COMPUTED_VALUE"""),19.0)</f>
        <v>19</v>
      </c>
      <c r="D3340" s="24"/>
      <c r="F3340" s="23">
        <f>IFERROR(__xludf.DUMMYFUNCTION("""COMPUTED_VALUE"""),44869.688434027776)</f>
        <v>44869.68843</v>
      </c>
      <c r="G3340" s="24" t="str">
        <f>IFERROR(__xludf.DUMMYFUNCTION("""COMPUTED_VALUE"""),"Shantika Bhat")</f>
        <v>Shantika Bhat</v>
      </c>
      <c r="H3340" s="24">
        <f>IFERROR(__xludf.DUMMYFUNCTION("""COMPUTED_VALUE"""),11.0)</f>
        <v>11</v>
      </c>
      <c r="I3340" s="24" t="str">
        <f>IFERROR(__xludf.DUMMYFUNCTION("""COMPUTED_VALUE"""),"Regular (up to 20lbs)")</f>
        <v>Regular (up to 20lbs)</v>
      </c>
    </row>
    <row r="3341">
      <c r="A3341" s="23">
        <f>IFERROR(__xludf.DUMMYFUNCTION("""COMPUTED_VALUE"""),44825.59530350694)</f>
        <v>44825.5953</v>
      </c>
      <c r="B3341" s="24" t="str">
        <f>IFERROR(__xludf.DUMMYFUNCTION("""COMPUTED_VALUE"""),"Bud Stracker - personal")</f>
        <v>Bud Stracker - personal</v>
      </c>
      <c r="C3341" s="24">
        <f>IFERROR(__xludf.DUMMYFUNCTION("""COMPUTED_VALUE"""),6.0)</f>
        <v>6</v>
      </c>
      <c r="D3341" s="24"/>
      <c r="F3341" s="23">
        <f>IFERROR(__xludf.DUMMYFUNCTION("""COMPUTED_VALUE"""),44869.68949724537)</f>
        <v>44869.6895</v>
      </c>
      <c r="G3341" s="24" t="str">
        <f>IFERROR(__xludf.DUMMYFUNCTION("""COMPUTED_VALUE"""),"Beth Torres")</f>
        <v>Beth Torres</v>
      </c>
      <c r="H3341" s="24">
        <f>IFERROR(__xludf.DUMMYFUNCTION("""COMPUTED_VALUE"""),15.0)</f>
        <v>15</v>
      </c>
      <c r="I3341" s="24" t="str">
        <f>IFERROR(__xludf.DUMMYFUNCTION("""COMPUTED_VALUE"""),"Regular (up to 20lbs)")</f>
        <v>Regular (up to 20lbs)</v>
      </c>
    </row>
    <row r="3342">
      <c r="A3342" s="23">
        <f>IFERROR(__xludf.DUMMYFUNCTION("""COMPUTED_VALUE"""),44825.70884575231)</f>
        <v>44825.70885</v>
      </c>
      <c r="B3342" s="24" t="str">
        <f>IFERROR(__xludf.DUMMYFUNCTION("""COMPUTED_VALUE"""),"Luke mayhew")</f>
        <v>Luke mayhew</v>
      </c>
      <c r="C3342" s="24">
        <f>IFERROR(__xludf.DUMMYFUNCTION("""COMPUTED_VALUE"""),20.0)</f>
        <v>20</v>
      </c>
      <c r="D3342" s="24"/>
      <c r="F3342" s="23">
        <f>IFERROR(__xludf.DUMMYFUNCTION("""COMPUTED_VALUE"""),44869.68960370371)</f>
        <v>44869.6896</v>
      </c>
      <c r="G3342" s="24" t="str">
        <f>IFERROR(__xludf.DUMMYFUNCTION("""COMPUTED_VALUE"""),"Beth Torres")</f>
        <v>Beth Torres</v>
      </c>
      <c r="H3342" s="24">
        <f>IFERROR(__xludf.DUMMYFUNCTION("""COMPUTED_VALUE"""),16.0)</f>
        <v>16</v>
      </c>
      <c r="I3342" s="24" t="str">
        <f>IFERROR(__xludf.DUMMYFUNCTION("""COMPUTED_VALUE"""),"Damage/expired/extra")</f>
        <v>Damage/expired/extra</v>
      </c>
    </row>
    <row r="3343">
      <c r="A3343" s="23">
        <f>IFERROR(__xludf.DUMMYFUNCTION("""COMPUTED_VALUE"""),44825.709478576384)</f>
        <v>44825.70948</v>
      </c>
      <c r="B3343" s="24" t="str">
        <f>IFERROR(__xludf.DUMMYFUNCTION("""COMPUTED_VALUE"""),"Luke Mayhew")</f>
        <v>Luke Mayhew</v>
      </c>
      <c r="C3343" s="24">
        <f>IFERROR(__xludf.DUMMYFUNCTION("""COMPUTED_VALUE"""),21.0)</f>
        <v>21</v>
      </c>
      <c r="D3343" s="24"/>
      <c r="F3343" s="23">
        <f>IFERROR(__xludf.DUMMYFUNCTION("""COMPUTED_VALUE"""),44869.69969413195)</f>
        <v>44869.69969</v>
      </c>
      <c r="G3343" s="24" t="str">
        <f>IFERROR(__xludf.DUMMYFUNCTION("""COMPUTED_VALUE"""),"Sunita pathik")</f>
        <v>Sunita pathik</v>
      </c>
      <c r="H3343" s="24">
        <f>IFERROR(__xludf.DUMMYFUNCTION("""COMPUTED_VALUE"""),8.0)</f>
        <v>8</v>
      </c>
      <c r="I3343" s="24" t="str">
        <f>IFERROR(__xludf.DUMMYFUNCTION("""COMPUTED_VALUE"""),"Regular (up to 20lbs)")</f>
        <v>Regular (up to 20lbs)</v>
      </c>
    </row>
    <row r="3344">
      <c r="A3344" s="23">
        <f>IFERROR(__xludf.DUMMYFUNCTION("""COMPUTED_VALUE"""),44826.0)</f>
        <v>44826</v>
      </c>
      <c r="B3344" s="24" t="str">
        <f>IFERROR(__xludf.DUMMYFUNCTION("""COMPUTED_VALUE"""),"Jean")</f>
        <v>Jean</v>
      </c>
      <c r="C3344" s="24">
        <f>IFERROR(__xludf.DUMMYFUNCTION("""COMPUTED_VALUE"""),19.0)</f>
        <v>19</v>
      </c>
      <c r="D3344" s="24"/>
      <c r="F3344" s="23">
        <f>IFERROR(__xludf.DUMMYFUNCTION("""COMPUTED_VALUE"""),44869.70064086805)</f>
        <v>44869.70064</v>
      </c>
      <c r="G3344" s="24" t="str">
        <f>IFERROR(__xludf.DUMMYFUNCTION("""COMPUTED_VALUE"""),"Juanita Chandler ")</f>
        <v>Juanita Chandler </v>
      </c>
      <c r="H3344" s="24">
        <f>IFERROR(__xludf.DUMMYFUNCTION("""COMPUTED_VALUE"""),16.0)</f>
        <v>16</v>
      </c>
      <c r="I3344" s="24" t="str">
        <f>IFERROR(__xludf.DUMMYFUNCTION("""COMPUTED_VALUE"""),"Regular (up to 20lbs)")</f>
        <v>Regular (up to 20lbs)</v>
      </c>
    </row>
    <row r="3345">
      <c r="A3345" s="23">
        <f>IFERROR(__xludf.DUMMYFUNCTION("""COMPUTED_VALUE"""),44826.0)</f>
        <v>44826</v>
      </c>
      <c r="B3345" s="24" t="str">
        <f>IFERROR(__xludf.DUMMYFUNCTION("""COMPUTED_VALUE"""),"Jean")</f>
        <v>Jean</v>
      </c>
      <c r="C3345" s="24">
        <f>IFERROR(__xludf.DUMMYFUNCTION("""COMPUTED_VALUE"""),10.0)</f>
        <v>10</v>
      </c>
      <c r="D3345" s="24"/>
      <c r="F3345" s="23">
        <f>IFERROR(__xludf.DUMMYFUNCTION("""COMPUTED_VALUE"""),44869.70164248843)</f>
        <v>44869.70164</v>
      </c>
      <c r="G3345" s="24" t="str">
        <f>IFERROR(__xludf.DUMMYFUNCTION("""COMPUTED_VALUE"""),"Juanita Chandler ")</f>
        <v>Juanita Chandler </v>
      </c>
      <c r="H3345" s="24">
        <f>IFERROR(__xludf.DUMMYFUNCTION("""COMPUTED_VALUE"""),2.0)</f>
        <v>2</v>
      </c>
      <c r="I3345" s="24" t="str">
        <f>IFERROR(__xludf.DUMMYFUNCTION("""COMPUTED_VALUE"""),"Damage/expired/extra")</f>
        <v>Damage/expired/extra</v>
      </c>
    </row>
    <row r="3346">
      <c r="A3346" s="23">
        <f>IFERROR(__xludf.DUMMYFUNCTION("""COMPUTED_VALUE"""),44826.0)</f>
        <v>44826</v>
      </c>
      <c r="B3346" s="24" t="str">
        <f>IFERROR(__xludf.DUMMYFUNCTION("""COMPUTED_VALUE"""),"Denise Brown")</f>
        <v>Denise Brown</v>
      </c>
      <c r="C3346" s="24">
        <f>IFERROR(__xludf.DUMMYFUNCTION("""COMPUTED_VALUE"""),15.0)</f>
        <v>15</v>
      </c>
      <c r="D3346" s="24"/>
      <c r="F3346" s="23">
        <f>IFERROR(__xludf.DUMMYFUNCTION("""COMPUTED_VALUE"""),44869.70164925926)</f>
        <v>44869.70165</v>
      </c>
      <c r="G3346" s="24" t="str">
        <f>IFERROR(__xludf.DUMMYFUNCTION("""COMPUTED_VALUE"""),"Sunita pathik ")</f>
        <v>Sunita pathik </v>
      </c>
      <c r="H3346" s="24">
        <f>IFERROR(__xludf.DUMMYFUNCTION("""COMPUTED_VALUE"""),153.0)</f>
        <v>153</v>
      </c>
      <c r="I3346" s="24" t="str">
        <f>IFERROR(__xludf.DUMMYFUNCTION("""COMPUTED_VALUE"""),"Assorted Fridge")</f>
        <v>Assorted Fridge</v>
      </c>
    </row>
    <row r="3347">
      <c r="A3347" s="23">
        <f>IFERROR(__xludf.DUMMYFUNCTION("""COMPUTED_VALUE"""),44826.0)</f>
        <v>44826</v>
      </c>
      <c r="B3347" s="24" t="str">
        <f>IFERROR(__xludf.DUMMYFUNCTION("""COMPUTED_VALUE"""),"Denise Brown")</f>
        <v>Denise Brown</v>
      </c>
      <c r="C3347" s="24">
        <f>IFERROR(__xludf.DUMMYFUNCTION("""COMPUTED_VALUE"""),2.0)</f>
        <v>2</v>
      </c>
      <c r="D3347" s="24"/>
      <c r="F3347" s="23">
        <f>IFERROR(__xludf.DUMMYFUNCTION("""COMPUTED_VALUE"""),44870.0)</f>
        <v>44870</v>
      </c>
      <c r="G3347" s="24" t="str">
        <f>IFERROR(__xludf.DUMMYFUNCTION("""COMPUTED_VALUE"""),"Angeles Cortes")</f>
        <v>Angeles Cortes</v>
      </c>
      <c r="H3347" s="24">
        <f>IFERROR(__xludf.DUMMYFUNCTION("""COMPUTED_VALUE"""),15.0)</f>
        <v>15</v>
      </c>
      <c r="I3347" s="24" t="str">
        <f>IFERROR(__xludf.DUMMYFUNCTION("""COMPUTED_VALUE"""),"Regular (up to 20lbs)")</f>
        <v>Regular (up to 20lbs)</v>
      </c>
    </row>
    <row r="3348">
      <c r="A3348" s="23">
        <f>IFERROR(__xludf.DUMMYFUNCTION("""COMPUTED_VALUE"""),44826.0)</f>
        <v>44826</v>
      </c>
      <c r="B3348" s="24" t="str">
        <f>IFERROR(__xludf.DUMMYFUNCTION("""COMPUTED_VALUE"""),"Hong Xue")</f>
        <v>Hong Xue</v>
      </c>
      <c r="C3348" s="24">
        <f>IFERROR(__xludf.DUMMYFUNCTION("""COMPUTED_VALUE"""),20.0)</f>
        <v>20</v>
      </c>
      <c r="D3348" s="24"/>
      <c r="F3348" s="23">
        <f>IFERROR(__xludf.DUMMYFUNCTION("""COMPUTED_VALUE"""),44870.0)</f>
        <v>44870</v>
      </c>
      <c r="G3348" s="24" t="str">
        <f>IFERROR(__xludf.DUMMYFUNCTION("""COMPUTED_VALUE"""),"Angeles Cortes")</f>
        <v>Angeles Cortes</v>
      </c>
      <c r="H3348" s="24">
        <f>IFERROR(__xludf.DUMMYFUNCTION("""COMPUTED_VALUE"""),4.0)</f>
        <v>4</v>
      </c>
      <c r="I3348" s="24" t="str">
        <f>IFERROR(__xludf.DUMMYFUNCTION("""COMPUTED_VALUE"""),"Damage/expired/extra")</f>
        <v>Damage/expired/extra</v>
      </c>
    </row>
    <row r="3349">
      <c r="A3349" s="23">
        <f>IFERROR(__xludf.DUMMYFUNCTION("""COMPUTED_VALUE"""),44826.0)</f>
        <v>44826</v>
      </c>
      <c r="B3349" s="24" t="str">
        <f>IFERROR(__xludf.DUMMYFUNCTION("""COMPUTED_VALUE"""),"Hong Xue")</f>
        <v>Hong Xue</v>
      </c>
      <c r="C3349" s="24">
        <f>IFERROR(__xludf.DUMMYFUNCTION("""COMPUTED_VALUE"""),26.0)</f>
        <v>26</v>
      </c>
      <c r="D3349" s="24"/>
      <c r="F3349" s="23">
        <f>IFERROR(__xludf.DUMMYFUNCTION("""COMPUTED_VALUE"""),44870.0)</f>
        <v>44870</v>
      </c>
      <c r="G3349" s="24" t="str">
        <f>IFERROR(__xludf.DUMMYFUNCTION("""COMPUTED_VALUE"""),"Gilda Castillo")</f>
        <v>Gilda Castillo</v>
      </c>
      <c r="H3349" s="24">
        <f>IFERROR(__xludf.DUMMYFUNCTION("""COMPUTED_VALUE"""),20.0)</f>
        <v>20</v>
      </c>
      <c r="I3349" s="24" t="str">
        <f>IFERROR(__xludf.DUMMYFUNCTION("""COMPUTED_VALUE"""),"Regular (up to 20lbs)")</f>
        <v>Regular (up to 20lbs)</v>
      </c>
    </row>
    <row r="3350">
      <c r="A3350" s="23">
        <f>IFERROR(__xludf.DUMMYFUNCTION("""COMPUTED_VALUE"""),44826.0)</f>
        <v>44826</v>
      </c>
      <c r="B3350" s="24" t="str">
        <f>IFERROR(__xludf.DUMMYFUNCTION("""COMPUTED_VALUE"""),"Aziza Frank")</f>
        <v>Aziza Frank</v>
      </c>
      <c r="C3350" s="24">
        <f>IFERROR(__xludf.DUMMYFUNCTION("""COMPUTED_VALUE"""),19.0)</f>
        <v>19</v>
      </c>
      <c r="D3350" s="24"/>
      <c r="F3350" s="23">
        <f>IFERROR(__xludf.DUMMYFUNCTION("""COMPUTED_VALUE"""),44870.0)</f>
        <v>44870</v>
      </c>
      <c r="G3350" s="24" t="str">
        <f>IFERROR(__xludf.DUMMYFUNCTION("""COMPUTED_VALUE"""),"Lynette C")</f>
        <v>Lynette C</v>
      </c>
      <c r="H3350" s="24">
        <f>IFERROR(__xludf.DUMMYFUNCTION("""COMPUTED_VALUE"""),13.0)</f>
        <v>13</v>
      </c>
      <c r="I3350" s="24" t="str">
        <f>IFERROR(__xludf.DUMMYFUNCTION("""COMPUTED_VALUE"""),"Regular (up to 20lbs)")</f>
        <v>Regular (up to 20lbs)</v>
      </c>
    </row>
    <row r="3351">
      <c r="A3351" s="23">
        <f>IFERROR(__xludf.DUMMYFUNCTION("""COMPUTED_VALUE"""),44826.0)</f>
        <v>44826</v>
      </c>
      <c r="B3351" s="24" t="str">
        <f>IFERROR(__xludf.DUMMYFUNCTION("""COMPUTED_VALUE"""),"Aziza Frank")</f>
        <v>Aziza Frank</v>
      </c>
      <c r="C3351" s="24">
        <f>IFERROR(__xludf.DUMMYFUNCTION("""COMPUTED_VALUE"""),11.0)</f>
        <v>11</v>
      </c>
      <c r="D3351" s="24" t="str">
        <f>IFERROR(__xludf.DUMMYFUNCTION("""COMPUTED_VALUE"""),"Pet Supplies")</f>
        <v>Pet Supplies</v>
      </c>
      <c r="F3351" s="23">
        <f>IFERROR(__xludf.DUMMYFUNCTION("""COMPUTED_VALUE"""),44870.0)</f>
        <v>44870</v>
      </c>
      <c r="G3351" s="24" t="str">
        <f>IFERROR(__xludf.DUMMYFUNCTION("""COMPUTED_VALUE"""),"Lynette C")</f>
        <v>Lynette C</v>
      </c>
      <c r="H3351" s="24">
        <f>IFERROR(__xludf.DUMMYFUNCTION("""COMPUTED_VALUE"""),9.0)</f>
        <v>9</v>
      </c>
      <c r="I3351" s="24" t="str">
        <f>IFERROR(__xludf.DUMMYFUNCTION("""COMPUTED_VALUE"""),"Damage/expired/extra")</f>
        <v>Damage/expired/extra</v>
      </c>
    </row>
    <row r="3352">
      <c r="A3352" s="23">
        <f>IFERROR(__xludf.DUMMYFUNCTION("""COMPUTED_VALUE"""),44826.0)</f>
        <v>44826</v>
      </c>
      <c r="B3352" s="24" t="str">
        <f>IFERROR(__xludf.DUMMYFUNCTION("""COMPUTED_VALUE"""),"Nathaniel McClean")</f>
        <v>Nathaniel McClean</v>
      </c>
      <c r="C3352" s="24">
        <f>IFERROR(__xludf.DUMMYFUNCTION("""COMPUTED_VALUE"""),19.0)</f>
        <v>19</v>
      </c>
      <c r="D3352" s="24"/>
      <c r="F3352" s="23">
        <f>IFERROR(__xludf.DUMMYFUNCTION("""COMPUTED_VALUE"""),44870.0)</f>
        <v>44870</v>
      </c>
      <c r="G3352" s="24" t="str">
        <f>IFERROR(__xludf.DUMMYFUNCTION("""COMPUTED_VALUE"""),"Salena Wheatley ")</f>
        <v>Salena Wheatley </v>
      </c>
      <c r="H3352" s="24">
        <f>IFERROR(__xludf.DUMMYFUNCTION("""COMPUTED_VALUE"""),4.0)</f>
        <v>4</v>
      </c>
      <c r="I3352" s="24" t="str">
        <f>IFERROR(__xludf.DUMMYFUNCTION("""COMPUTED_VALUE"""),"Regular (up to 20lbs)")</f>
        <v>Regular (up to 20lbs)</v>
      </c>
    </row>
    <row r="3353">
      <c r="A3353" s="23">
        <f>IFERROR(__xludf.DUMMYFUNCTION("""COMPUTED_VALUE"""),44826.0)</f>
        <v>44826</v>
      </c>
      <c r="B3353" s="24" t="str">
        <f>IFERROR(__xludf.DUMMYFUNCTION("""COMPUTED_VALUE"""),"Nathaniel McClean")</f>
        <v>Nathaniel McClean</v>
      </c>
      <c r="C3353" s="24">
        <f>IFERROR(__xludf.DUMMYFUNCTION("""COMPUTED_VALUE"""),15.0)</f>
        <v>15</v>
      </c>
      <c r="D3353" s="24"/>
      <c r="F3353" s="23">
        <f>IFERROR(__xludf.DUMMYFUNCTION("""COMPUTED_VALUE"""),44870.49493313657)</f>
        <v>44870.49493</v>
      </c>
      <c r="G3353" s="24" t="str">
        <f>IFERROR(__xludf.DUMMYFUNCTION("""COMPUTED_VALUE"""),"Claire")</f>
        <v>Claire</v>
      </c>
      <c r="H3353" s="24">
        <f>IFERROR(__xludf.DUMMYFUNCTION("""COMPUTED_VALUE"""),918.0)</f>
        <v>918</v>
      </c>
      <c r="I3353" s="24" t="str">
        <f>IFERROR(__xludf.DUMMYFUNCTION("""COMPUTED_VALUE"""),"Amazon")</f>
        <v>Amazon</v>
      </c>
    </row>
    <row r="3354">
      <c r="A3354" s="23">
        <f>IFERROR(__xludf.DUMMYFUNCTION("""COMPUTED_VALUE"""),44826.0)</f>
        <v>44826</v>
      </c>
      <c r="B3354" s="24" t="str">
        <f>IFERROR(__xludf.DUMMYFUNCTION("""COMPUTED_VALUE"""),"Melissa Thomas")</f>
        <v>Melissa Thomas</v>
      </c>
      <c r="C3354" s="24">
        <f>IFERROR(__xludf.DUMMYFUNCTION("""COMPUTED_VALUE"""),18.0)</f>
        <v>18</v>
      </c>
      <c r="D3354" s="24"/>
      <c r="F3354" s="23">
        <f>IFERROR(__xludf.DUMMYFUNCTION("""COMPUTED_VALUE"""),44870.495169236114)</f>
        <v>44870.49517</v>
      </c>
      <c r="G3354" s="24" t="str">
        <f>IFERROR(__xludf.DUMMYFUNCTION("""COMPUTED_VALUE"""),"Claire")</f>
        <v>Claire</v>
      </c>
      <c r="H3354" s="24">
        <f>IFERROR(__xludf.DUMMYFUNCTION("""COMPUTED_VALUE"""),960.0)</f>
        <v>960</v>
      </c>
      <c r="I3354" s="24" t="str">
        <f>IFERROR(__xludf.DUMMYFUNCTION("""COMPUTED_VALUE"""),"Amazon")</f>
        <v>Amazon</v>
      </c>
    </row>
    <row r="3355">
      <c r="A3355" s="23">
        <f>IFERROR(__xludf.DUMMYFUNCTION("""COMPUTED_VALUE"""),44826.0)</f>
        <v>44826</v>
      </c>
      <c r="B3355" s="24" t="str">
        <f>IFERROR(__xludf.DUMMYFUNCTION("""COMPUTED_VALUE"""),"Melissa Thomas")</f>
        <v>Melissa Thomas</v>
      </c>
      <c r="C3355" s="24">
        <f>IFERROR(__xludf.DUMMYFUNCTION("""COMPUTED_VALUE"""),20.0)</f>
        <v>20</v>
      </c>
      <c r="D3355" s="24"/>
      <c r="F3355" s="23">
        <f>IFERROR(__xludf.DUMMYFUNCTION("""COMPUTED_VALUE"""),44870.51431663194)</f>
        <v>44870.51432</v>
      </c>
      <c r="G3355" s="24" t="str">
        <f>IFERROR(__xludf.DUMMYFUNCTION("""COMPUTED_VALUE"""),"Ryan Murphy")</f>
        <v>Ryan Murphy</v>
      </c>
      <c r="H3355" s="24">
        <f>IFERROR(__xludf.DUMMYFUNCTION("""COMPUTED_VALUE"""),41.0)</f>
        <v>41</v>
      </c>
      <c r="I3355" s="24" t="str">
        <f>IFERROR(__xludf.DUMMYFUNCTION("""COMPUTED_VALUE"""),"Damage/expired/extra")</f>
        <v>Damage/expired/extra</v>
      </c>
    </row>
    <row r="3356">
      <c r="A3356" s="23">
        <f>IFERROR(__xludf.DUMMYFUNCTION("""COMPUTED_VALUE"""),44826.0)</f>
        <v>44826</v>
      </c>
      <c r="B3356" s="24" t="str">
        <f>IFERROR(__xludf.DUMMYFUNCTION("""COMPUTED_VALUE"""),"Julia Buckson")</f>
        <v>Julia Buckson</v>
      </c>
      <c r="C3356" s="24">
        <f>IFERROR(__xludf.DUMMYFUNCTION("""COMPUTED_VALUE"""),19.0)</f>
        <v>19</v>
      </c>
      <c r="D3356" s="24"/>
      <c r="F3356" s="23">
        <f>IFERROR(__xludf.DUMMYFUNCTION("""COMPUTED_VALUE"""),44870.652747569446)</f>
        <v>44870.65275</v>
      </c>
      <c r="G3356" s="24" t="str">
        <f>IFERROR(__xludf.DUMMYFUNCTION("""COMPUTED_VALUE"""),"Curbside ")</f>
        <v>Curbside </v>
      </c>
      <c r="H3356" s="24">
        <f>IFERROR(__xludf.DUMMYFUNCTION("""COMPUTED_VALUE"""),1051.0)</f>
        <v>1051</v>
      </c>
      <c r="I3356" s="24" t="str">
        <f>IFERROR(__xludf.DUMMYFUNCTION("""COMPUTED_VALUE"""),"Produce")</f>
        <v>Produce</v>
      </c>
    </row>
    <row r="3357">
      <c r="A3357" s="23">
        <f>IFERROR(__xludf.DUMMYFUNCTION("""COMPUTED_VALUE"""),44826.0)</f>
        <v>44826</v>
      </c>
      <c r="B3357" s="24" t="str">
        <f>IFERROR(__xludf.DUMMYFUNCTION("""COMPUTED_VALUE"""),"Julia Buckson")</f>
        <v>Julia Buckson</v>
      </c>
      <c r="C3357" s="24">
        <f>IFERROR(__xludf.DUMMYFUNCTION("""COMPUTED_VALUE"""),21.0)</f>
        <v>21</v>
      </c>
      <c r="D3357" s="24"/>
      <c r="F3357" s="23">
        <f>IFERROR(__xludf.DUMMYFUNCTION("""COMPUTED_VALUE"""),44870.6532254051)</f>
        <v>44870.65323</v>
      </c>
      <c r="G3357" s="24" t="str">
        <f>IFERROR(__xludf.DUMMYFUNCTION("""COMPUTED_VALUE"""),"Curbside ")</f>
        <v>Curbside </v>
      </c>
      <c r="H3357" s="24">
        <f>IFERROR(__xludf.DUMMYFUNCTION("""COMPUTED_VALUE"""),76.0)</f>
        <v>76</v>
      </c>
      <c r="I3357" s="24" t="str">
        <f>IFERROR(__xludf.DUMMYFUNCTION("""COMPUTED_VALUE"""),"Household")</f>
        <v>Household</v>
      </c>
    </row>
    <row r="3358">
      <c r="A3358" s="23">
        <f>IFERROR(__xludf.DUMMYFUNCTION("""COMPUTED_VALUE"""),44826.0)</f>
        <v>44826</v>
      </c>
      <c r="B3358" s="24" t="str">
        <f>IFERROR(__xludf.DUMMYFUNCTION("""COMPUTED_VALUE"""),"Seth Crawford")</f>
        <v>Seth Crawford</v>
      </c>
      <c r="C3358" s="24">
        <f>IFERROR(__xludf.DUMMYFUNCTION("""COMPUTED_VALUE"""),20.0)</f>
        <v>20</v>
      </c>
      <c r="D3358" s="24"/>
      <c r="F3358" s="23">
        <f>IFERROR(__xludf.DUMMYFUNCTION("""COMPUTED_VALUE"""),44870.65364163194)</f>
        <v>44870.65364</v>
      </c>
      <c r="G3358" s="24" t="str">
        <f>IFERROR(__xludf.DUMMYFUNCTION("""COMPUTED_VALUE"""),"Curbside ")</f>
        <v>Curbside </v>
      </c>
      <c r="H3358" s="24">
        <f>IFERROR(__xludf.DUMMYFUNCTION("""COMPUTED_VALUE"""),1052.0)</f>
        <v>1052</v>
      </c>
      <c r="I3358" s="24" t="str">
        <f>IFERROR(__xludf.DUMMYFUNCTION("""COMPUTED_VALUE"""),"Fruit cups")</f>
        <v>Fruit cups</v>
      </c>
    </row>
    <row r="3359">
      <c r="A3359" s="23">
        <f>IFERROR(__xludf.DUMMYFUNCTION("""COMPUTED_VALUE"""),44826.0)</f>
        <v>44826</v>
      </c>
      <c r="B3359" s="24" t="str">
        <f>IFERROR(__xludf.DUMMYFUNCTION("""COMPUTED_VALUE"""),"Raquel Bailey")</f>
        <v>Raquel Bailey</v>
      </c>
      <c r="C3359" s="24">
        <f>IFERROR(__xludf.DUMMYFUNCTION("""COMPUTED_VALUE"""),19.0)</f>
        <v>19</v>
      </c>
      <c r="D3359" s="24"/>
      <c r="F3359" s="23">
        <f>IFERROR(__xludf.DUMMYFUNCTION("""COMPUTED_VALUE"""),44870.65401236111)</f>
        <v>44870.65401</v>
      </c>
      <c r="G3359" s="24" t="str">
        <f>IFERROR(__xludf.DUMMYFUNCTION("""COMPUTED_VALUE"""),"Curbside ")</f>
        <v>Curbside </v>
      </c>
      <c r="H3359" s="24">
        <f>IFERROR(__xludf.DUMMYFUNCTION("""COMPUTED_VALUE"""),166.0)</f>
        <v>166</v>
      </c>
      <c r="I3359" s="24" t="str">
        <f>IFERROR(__xludf.DUMMYFUNCTION("""COMPUTED_VALUE"""),"Snacks")</f>
        <v>Snacks</v>
      </c>
    </row>
    <row r="3360">
      <c r="A3360" s="23">
        <f>IFERROR(__xludf.DUMMYFUNCTION("""COMPUTED_VALUE"""),44826.0)</f>
        <v>44826</v>
      </c>
      <c r="B3360" s="24" t="str">
        <f>IFERROR(__xludf.DUMMYFUNCTION("""COMPUTED_VALUE"""),"Raquel Bailey")</f>
        <v>Raquel Bailey</v>
      </c>
      <c r="C3360" s="24">
        <f>IFERROR(__xludf.DUMMYFUNCTION("""COMPUTED_VALUE"""),5.0)</f>
        <v>5</v>
      </c>
      <c r="D3360" s="24"/>
      <c r="F3360" s="23">
        <f>IFERROR(__xludf.DUMMYFUNCTION("""COMPUTED_VALUE"""),44870.656340023146)</f>
        <v>44870.65634</v>
      </c>
      <c r="G3360" s="24" t="str">
        <f>IFERROR(__xludf.DUMMYFUNCTION("""COMPUTED_VALUE"""),"Beverly Pinn")</f>
        <v>Beverly Pinn</v>
      </c>
      <c r="H3360" s="24">
        <f>IFERROR(__xludf.DUMMYFUNCTION("""COMPUTED_VALUE"""),1140.0)</f>
        <v>1140</v>
      </c>
      <c r="I3360" s="24" t="str">
        <f>IFERROR(__xludf.DUMMYFUNCTION("""COMPUTED_VALUE"""),"Fruit cups")</f>
        <v>Fruit cups</v>
      </c>
    </row>
    <row r="3361">
      <c r="A3361" s="23">
        <f>IFERROR(__xludf.DUMMYFUNCTION("""COMPUTED_VALUE"""),44826.720329525466)</f>
        <v>44826.72033</v>
      </c>
      <c r="B3361" s="24" t="str">
        <f>IFERROR(__xludf.DUMMYFUNCTION("""COMPUTED_VALUE"""),"Norma")</f>
        <v>Norma</v>
      </c>
      <c r="C3361" s="24">
        <f>IFERROR(__xludf.DUMMYFUNCTION("""COMPUTED_VALUE"""),20.0)</f>
        <v>20</v>
      </c>
      <c r="D3361" s="24"/>
      <c r="F3361" s="23">
        <f>IFERROR(__xludf.DUMMYFUNCTION("""COMPUTED_VALUE"""),44870.65672424768)</f>
        <v>44870.65672</v>
      </c>
      <c r="G3361" s="24" t="str">
        <f>IFERROR(__xludf.DUMMYFUNCTION("""COMPUTED_VALUE"""),"Beverly Pinn")</f>
        <v>Beverly Pinn</v>
      </c>
      <c r="H3361" s="24">
        <f>IFERROR(__xludf.DUMMYFUNCTION("""COMPUTED_VALUE"""),106.0)</f>
        <v>106</v>
      </c>
      <c r="I3361" s="24" t="str">
        <f>IFERROR(__xludf.DUMMYFUNCTION("""COMPUTED_VALUE"""),"Snacks")</f>
        <v>Snacks</v>
      </c>
    </row>
    <row r="3362">
      <c r="A3362" s="23">
        <f>IFERROR(__xludf.DUMMYFUNCTION("""COMPUTED_VALUE"""),44827.0)</f>
        <v>44827</v>
      </c>
      <c r="B3362" s="24" t="str">
        <f>IFERROR(__xludf.DUMMYFUNCTION("""COMPUTED_VALUE"""),"Juanita Chandler")</f>
        <v>Juanita Chandler</v>
      </c>
      <c r="C3362" s="24">
        <f>IFERROR(__xludf.DUMMYFUNCTION("""COMPUTED_VALUE"""),17.0)</f>
        <v>17</v>
      </c>
      <c r="D3362" s="24"/>
      <c r="F3362" s="23">
        <f>IFERROR(__xludf.DUMMYFUNCTION("""COMPUTED_VALUE"""),44870.6571152199)</f>
        <v>44870.65712</v>
      </c>
      <c r="G3362" s="24" t="str">
        <f>IFERROR(__xludf.DUMMYFUNCTION("""COMPUTED_VALUE"""),"Beverly Pinn")</f>
        <v>Beverly Pinn</v>
      </c>
      <c r="H3362" s="24">
        <f>IFERROR(__xludf.DUMMYFUNCTION("""COMPUTED_VALUE"""),330.0)</f>
        <v>330</v>
      </c>
      <c r="I3362" s="24" t="str">
        <f>IFERROR(__xludf.DUMMYFUNCTION("""COMPUTED_VALUE"""),"Produce")</f>
        <v>Produce</v>
      </c>
    </row>
    <row r="3363">
      <c r="A3363" s="23">
        <f>IFERROR(__xludf.DUMMYFUNCTION("""COMPUTED_VALUE"""),44827.0)</f>
        <v>44827</v>
      </c>
      <c r="B3363" s="24" t="str">
        <f>IFERROR(__xludf.DUMMYFUNCTION("""COMPUTED_VALUE"""),"Juanita Chandler")</f>
        <v>Juanita Chandler</v>
      </c>
      <c r="C3363" s="24">
        <f>IFERROR(__xludf.DUMMYFUNCTION("""COMPUTED_VALUE"""),21.0)</f>
        <v>21</v>
      </c>
      <c r="D3363" s="24"/>
      <c r="F3363" s="23">
        <f>IFERROR(__xludf.DUMMYFUNCTION("""COMPUTED_VALUE"""),44870.65759074074)</f>
        <v>44870.65759</v>
      </c>
      <c r="G3363" s="24" t="str">
        <f>IFERROR(__xludf.DUMMYFUNCTION("""COMPUTED_VALUE"""),"Beverly Pinn")</f>
        <v>Beverly Pinn</v>
      </c>
      <c r="H3363" s="24">
        <f>IFERROR(__xludf.DUMMYFUNCTION("""COMPUTED_VALUE"""),154.0)</f>
        <v>154</v>
      </c>
      <c r="I3363" s="24" t="str">
        <f>IFERROR(__xludf.DUMMYFUNCTION("""COMPUTED_VALUE"""),"Water bottles")</f>
        <v>Water bottles</v>
      </c>
    </row>
    <row r="3364">
      <c r="A3364" s="23">
        <f>IFERROR(__xludf.DUMMYFUNCTION("""COMPUTED_VALUE"""),44827.701122465274)</f>
        <v>44827.70112</v>
      </c>
      <c r="B3364" s="24" t="str">
        <f>IFERROR(__xludf.DUMMYFUNCTION("""COMPUTED_VALUE"""),"Beth Torres")</f>
        <v>Beth Torres</v>
      </c>
      <c r="C3364" s="24">
        <f>IFERROR(__xludf.DUMMYFUNCTION("""COMPUTED_VALUE"""),17.0)</f>
        <v>17</v>
      </c>
      <c r="D3364" s="24"/>
      <c r="F3364" s="23">
        <f>IFERROR(__xludf.DUMMYFUNCTION("""COMPUTED_VALUE"""),44870.65801717593)</f>
        <v>44870.65802</v>
      </c>
      <c r="G3364" s="24" t="str">
        <f>IFERROR(__xludf.DUMMYFUNCTION("""COMPUTED_VALUE"""),"Beverly Pinn")</f>
        <v>Beverly Pinn</v>
      </c>
      <c r="H3364" s="24">
        <f>IFERROR(__xludf.DUMMYFUNCTION("""COMPUTED_VALUE"""),473.0)</f>
        <v>473</v>
      </c>
      <c r="I3364" s="24" t="str">
        <f>IFERROR(__xludf.DUMMYFUNCTION("""COMPUTED_VALUE"""),"Produce")</f>
        <v>Produce</v>
      </c>
    </row>
    <row r="3365">
      <c r="A3365" s="23">
        <f>IFERROR(__xludf.DUMMYFUNCTION("""COMPUTED_VALUE"""),44827.70137820602)</f>
        <v>44827.70138</v>
      </c>
      <c r="B3365" s="24" t="str">
        <f>IFERROR(__xludf.DUMMYFUNCTION("""COMPUTED_VALUE"""),"Beth Torres")</f>
        <v>Beth Torres</v>
      </c>
      <c r="C3365" s="24">
        <f>IFERROR(__xludf.DUMMYFUNCTION("""COMPUTED_VALUE"""),15.0)</f>
        <v>15</v>
      </c>
      <c r="D3365" s="24"/>
      <c r="F3365" s="23">
        <f>IFERROR(__xludf.DUMMYFUNCTION("""COMPUTED_VALUE"""),44870.65839752315)</f>
        <v>44870.6584</v>
      </c>
      <c r="G3365" s="24" t="str">
        <f>IFERROR(__xludf.DUMMYFUNCTION("""COMPUTED_VALUE"""),"Beverly Pinn")</f>
        <v>Beverly Pinn</v>
      </c>
      <c r="H3365" s="24">
        <f>IFERROR(__xludf.DUMMYFUNCTION("""COMPUTED_VALUE"""),402.0)</f>
        <v>402</v>
      </c>
      <c r="I3365" s="24" t="str">
        <f>IFERROR(__xludf.DUMMYFUNCTION("""COMPUTED_VALUE"""),"Produce")</f>
        <v>Produce</v>
      </c>
    </row>
    <row r="3366">
      <c r="A3366" s="23">
        <f>IFERROR(__xludf.DUMMYFUNCTION("""COMPUTED_VALUE"""),44827.71520216435)</f>
        <v>44827.7152</v>
      </c>
      <c r="B3366" s="24" t="str">
        <f>IFERROR(__xludf.DUMMYFUNCTION("""COMPUTED_VALUE"""),"Dorja")</f>
        <v>Dorja</v>
      </c>
      <c r="C3366" s="24">
        <f>IFERROR(__xludf.DUMMYFUNCTION("""COMPUTED_VALUE"""),24.0)</f>
        <v>24</v>
      </c>
      <c r="D3366" s="24"/>
      <c r="F3366" s="23">
        <f>IFERROR(__xludf.DUMMYFUNCTION("""COMPUTED_VALUE"""),44870.65884019676)</f>
        <v>44870.65884</v>
      </c>
      <c r="G3366" s="24" t="str">
        <f>IFERROR(__xludf.DUMMYFUNCTION("""COMPUTED_VALUE"""),"Beverly Pinn")</f>
        <v>Beverly Pinn</v>
      </c>
      <c r="H3366" s="24">
        <f>IFERROR(__xludf.DUMMYFUNCTION("""COMPUTED_VALUE"""),383.0)</f>
        <v>383</v>
      </c>
      <c r="I3366" s="24" t="str">
        <f>IFERROR(__xludf.DUMMYFUNCTION("""COMPUTED_VALUE"""),"Personal Care")</f>
        <v>Personal Care</v>
      </c>
    </row>
    <row r="3367">
      <c r="A3367" s="23">
        <f>IFERROR(__xludf.DUMMYFUNCTION("""COMPUTED_VALUE"""),44827.71568806713)</f>
        <v>44827.71569</v>
      </c>
      <c r="B3367" s="24" t="str">
        <f>IFERROR(__xludf.DUMMYFUNCTION("""COMPUTED_VALUE"""),"Dorja ")</f>
        <v>Dorja </v>
      </c>
      <c r="C3367" s="24">
        <f>IFERROR(__xludf.DUMMYFUNCTION("""COMPUTED_VALUE"""),16.0)</f>
        <v>16</v>
      </c>
      <c r="D3367" s="24"/>
      <c r="F3367" s="23">
        <f>IFERROR(__xludf.DUMMYFUNCTION("""COMPUTED_VALUE"""),44870.659195196764)</f>
        <v>44870.6592</v>
      </c>
      <c r="G3367" s="24" t="str">
        <f>IFERROR(__xludf.DUMMYFUNCTION("""COMPUTED_VALUE"""),"Beverly Pinn")</f>
        <v>Beverly Pinn</v>
      </c>
      <c r="H3367" s="24">
        <f>IFERROR(__xludf.DUMMYFUNCTION("""COMPUTED_VALUE"""),414.0)</f>
        <v>414</v>
      </c>
      <c r="I3367" s="24" t="str">
        <f>IFERROR(__xludf.DUMMYFUNCTION("""COMPUTED_VALUE"""),"Produce")</f>
        <v>Produce</v>
      </c>
    </row>
    <row r="3368">
      <c r="A3368" s="23">
        <f>IFERROR(__xludf.DUMMYFUNCTION("""COMPUTED_VALUE"""),44828.0)</f>
        <v>44828</v>
      </c>
      <c r="B3368" s="24" t="str">
        <f>IFERROR(__xludf.DUMMYFUNCTION("""COMPUTED_VALUE"""),"Salena Wheatley")</f>
        <v>Salena Wheatley</v>
      </c>
      <c r="C3368" s="24">
        <f>IFERROR(__xludf.DUMMYFUNCTION("""COMPUTED_VALUE"""),11.0)</f>
        <v>11</v>
      </c>
      <c r="D3368" s="24"/>
      <c r="F3368" s="23">
        <f>IFERROR(__xludf.DUMMYFUNCTION("""COMPUTED_VALUE"""),44870.660167152775)</f>
        <v>44870.66017</v>
      </c>
      <c r="G3368" s="24" t="str">
        <f>IFERROR(__xludf.DUMMYFUNCTION("""COMPUTED_VALUE"""),"Beverly Pinn")</f>
        <v>Beverly Pinn</v>
      </c>
      <c r="H3368" s="24">
        <f>IFERROR(__xludf.DUMMYFUNCTION("""COMPUTED_VALUE"""),205.0)</f>
        <v>205</v>
      </c>
      <c r="I3368" s="24" t="str">
        <f>IFERROR(__xludf.DUMMYFUNCTION("""COMPUTED_VALUE"""),"Produce")</f>
        <v>Produce</v>
      </c>
    </row>
    <row r="3369">
      <c r="A3369" s="23">
        <f>IFERROR(__xludf.DUMMYFUNCTION("""COMPUTED_VALUE"""),44828.0)</f>
        <v>44828</v>
      </c>
      <c r="B3369" s="24" t="str">
        <f>IFERROR(__xludf.DUMMYFUNCTION("""COMPUTED_VALUE"""),"Salena Wheatley")</f>
        <v>Salena Wheatley</v>
      </c>
      <c r="C3369" s="24">
        <f>IFERROR(__xludf.DUMMYFUNCTION("""COMPUTED_VALUE"""),14.0)</f>
        <v>14</v>
      </c>
      <c r="D3369" s="24"/>
      <c r="F3369" s="23">
        <f>IFERROR(__xludf.DUMMYFUNCTION("""COMPUTED_VALUE"""),44870.66054917824)</f>
        <v>44870.66055</v>
      </c>
      <c r="G3369" s="24" t="str">
        <f>IFERROR(__xludf.DUMMYFUNCTION("""COMPUTED_VALUE"""),"Beverly Pinn")</f>
        <v>Beverly Pinn</v>
      </c>
      <c r="H3369" s="24">
        <f>IFERROR(__xludf.DUMMYFUNCTION("""COMPUTED_VALUE"""),496.0)</f>
        <v>496</v>
      </c>
      <c r="I3369" s="24" t="str">
        <f>IFERROR(__xludf.DUMMYFUNCTION("""COMPUTED_VALUE"""),"Produce")</f>
        <v>Produce</v>
      </c>
    </row>
    <row r="3370">
      <c r="A3370" s="23">
        <f>IFERROR(__xludf.DUMMYFUNCTION("""COMPUTED_VALUE"""),44828.0)</f>
        <v>44828</v>
      </c>
      <c r="B3370" s="24" t="str">
        <f>IFERROR(__xludf.DUMMYFUNCTION("""COMPUTED_VALUE"""),"Gilda Castillo")</f>
        <v>Gilda Castillo</v>
      </c>
      <c r="C3370" s="24">
        <f>IFERROR(__xludf.DUMMYFUNCTION("""COMPUTED_VALUE"""),15.0)</f>
        <v>15</v>
      </c>
      <c r="D3370" s="24"/>
      <c r="F3370" s="23">
        <f>IFERROR(__xludf.DUMMYFUNCTION("""COMPUTED_VALUE"""),44870.66089878472)</f>
        <v>44870.6609</v>
      </c>
      <c r="G3370" s="24" t="str">
        <f>IFERROR(__xludf.DUMMYFUNCTION("""COMPUTED_VALUE"""),"Beverly Pinn")</f>
        <v>Beverly Pinn</v>
      </c>
      <c r="H3370" s="24">
        <f>IFERROR(__xludf.DUMMYFUNCTION("""COMPUTED_VALUE"""),386.0)</f>
        <v>386</v>
      </c>
      <c r="I3370" s="24" t="str">
        <f>IFERROR(__xludf.DUMMYFUNCTION("""COMPUTED_VALUE"""),"Produce")</f>
        <v>Produce</v>
      </c>
    </row>
    <row r="3371">
      <c r="A3371" s="23">
        <f>IFERROR(__xludf.DUMMYFUNCTION("""COMPUTED_VALUE"""),44828.0)</f>
        <v>44828</v>
      </c>
      <c r="B3371" s="24" t="str">
        <f>IFERROR(__xludf.DUMMYFUNCTION("""COMPUTED_VALUE"""),"Gilda Castillo")</f>
        <v>Gilda Castillo</v>
      </c>
      <c r="C3371" s="24">
        <f>IFERROR(__xludf.DUMMYFUNCTION("""COMPUTED_VALUE"""),1.0)</f>
        <v>1</v>
      </c>
      <c r="D3371" s="24"/>
      <c r="F3371" s="23">
        <f>IFERROR(__xludf.DUMMYFUNCTION("""COMPUTED_VALUE"""),44870.66130905092)</f>
        <v>44870.66131</v>
      </c>
      <c r="G3371" s="24" t="str">
        <f>IFERROR(__xludf.DUMMYFUNCTION("""COMPUTED_VALUE"""),"Beverly Pinn")</f>
        <v>Beverly Pinn</v>
      </c>
      <c r="H3371" s="24">
        <f>IFERROR(__xludf.DUMMYFUNCTION("""COMPUTED_VALUE"""),1446.0)</f>
        <v>1446</v>
      </c>
      <c r="I3371" s="24" t="str">
        <f>IFERROR(__xludf.DUMMYFUNCTION("""COMPUTED_VALUE"""),"Produce")</f>
        <v>Produce</v>
      </c>
    </row>
    <row r="3372">
      <c r="A3372" s="23">
        <f>IFERROR(__xludf.DUMMYFUNCTION("""COMPUTED_VALUE"""),44828.0)</f>
        <v>44828</v>
      </c>
      <c r="B3372" s="24" t="str">
        <f>IFERROR(__xludf.DUMMYFUNCTION("""COMPUTED_VALUE"""),"Angeles Cortes")</f>
        <v>Angeles Cortes</v>
      </c>
      <c r="C3372" s="24">
        <f>IFERROR(__xludf.DUMMYFUNCTION("""COMPUTED_VALUE"""),20.0)</f>
        <v>20</v>
      </c>
      <c r="D3372" s="24"/>
      <c r="F3372" s="23">
        <f>IFERROR(__xludf.DUMMYFUNCTION("""COMPUTED_VALUE"""),44870.66163445602)</f>
        <v>44870.66163</v>
      </c>
      <c r="G3372" s="24" t="str">
        <f>IFERROR(__xludf.DUMMYFUNCTION("""COMPUTED_VALUE"""),"Beverly Pinn")</f>
        <v>Beverly Pinn</v>
      </c>
      <c r="H3372" s="24">
        <f>IFERROR(__xludf.DUMMYFUNCTION("""COMPUTED_VALUE"""),195.0)</f>
        <v>195</v>
      </c>
      <c r="I3372" s="24" t="str">
        <f>IFERROR(__xludf.DUMMYFUNCTION("""COMPUTED_VALUE"""),"Meat [Raw]")</f>
        <v>Meat [Raw]</v>
      </c>
    </row>
    <row r="3373">
      <c r="A3373" s="23">
        <f>IFERROR(__xludf.DUMMYFUNCTION("""COMPUTED_VALUE"""),44828.0)</f>
        <v>44828</v>
      </c>
      <c r="B3373" s="24" t="str">
        <f>IFERROR(__xludf.DUMMYFUNCTION("""COMPUTED_VALUE"""),"Angeles Cortes")</f>
        <v>Angeles Cortes</v>
      </c>
      <c r="C3373" s="24">
        <f>IFERROR(__xludf.DUMMYFUNCTION("""COMPUTED_VALUE"""),2.0)</f>
        <v>2</v>
      </c>
      <c r="D3373" s="24"/>
      <c r="F3373" s="23">
        <f>IFERROR(__xludf.DUMMYFUNCTION("""COMPUTED_VALUE"""),44870.662423043985)</f>
        <v>44870.66242</v>
      </c>
      <c r="G3373" s="24" t="str">
        <f>IFERROR(__xludf.DUMMYFUNCTION("""COMPUTED_VALUE"""),"Beverly Pinn")</f>
        <v>Beverly Pinn</v>
      </c>
      <c r="H3373" s="24">
        <f>IFERROR(__xludf.DUMMYFUNCTION("""COMPUTED_VALUE"""),-201.0)</f>
        <v>-201</v>
      </c>
      <c r="I3373" s="24" t="str">
        <f>IFERROR(__xludf.DUMMYFUNCTION("""COMPUTED_VALUE"""),"Assorted Dry")</f>
        <v>Assorted Dry</v>
      </c>
    </row>
    <row r="3374">
      <c r="A3374" s="23">
        <f>IFERROR(__xludf.DUMMYFUNCTION("""COMPUTED_VALUE"""),44828.0)</f>
        <v>44828</v>
      </c>
      <c r="B3374" s="24" t="str">
        <f>IFERROR(__xludf.DUMMYFUNCTION("""COMPUTED_VALUE"""),"Denise Brown")</f>
        <v>Denise Brown</v>
      </c>
      <c r="C3374" s="24">
        <f>IFERROR(__xludf.DUMMYFUNCTION("""COMPUTED_VALUE"""),10.0)</f>
        <v>10</v>
      </c>
      <c r="D3374" s="24"/>
      <c r="F3374" s="23">
        <f>IFERROR(__xludf.DUMMYFUNCTION("""COMPUTED_VALUE"""),44870.662813090275)</f>
        <v>44870.66281</v>
      </c>
      <c r="G3374" s="24" t="str">
        <f>IFERROR(__xludf.DUMMYFUNCTION("""COMPUTED_VALUE"""),"Beverly Pinn")</f>
        <v>Beverly Pinn</v>
      </c>
      <c r="H3374" s="24">
        <f>IFERROR(__xludf.DUMMYFUNCTION("""COMPUTED_VALUE"""),-516.0)</f>
        <v>-516</v>
      </c>
      <c r="I3374" s="24" t="str">
        <f>IFERROR(__xludf.DUMMYFUNCTION("""COMPUTED_VALUE"""),"Fruit cups")</f>
        <v>Fruit cups</v>
      </c>
    </row>
    <row r="3375">
      <c r="A3375" s="23">
        <f>IFERROR(__xludf.DUMMYFUNCTION("""COMPUTED_VALUE"""),44828.68994460648)</f>
        <v>44828.68994</v>
      </c>
      <c r="B3375" s="24" t="str">
        <f>IFERROR(__xludf.DUMMYFUNCTION("""COMPUTED_VALUE"""),"Keyra Hall")</f>
        <v>Keyra Hall</v>
      </c>
      <c r="C3375" s="24">
        <f>IFERROR(__xludf.DUMMYFUNCTION("""COMPUTED_VALUE"""),8.0)</f>
        <v>8</v>
      </c>
      <c r="D3375" s="24"/>
      <c r="F3375" s="23">
        <f>IFERROR(__xludf.DUMMYFUNCTION("""COMPUTED_VALUE"""),44870.66320164352)</f>
        <v>44870.6632</v>
      </c>
      <c r="G3375" s="24" t="str">
        <f>IFERROR(__xludf.DUMMYFUNCTION("""COMPUTED_VALUE"""),"Beverly Pinn")</f>
        <v>Beverly Pinn</v>
      </c>
      <c r="H3375" s="24">
        <f>IFERROR(__xludf.DUMMYFUNCTION("""COMPUTED_VALUE"""),-567.0)</f>
        <v>-567</v>
      </c>
      <c r="I3375" s="24" t="str">
        <f>IFERROR(__xludf.DUMMYFUNCTION("""COMPUTED_VALUE"""),"Produce")</f>
        <v>Produce</v>
      </c>
    </row>
    <row r="3376">
      <c r="A3376" s="23">
        <f>IFERROR(__xludf.DUMMYFUNCTION("""COMPUTED_VALUE"""),44828.695426446764)</f>
        <v>44828.69543</v>
      </c>
      <c r="B3376" s="24" t="str">
        <f>IFERROR(__xludf.DUMMYFUNCTION("""COMPUTED_VALUE"""),"Ajeñee Williams ")</f>
        <v>Ajeñee Williams </v>
      </c>
      <c r="C3376" s="24">
        <f>IFERROR(__xludf.DUMMYFUNCTION("""COMPUTED_VALUE"""),10.0)</f>
        <v>10</v>
      </c>
      <c r="D3376" s="24"/>
      <c r="F3376" s="23">
        <f>IFERROR(__xludf.DUMMYFUNCTION("""COMPUTED_VALUE"""),44870.66353384259)</f>
        <v>44870.66353</v>
      </c>
      <c r="G3376" s="24" t="str">
        <f>IFERROR(__xludf.DUMMYFUNCTION("""COMPUTED_VALUE"""),"Beverly Pinn")</f>
        <v>Beverly Pinn</v>
      </c>
      <c r="H3376" s="24">
        <f>IFERROR(__xludf.DUMMYFUNCTION("""COMPUTED_VALUE"""),-363.0)</f>
        <v>-363</v>
      </c>
      <c r="I3376" s="24" t="str">
        <f>IFERROR(__xludf.DUMMYFUNCTION("""COMPUTED_VALUE"""),"Assorted Dry")</f>
        <v>Assorted Dry</v>
      </c>
    </row>
    <row r="3377">
      <c r="A3377" s="23">
        <f>IFERROR(__xludf.DUMMYFUNCTION("""COMPUTED_VALUE"""),44828.69679890046)</f>
        <v>44828.6968</v>
      </c>
      <c r="B3377" s="24" t="str">
        <f>IFERROR(__xludf.DUMMYFUNCTION("""COMPUTED_VALUE"""),"Nadia Simmons ")</f>
        <v>Nadia Simmons </v>
      </c>
      <c r="C3377" s="24">
        <f>IFERROR(__xludf.DUMMYFUNCTION("""COMPUTED_VALUE"""),14.0)</f>
        <v>14</v>
      </c>
      <c r="D3377" s="24"/>
      <c r="F3377" s="23">
        <f>IFERROR(__xludf.DUMMYFUNCTION("""COMPUTED_VALUE"""),44870.66406763889)</f>
        <v>44870.66407</v>
      </c>
      <c r="G3377" s="24" t="str">
        <f>IFERROR(__xludf.DUMMYFUNCTION("""COMPUTED_VALUE"""),"Beverly Pinn")</f>
        <v>Beverly Pinn</v>
      </c>
      <c r="H3377" s="24">
        <f>IFERROR(__xludf.DUMMYFUNCTION("""COMPUTED_VALUE"""),-652.0)</f>
        <v>-652</v>
      </c>
      <c r="I3377" s="24" t="str">
        <f>IFERROR(__xludf.DUMMYFUNCTION("""COMPUTED_VALUE"""),"Assorted Dry")</f>
        <v>Assorted Dry</v>
      </c>
    </row>
    <row r="3378">
      <c r="A3378" s="23">
        <f>IFERROR(__xludf.DUMMYFUNCTION("""COMPUTED_VALUE"""),44828.69696630787)</f>
        <v>44828.69697</v>
      </c>
      <c r="B3378" s="24" t="str">
        <f>IFERROR(__xludf.DUMMYFUNCTION("""COMPUTED_VALUE"""),"Nadia Simmons ")</f>
        <v>Nadia Simmons </v>
      </c>
      <c r="C3378" s="24">
        <f>IFERROR(__xludf.DUMMYFUNCTION("""COMPUTED_VALUE"""),4.0)</f>
        <v>4</v>
      </c>
      <c r="D3378" s="24"/>
      <c r="F3378" s="23">
        <f>IFERROR(__xludf.DUMMYFUNCTION("""COMPUTED_VALUE"""),44870.66437230324)</f>
        <v>44870.66437</v>
      </c>
      <c r="G3378" s="24" t="str">
        <f>IFERROR(__xludf.DUMMYFUNCTION("""COMPUTED_VALUE"""),"Beverly Pinn")</f>
        <v>Beverly Pinn</v>
      </c>
      <c r="H3378" s="24">
        <f>IFERROR(__xludf.DUMMYFUNCTION("""COMPUTED_VALUE"""),-198.0)</f>
        <v>-198</v>
      </c>
      <c r="I3378" s="24" t="str">
        <f>IFERROR(__xludf.DUMMYFUNCTION("""COMPUTED_VALUE"""),"Produce")</f>
        <v>Produce</v>
      </c>
    </row>
    <row r="3379">
      <c r="A3379" s="23">
        <f>IFERROR(__xludf.DUMMYFUNCTION("""COMPUTED_VALUE"""),44828.697155)</f>
        <v>44828.69716</v>
      </c>
      <c r="B3379" s="24" t="str">
        <f>IFERROR(__xludf.DUMMYFUNCTION("""COMPUTED_VALUE"""),"Cherise Castello")</f>
        <v>Cherise Castello</v>
      </c>
      <c r="C3379" s="24">
        <f>IFERROR(__xludf.DUMMYFUNCTION("""COMPUTED_VALUE"""),17.0)</f>
        <v>17</v>
      </c>
      <c r="D3379" s="24"/>
      <c r="F3379" s="23">
        <f>IFERROR(__xludf.DUMMYFUNCTION("""COMPUTED_VALUE"""),44870.667902002315)</f>
        <v>44870.6679</v>
      </c>
      <c r="G3379" s="24" t="str">
        <f>IFERROR(__xludf.DUMMYFUNCTION("""COMPUTED_VALUE"""),"Beverly Pinn")</f>
        <v>Beverly Pinn</v>
      </c>
      <c r="H3379" s="24">
        <f>IFERROR(__xludf.DUMMYFUNCTION("""COMPUTED_VALUE"""),-32.0)</f>
        <v>-32</v>
      </c>
      <c r="I3379" s="24" t="str">
        <f>IFERROR(__xludf.DUMMYFUNCTION("""COMPUTED_VALUE"""),"Assorted Dry")</f>
        <v>Assorted Dry</v>
      </c>
    </row>
    <row r="3380">
      <c r="A3380" s="23">
        <f>IFERROR(__xludf.DUMMYFUNCTION("""COMPUTED_VALUE"""),44828.0)</f>
        <v>44828</v>
      </c>
      <c r="B3380" s="24" t="str">
        <f>IFERROR(__xludf.DUMMYFUNCTION("""COMPUTED_VALUE"""),"Cherise Castello")</f>
        <v>Cherise Castello</v>
      </c>
      <c r="C3380" s="24">
        <f>IFERROR(__xludf.DUMMYFUNCTION("""COMPUTED_VALUE"""),1.0)</f>
        <v>1</v>
      </c>
      <c r="D3380" s="24"/>
      <c r="F3380" s="23">
        <f>IFERROR(__xludf.DUMMYFUNCTION("""COMPUTED_VALUE"""),44870.67386112269)</f>
        <v>44870.67386</v>
      </c>
      <c r="G3380" s="24" t="str">
        <f>IFERROR(__xludf.DUMMYFUNCTION("""COMPUTED_VALUE"""),"Beverly Pinn")</f>
        <v>Beverly Pinn</v>
      </c>
      <c r="H3380" s="24">
        <f>IFERROR(__xludf.DUMMYFUNCTION("""COMPUTED_VALUE"""),720.0)</f>
        <v>720</v>
      </c>
      <c r="I3380" s="24" t="str">
        <f>IFERROR(__xludf.DUMMYFUNCTION("""COMPUTED_VALUE"""),"Amazon")</f>
        <v>Amazon</v>
      </c>
    </row>
    <row r="3381">
      <c r="A3381" s="23">
        <f>IFERROR(__xludf.DUMMYFUNCTION("""COMPUTED_VALUE"""),44828.697974421295)</f>
        <v>44828.69797</v>
      </c>
      <c r="B3381" s="24" t="str">
        <f>IFERROR(__xludf.DUMMYFUNCTION("""COMPUTED_VALUE"""),"Danaysha")</f>
        <v>Danaysha</v>
      </c>
      <c r="C3381" s="24">
        <f>IFERROR(__xludf.DUMMYFUNCTION("""COMPUTED_VALUE"""),14.0)</f>
        <v>14</v>
      </c>
      <c r="D3381" s="24"/>
      <c r="F3381" s="23">
        <f>IFERROR(__xludf.DUMMYFUNCTION("""COMPUTED_VALUE"""),44870.67433929398)</f>
        <v>44870.67434</v>
      </c>
      <c r="G3381" s="24" t="str">
        <f>IFERROR(__xludf.DUMMYFUNCTION("""COMPUTED_VALUE"""),"Beverly Pinn")</f>
        <v>Beverly Pinn</v>
      </c>
      <c r="H3381" s="24">
        <f>IFERROR(__xludf.DUMMYFUNCTION("""COMPUTED_VALUE"""),642.0)</f>
        <v>642</v>
      </c>
      <c r="I3381" s="24" t="str">
        <f>IFERROR(__xludf.DUMMYFUNCTION("""COMPUTED_VALUE"""),"Amazon")</f>
        <v>Amazon</v>
      </c>
    </row>
    <row r="3382">
      <c r="A3382" s="23">
        <f>IFERROR(__xludf.DUMMYFUNCTION("""COMPUTED_VALUE"""),44828.698131666664)</f>
        <v>44828.69813</v>
      </c>
      <c r="B3382" s="24" t="str">
        <f>IFERROR(__xludf.DUMMYFUNCTION("""COMPUTED_VALUE"""),"Danaysha ")</f>
        <v>Danaysha </v>
      </c>
      <c r="C3382" s="24">
        <f>IFERROR(__xludf.DUMMYFUNCTION("""COMPUTED_VALUE"""),18.0)</f>
        <v>18</v>
      </c>
      <c r="D3382" s="24"/>
      <c r="F3382" s="23">
        <f>IFERROR(__xludf.DUMMYFUNCTION("""COMPUTED_VALUE"""),44870.67466344908)</f>
        <v>44870.67466</v>
      </c>
      <c r="G3382" s="24" t="str">
        <f>IFERROR(__xludf.DUMMYFUNCTION("""COMPUTED_VALUE"""),"Beverly Pinn")</f>
        <v>Beverly Pinn</v>
      </c>
      <c r="H3382" s="24">
        <f>IFERROR(__xludf.DUMMYFUNCTION("""COMPUTED_VALUE"""),652.0)</f>
        <v>652</v>
      </c>
      <c r="I3382" s="24" t="str">
        <f>IFERROR(__xludf.DUMMYFUNCTION("""COMPUTED_VALUE"""),"Amazon")</f>
        <v>Amazon</v>
      </c>
    </row>
    <row r="3383">
      <c r="A3383" s="23">
        <f>IFERROR(__xludf.DUMMYFUNCTION("""COMPUTED_VALUE"""),44828.6995209838)</f>
        <v>44828.69952</v>
      </c>
      <c r="B3383" s="24" t="str">
        <f>IFERROR(__xludf.DUMMYFUNCTION("""COMPUTED_VALUE"""),"Tyrisha Haskins ")</f>
        <v>Tyrisha Haskins </v>
      </c>
      <c r="C3383" s="24">
        <f>IFERROR(__xludf.DUMMYFUNCTION("""COMPUTED_VALUE"""),6.0)</f>
        <v>6</v>
      </c>
      <c r="D3383" s="24"/>
      <c r="F3383" s="23">
        <f>IFERROR(__xludf.DUMMYFUNCTION("""COMPUTED_VALUE"""),44870.6750460301)</f>
        <v>44870.67505</v>
      </c>
      <c r="G3383" s="24" t="str">
        <f>IFERROR(__xludf.DUMMYFUNCTION("""COMPUTED_VALUE"""),"Beverly Pinn")</f>
        <v>Beverly Pinn</v>
      </c>
      <c r="H3383" s="24">
        <f>IFERROR(__xludf.DUMMYFUNCTION("""COMPUTED_VALUE"""),725.0)</f>
        <v>725</v>
      </c>
      <c r="I3383" s="24" t="str">
        <f>IFERROR(__xludf.DUMMYFUNCTION("""COMPUTED_VALUE"""),"Amazon")</f>
        <v>Amazon</v>
      </c>
    </row>
    <row r="3384">
      <c r="A3384" s="23">
        <f>IFERROR(__xludf.DUMMYFUNCTION("""COMPUTED_VALUE"""),44828.699809351856)</f>
        <v>44828.69981</v>
      </c>
      <c r="B3384" s="24" t="str">
        <f>IFERROR(__xludf.DUMMYFUNCTION("""COMPUTED_VALUE"""),"Tyrisha Haskins ")</f>
        <v>Tyrisha Haskins </v>
      </c>
      <c r="C3384" s="24">
        <f>IFERROR(__xludf.DUMMYFUNCTION("""COMPUTED_VALUE"""),7.0)</f>
        <v>7</v>
      </c>
      <c r="D3384" s="24"/>
      <c r="F3384" s="23">
        <f>IFERROR(__xludf.DUMMYFUNCTION("""COMPUTED_VALUE"""),44870.68045101852)</f>
        <v>44870.68045</v>
      </c>
      <c r="G3384" s="24" t="str">
        <f>IFERROR(__xludf.DUMMYFUNCTION("""COMPUTED_VALUE"""),"Nicolle diaz")</f>
        <v>Nicolle diaz</v>
      </c>
      <c r="H3384" s="24">
        <f>IFERROR(__xludf.DUMMYFUNCTION("""COMPUTED_VALUE"""),7.0)</f>
        <v>7</v>
      </c>
      <c r="I3384" s="24" t="str">
        <f>IFERROR(__xludf.DUMMYFUNCTION("""COMPUTED_VALUE"""),"Regular (up to 20lbs)")</f>
        <v>Regular (up to 20lbs)</v>
      </c>
    </row>
    <row r="3385">
      <c r="A3385" s="23">
        <f>IFERROR(__xludf.DUMMYFUNCTION("""COMPUTED_VALUE"""),44828.70092787036)</f>
        <v>44828.70093</v>
      </c>
      <c r="B3385" s="24" t="str">
        <f>IFERROR(__xludf.DUMMYFUNCTION("""COMPUTED_VALUE"""),"Evelyn jiang")</f>
        <v>Evelyn jiang</v>
      </c>
      <c r="C3385" s="24">
        <f>IFERROR(__xludf.DUMMYFUNCTION("""COMPUTED_VALUE"""),17.0)</f>
        <v>17</v>
      </c>
      <c r="D3385" s="24"/>
      <c r="F3385" s="23">
        <f>IFERROR(__xludf.DUMMYFUNCTION("""COMPUTED_VALUE"""),44870.680584305555)</f>
        <v>44870.68058</v>
      </c>
      <c r="G3385" s="24" t="str">
        <f>IFERROR(__xludf.DUMMYFUNCTION("""COMPUTED_VALUE"""),"Nicolle diaz ")</f>
        <v>Nicolle diaz </v>
      </c>
      <c r="H3385" s="24">
        <f>IFERROR(__xludf.DUMMYFUNCTION("""COMPUTED_VALUE"""),3.0)</f>
        <v>3</v>
      </c>
      <c r="I3385" s="24" t="str">
        <f>IFERROR(__xludf.DUMMYFUNCTION("""COMPUTED_VALUE"""),"Damage/expired/extra")</f>
        <v>Damage/expired/extra</v>
      </c>
    </row>
    <row r="3386">
      <c r="A3386" s="23">
        <f>IFERROR(__xludf.DUMMYFUNCTION("""COMPUTED_VALUE"""),44828.70132662037)</f>
        <v>44828.70133</v>
      </c>
      <c r="B3386" s="24" t="str">
        <f>IFERROR(__xludf.DUMMYFUNCTION("""COMPUTED_VALUE"""),"Regina Shepherd ")</f>
        <v>Regina Shepherd </v>
      </c>
      <c r="C3386" s="24">
        <f>IFERROR(__xludf.DUMMYFUNCTION("""COMPUTED_VALUE"""),13.0)</f>
        <v>13</v>
      </c>
      <c r="D3386" s="24"/>
      <c r="F3386" s="23">
        <f>IFERROR(__xludf.DUMMYFUNCTION("""COMPUTED_VALUE"""),44870.68431572916)</f>
        <v>44870.68432</v>
      </c>
      <c r="G3386" s="24" t="str">
        <f>IFERROR(__xludf.DUMMYFUNCTION("""COMPUTED_VALUE"""),"Bach huynh")</f>
        <v>Bach huynh</v>
      </c>
      <c r="H3386" s="24">
        <f>IFERROR(__xludf.DUMMYFUNCTION("""COMPUTED_VALUE"""),12.0)</f>
        <v>12</v>
      </c>
      <c r="I3386" s="24" t="str">
        <f>IFERROR(__xludf.DUMMYFUNCTION("""COMPUTED_VALUE"""),"Regular (up to 20lbs)")</f>
        <v>Regular (up to 20lbs)</v>
      </c>
    </row>
    <row r="3387">
      <c r="A3387" s="23">
        <f>IFERROR(__xludf.DUMMYFUNCTION("""COMPUTED_VALUE"""),44828.0)</f>
        <v>44828</v>
      </c>
      <c r="B3387" s="24" t="str">
        <f>IFERROR(__xludf.DUMMYFUNCTION("""COMPUTED_VALUE"""),"Regina Shepherd ")</f>
        <v>Regina Shepherd </v>
      </c>
      <c r="C3387" s="24">
        <f>IFERROR(__xludf.DUMMYFUNCTION("""COMPUTED_VALUE"""),8.0)</f>
        <v>8</v>
      </c>
      <c r="D3387" s="24"/>
      <c r="F3387" s="23">
        <f>IFERROR(__xludf.DUMMYFUNCTION("""COMPUTED_VALUE"""),44870.684477766205)</f>
        <v>44870.68448</v>
      </c>
      <c r="G3387" s="24" t="str">
        <f>IFERROR(__xludf.DUMMYFUNCTION("""COMPUTED_VALUE"""),"Bach huynh ")</f>
        <v>Bach huynh </v>
      </c>
      <c r="H3387" s="24">
        <f>IFERROR(__xludf.DUMMYFUNCTION("""COMPUTED_VALUE"""),1.0)</f>
        <v>1</v>
      </c>
      <c r="I3387" s="24" t="str">
        <f>IFERROR(__xludf.DUMMYFUNCTION("""COMPUTED_VALUE"""),"Damage/expired/extra")</f>
        <v>Damage/expired/extra</v>
      </c>
    </row>
    <row r="3388">
      <c r="A3388" s="23">
        <f>IFERROR(__xludf.DUMMYFUNCTION("""COMPUTED_VALUE"""),44828.70168179399)</f>
        <v>44828.70168</v>
      </c>
      <c r="B3388" s="24" t="str">
        <f>IFERROR(__xludf.DUMMYFUNCTION("""COMPUTED_VALUE"""),"Sara B. ")</f>
        <v>Sara B. </v>
      </c>
      <c r="C3388" s="24">
        <f>IFERROR(__xludf.DUMMYFUNCTION("""COMPUTED_VALUE"""),17.0)</f>
        <v>17</v>
      </c>
      <c r="D3388" s="24"/>
      <c r="F3388" s="23">
        <f>IFERROR(__xludf.DUMMYFUNCTION("""COMPUTED_VALUE"""),44870.68549964121)</f>
        <v>44870.6855</v>
      </c>
      <c r="G3388" s="24" t="str">
        <f>IFERROR(__xludf.DUMMYFUNCTION("""COMPUTED_VALUE"""),"Salena Wheatley ")</f>
        <v>Salena Wheatley </v>
      </c>
      <c r="H3388" s="24">
        <f>IFERROR(__xludf.DUMMYFUNCTION("""COMPUTED_VALUE"""),4.0)</f>
        <v>4</v>
      </c>
      <c r="I3388" s="24" t="str">
        <f>IFERROR(__xludf.DUMMYFUNCTION("""COMPUTED_VALUE"""),"Damage/expired/extra")</f>
        <v>Damage/expired/extra</v>
      </c>
    </row>
    <row r="3389">
      <c r="A3389" s="23">
        <f>IFERROR(__xludf.DUMMYFUNCTION("""COMPUTED_VALUE"""),44828.70418048611)</f>
        <v>44828.70418</v>
      </c>
      <c r="B3389" s="24" t="str">
        <f>IFERROR(__xludf.DUMMYFUNCTION("""COMPUTED_VALUE"""),"Nathan so")</f>
        <v>Nathan so</v>
      </c>
      <c r="C3389" s="24">
        <f>IFERROR(__xludf.DUMMYFUNCTION("""COMPUTED_VALUE"""),18.0)</f>
        <v>18</v>
      </c>
      <c r="D3389" s="24"/>
      <c r="F3389" s="23">
        <f>IFERROR(__xludf.DUMMYFUNCTION("""COMPUTED_VALUE"""),44870.69006056713)</f>
        <v>44870.69006</v>
      </c>
      <c r="G3389" s="24" t="str">
        <f>IFERROR(__xludf.DUMMYFUNCTION("""COMPUTED_VALUE"""),"Connor Lu")</f>
        <v>Connor Lu</v>
      </c>
      <c r="H3389" s="24">
        <f>IFERROR(__xludf.DUMMYFUNCTION("""COMPUTED_VALUE"""),16.0)</f>
        <v>16</v>
      </c>
      <c r="I3389" s="24" t="str">
        <f>IFERROR(__xludf.DUMMYFUNCTION("""COMPUTED_VALUE"""),"Regular (up to 20lbs)")</f>
        <v>Regular (up to 20lbs)</v>
      </c>
    </row>
    <row r="3390">
      <c r="A3390" s="23">
        <f>IFERROR(__xludf.DUMMYFUNCTION("""COMPUTED_VALUE"""),44828.717238414356)</f>
        <v>44828.71724</v>
      </c>
      <c r="B3390" s="24" t="str">
        <f>IFERROR(__xludf.DUMMYFUNCTION("""COMPUTED_VALUE"""),"Beverly Pinn")</f>
        <v>Beverly Pinn</v>
      </c>
      <c r="C3390" s="24">
        <f>IFERROR(__xludf.DUMMYFUNCTION("""COMPUTED_VALUE"""),11.0)</f>
        <v>11</v>
      </c>
      <c r="D3390" s="24"/>
      <c r="F3390" s="23">
        <f>IFERROR(__xludf.DUMMYFUNCTION("""COMPUTED_VALUE"""),44870.690181018515)</f>
        <v>44870.69018</v>
      </c>
      <c r="G3390" s="24" t="str">
        <f>IFERROR(__xludf.DUMMYFUNCTION("""COMPUTED_VALUE"""),"Connor Lu")</f>
        <v>Connor Lu</v>
      </c>
      <c r="H3390" s="24">
        <f>IFERROR(__xludf.DUMMYFUNCTION("""COMPUTED_VALUE"""),3.0)</f>
        <v>3</v>
      </c>
      <c r="I3390" s="24" t="str">
        <f>IFERROR(__xludf.DUMMYFUNCTION("""COMPUTED_VALUE"""),"Damage/expired/extra")</f>
        <v>Damage/expired/extra</v>
      </c>
    </row>
    <row r="3391">
      <c r="A3391" s="23">
        <f>IFERROR(__xludf.DUMMYFUNCTION("""COMPUTED_VALUE"""),44828.717440381944)</f>
        <v>44828.71744</v>
      </c>
      <c r="B3391" s="24" t="str">
        <f>IFERROR(__xludf.DUMMYFUNCTION("""COMPUTED_VALUE"""),"Beverly Pinn")</f>
        <v>Beverly Pinn</v>
      </c>
      <c r="C3391" s="24">
        <f>IFERROR(__xludf.DUMMYFUNCTION("""COMPUTED_VALUE"""),38.0)</f>
        <v>38</v>
      </c>
      <c r="D3391" s="24"/>
      <c r="F3391" s="23">
        <f>IFERROR(__xludf.DUMMYFUNCTION("""COMPUTED_VALUE"""),44870.691125115736)</f>
        <v>44870.69113</v>
      </c>
      <c r="G3391" s="24" t="str">
        <f>IFERROR(__xludf.DUMMYFUNCTION("""COMPUTED_VALUE"""),"ryan jedlicka")</f>
        <v>ryan jedlicka</v>
      </c>
      <c r="H3391" s="24">
        <f>IFERROR(__xludf.DUMMYFUNCTION("""COMPUTED_VALUE"""),11.0)</f>
        <v>11</v>
      </c>
      <c r="I3391" s="24" t="str">
        <f>IFERROR(__xludf.DUMMYFUNCTION("""COMPUTED_VALUE"""),"Regular (up to 20lbs)")</f>
        <v>Regular (up to 20lbs)</v>
      </c>
    </row>
    <row r="3392">
      <c r="A3392" s="23">
        <f>IFERROR(__xludf.DUMMYFUNCTION("""COMPUTED_VALUE"""),44828.72886792824)</f>
        <v>44828.72887</v>
      </c>
      <c r="B3392" s="24" t="str">
        <f>IFERROR(__xludf.DUMMYFUNCTION("""COMPUTED_VALUE"""),"Lynnette ")</f>
        <v>Lynnette </v>
      </c>
      <c r="C3392" s="24">
        <f>IFERROR(__xludf.DUMMYFUNCTION("""COMPUTED_VALUE"""),23.0)</f>
        <v>23</v>
      </c>
      <c r="D3392" s="24"/>
      <c r="F3392" s="23">
        <f>IFERROR(__xludf.DUMMYFUNCTION("""COMPUTED_VALUE"""),44870.6918844213)</f>
        <v>44870.69188</v>
      </c>
      <c r="G3392" s="24" t="str">
        <f>IFERROR(__xludf.DUMMYFUNCTION("""COMPUTED_VALUE"""),"Elaineda Wilson")</f>
        <v>Elaineda Wilson</v>
      </c>
      <c r="H3392" s="24">
        <f>IFERROR(__xludf.DUMMYFUNCTION("""COMPUTED_VALUE"""),17.0)</f>
        <v>17</v>
      </c>
      <c r="I3392" s="24" t="str">
        <f>IFERROR(__xludf.DUMMYFUNCTION("""COMPUTED_VALUE"""),"Regular (up to 20lbs)")</f>
        <v>Regular (up to 20lbs)</v>
      </c>
    </row>
    <row r="3393">
      <c r="A3393" s="23">
        <f>IFERROR(__xludf.DUMMYFUNCTION("""COMPUTED_VALUE"""),44828.72915175926)</f>
        <v>44828.72915</v>
      </c>
      <c r="B3393" s="24" t="str">
        <f>IFERROR(__xludf.DUMMYFUNCTION("""COMPUTED_VALUE"""),"Lynnette  ")</f>
        <v>Lynnette  </v>
      </c>
      <c r="C3393" s="24">
        <f>IFERROR(__xludf.DUMMYFUNCTION("""COMPUTED_VALUE"""),10.0)</f>
        <v>10</v>
      </c>
      <c r="D3393" s="24"/>
      <c r="F3393" s="23">
        <f>IFERROR(__xludf.DUMMYFUNCTION("""COMPUTED_VALUE"""),44870.69230190972)</f>
        <v>44870.6923</v>
      </c>
      <c r="G3393" s="24" t="str">
        <f>IFERROR(__xludf.DUMMYFUNCTION("""COMPUTED_VALUE"""),"Elaineda Wilson")</f>
        <v>Elaineda Wilson</v>
      </c>
      <c r="H3393" s="24">
        <f>IFERROR(__xludf.DUMMYFUNCTION("""COMPUTED_VALUE"""),6.0)</f>
        <v>6</v>
      </c>
      <c r="I3393" s="24" t="str">
        <f>IFERROR(__xludf.DUMMYFUNCTION("""COMPUTED_VALUE"""),"Damage/expired/extra")</f>
        <v>Damage/expired/extra</v>
      </c>
    </row>
    <row r="3394">
      <c r="A3394" s="23">
        <f>IFERROR(__xludf.DUMMYFUNCTION("""COMPUTED_VALUE"""),44828.72937924768)</f>
        <v>44828.72938</v>
      </c>
      <c r="B3394" s="24" t="str">
        <f>IFERROR(__xludf.DUMMYFUNCTION("""COMPUTED_VALUE"""),"Juanita")</f>
        <v>Juanita</v>
      </c>
      <c r="C3394" s="24">
        <f>IFERROR(__xludf.DUMMYFUNCTION("""COMPUTED_VALUE"""),10.0)</f>
        <v>10</v>
      </c>
      <c r="D3394" s="24"/>
      <c r="F3394" s="23">
        <f>IFERROR(__xludf.DUMMYFUNCTION("""COMPUTED_VALUE"""),44870.69363328703)</f>
        <v>44870.69363</v>
      </c>
      <c r="G3394" s="24" t="str">
        <f>IFERROR(__xludf.DUMMYFUNCTION("""COMPUTED_VALUE"""),"ryan jedlicka")</f>
        <v>ryan jedlicka</v>
      </c>
      <c r="H3394" s="24">
        <f>IFERROR(__xludf.DUMMYFUNCTION("""COMPUTED_VALUE"""),17.0)</f>
        <v>17</v>
      </c>
      <c r="I3394" s="24" t="str">
        <f>IFERROR(__xludf.DUMMYFUNCTION("""COMPUTED_VALUE"""),"Damage/expired/extra")</f>
        <v>Damage/expired/extra</v>
      </c>
    </row>
    <row r="3395">
      <c r="A3395" s="23">
        <f>IFERROR(__xludf.DUMMYFUNCTION("""COMPUTED_VALUE"""),44829.0)</f>
        <v>44829</v>
      </c>
      <c r="B3395" s="24" t="str">
        <f>IFERROR(__xludf.DUMMYFUNCTION("""COMPUTED_VALUE"""),"Marci")</f>
        <v>Marci</v>
      </c>
      <c r="C3395" s="24">
        <f>IFERROR(__xludf.DUMMYFUNCTION("""COMPUTED_VALUE"""),14.0)</f>
        <v>14</v>
      </c>
      <c r="D3395" s="24"/>
      <c r="F3395" s="23">
        <f>IFERROR(__xludf.DUMMYFUNCTION("""COMPUTED_VALUE"""),44870.69471761575)</f>
        <v>44870.69472</v>
      </c>
      <c r="G3395" s="24" t="str">
        <f>IFERROR(__xludf.DUMMYFUNCTION("""COMPUTED_VALUE"""),"Aza Shiao")</f>
        <v>Aza Shiao</v>
      </c>
      <c r="H3395" s="24">
        <f>IFERROR(__xludf.DUMMYFUNCTION("""COMPUTED_VALUE"""),8.0)</f>
        <v>8</v>
      </c>
      <c r="I3395" s="24" t="str">
        <f>IFERROR(__xludf.DUMMYFUNCTION("""COMPUTED_VALUE"""),"Regular (up to 20lbs)")</f>
        <v>Regular (up to 20lbs)</v>
      </c>
    </row>
    <row r="3396">
      <c r="A3396" s="23">
        <f>IFERROR(__xludf.DUMMYFUNCTION("""COMPUTED_VALUE"""),44829.0)</f>
        <v>44829</v>
      </c>
      <c r="B3396" s="24" t="str">
        <f>IFERROR(__xludf.DUMMYFUNCTION("""COMPUTED_VALUE"""),"Marci")</f>
        <v>Marci</v>
      </c>
      <c r="C3396" s="24">
        <f>IFERROR(__xludf.DUMMYFUNCTION("""COMPUTED_VALUE"""),32.0)</f>
        <v>32</v>
      </c>
      <c r="D3396" s="24"/>
      <c r="F3396" s="23">
        <f>IFERROR(__xludf.DUMMYFUNCTION("""COMPUTED_VALUE"""),44870.69487810185)</f>
        <v>44870.69488</v>
      </c>
      <c r="G3396" s="24" t="str">
        <f>IFERROR(__xludf.DUMMYFUNCTION("""COMPUTED_VALUE"""),"Julie Erhart ")</f>
        <v>Julie Erhart </v>
      </c>
      <c r="H3396" s="24">
        <f>IFERROR(__xludf.DUMMYFUNCTION("""COMPUTED_VALUE"""),4.0)</f>
        <v>4</v>
      </c>
      <c r="I3396" s="24" t="str">
        <f>IFERROR(__xludf.DUMMYFUNCTION("""COMPUTED_VALUE"""),"Regular (up to 20lbs)")</f>
        <v>Regular (up to 20lbs)</v>
      </c>
    </row>
    <row r="3397">
      <c r="A3397" s="23">
        <f>IFERROR(__xludf.DUMMYFUNCTION("""COMPUTED_VALUE"""),44829.0)</f>
        <v>44829</v>
      </c>
      <c r="B3397" s="24" t="str">
        <f>IFERROR(__xludf.DUMMYFUNCTION("""COMPUTED_VALUE"""),"Yulia")</f>
        <v>Yulia</v>
      </c>
      <c r="C3397" s="24">
        <f>IFERROR(__xludf.DUMMYFUNCTION("""COMPUTED_VALUE"""),20.0)</f>
        <v>20</v>
      </c>
      <c r="D3397" s="24"/>
      <c r="F3397" s="23">
        <f>IFERROR(__xludf.DUMMYFUNCTION("""COMPUTED_VALUE"""),44870.695011400465)</f>
        <v>44870.69501</v>
      </c>
      <c r="G3397" s="24" t="str">
        <f>IFERROR(__xludf.DUMMYFUNCTION("""COMPUTED_VALUE"""),"Julie Erhart ")</f>
        <v>Julie Erhart </v>
      </c>
      <c r="H3397" s="24">
        <f>IFERROR(__xludf.DUMMYFUNCTION("""COMPUTED_VALUE"""),5.0)</f>
        <v>5</v>
      </c>
      <c r="I3397" s="24" t="str">
        <f>IFERROR(__xludf.DUMMYFUNCTION("""COMPUTED_VALUE"""),"Damage/expired/extra")</f>
        <v>Damage/expired/extra</v>
      </c>
    </row>
    <row r="3398">
      <c r="A3398" s="23">
        <f>IFERROR(__xludf.DUMMYFUNCTION("""COMPUTED_VALUE"""),44829.0)</f>
        <v>44829</v>
      </c>
      <c r="B3398" s="24" t="str">
        <f>IFERROR(__xludf.DUMMYFUNCTION("""COMPUTED_VALUE"""),"Yulia")</f>
        <v>Yulia</v>
      </c>
      <c r="C3398" s="24">
        <f>IFERROR(__xludf.DUMMYFUNCTION("""COMPUTED_VALUE"""),36.0)</f>
        <v>36</v>
      </c>
      <c r="D3398" s="24"/>
      <c r="F3398" s="23">
        <f>IFERROR(__xludf.DUMMYFUNCTION("""COMPUTED_VALUE"""),44870.695058784724)</f>
        <v>44870.69506</v>
      </c>
      <c r="G3398" s="24" t="str">
        <f>IFERROR(__xludf.DUMMYFUNCTION("""COMPUTED_VALUE"""),"Diego Trafton")</f>
        <v>Diego Trafton</v>
      </c>
      <c r="H3398" s="24">
        <f>IFERROR(__xludf.DUMMYFUNCTION("""COMPUTED_VALUE"""),10.0)</f>
        <v>10</v>
      </c>
      <c r="I3398" s="24" t="str">
        <f>IFERROR(__xludf.DUMMYFUNCTION("""COMPUTED_VALUE"""),"Regular (up to 20lbs)")</f>
        <v>Regular (up to 20lbs)</v>
      </c>
    </row>
    <row r="3399">
      <c r="A3399" s="23">
        <f>IFERROR(__xludf.DUMMYFUNCTION("""COMPUTED_VALUE"""),44829.0)</f>
        <v>44829</v>
      </c>
      <c r="B3399" s="24" t="str">
        <f>IFERROR(__xludf.DUMMYFUNCTION("""COMPUTED_VALUE"""),"Ladaisha Thompson")</f>
        <v>Ladaisha Thompson</v>
      </c>
      <c r="C3399" s="24">
        <f>IFERROR(__xludf.DUMMYFUNCTION("""COMPUTED_VALUE"""),18.0)</f>
        <v>18</v>
      </c>
      <c r="D3399" s="24"/>
      <c r="F3399" s="23">
        <f>IFERROR(__xludf.DUMMYFUNCTION("""COMPUTED_VALUE"""),44870.69507541667)</f>
        <v>44870.69508</v>
      </c>
      <c r="G3399" s="24" t="str">
        <f>IFERROR(__xludf.DUMMYFUNCTION("""COMPUTED_VALUE"""),"Waldo Alvarez")</f>
        <v>Waldo Alvarez</v>
      </c>
      <c r="H3399" s="24">
        <f>IFERROR(__xludf.DUMMYFUNCTION("""COMPUTED_VALUE"""),1.0)</f>
        <v>1</v>
      </c>
      <c r="I3399" s="24" t="str">
        <f>IFERROR(__xludf.DUMMYFUNCTION("""COMPUTED_VALUE"""),"Regular (up to 20lbs)")</f>
        <v>Regular (up to 20lbs)</v>
      </c>
    </row>
    <row r="3400">
      <c r="A3400" s="23">
        <f>IFERROR(__xludf.DUMMYFUNCTION("""COMPUTED_VALUE"""),44829.62116400463)</f>
        <v>44829.62116</v>
      </c>
      <c r="B3400" s="24" t="str">
        <f>IFERROR(__xludf.DUMMYFUNCTION("""COMPUTED_VALUE"""),"Jemila Sequeira ")</f>
        <v>Jemila Sequeira </v>
      </c>
      <c r="C3400" s="24">
        <f>IFERROR(__xludf.DUMMYFUNCTION("""COMPUTED_VALUE"""),23.0)</f>
        <v>23</v>
      </c>
      <c r="D3400" s="24"/>
      <c r="F3400" s="23">
        <f>IFERROR(__xludf.DUMMYFUNCTION("""COMPUTED_VALUE"""),44870.69515358796)</f>
        <v>44870.69515</v>
      </c>
      <c r="G3400" s="24" t="str">
        <f>IFERROR(__xludf.DUMMYFUNCTION("""COMPUTED_VALUE"""),"Diego Trafton")</f>
        <v>Diego Trafton</v>
      </c>
      <c r="H3400" s="24">
        <f>IFERROR(__xludf.DUMMYFUNCTION("""COMPUTED_VALUE"""),2.0)</f>
        <v>2</v>
      </c>
      <c r="I3400" s="24" t="str">
        <f>IFERROR(__xludf.DUMMYFUNCTION("""COMPUTED_VALUE"""),"Damage/expired/extra")</f>
        <v>Damage/expired/extra</v>
      </c>
    </row>
    <row r="3401">
      <c r="A3401" s="23">
        <f>IFERROR(__xludf.DUMMYFUNCTION("""COMPUTED_VALUE"""),44829.662356168985)</f>
        <v>44829.66236</v>
      </c>
      <c r="B3401" s="24" t="str">
        <f>IFERROR(__xludf.DUMMYFUNCTION("""COMPUTED_VALUE"""),"Dorja")</f>
        <v>Dorja</v>
      </c>
      <c r="C3401" s="24">
        <f>IFERROR(__xludf.DUMMYFUNCTION("""COMPUTED_VALUE"""),29.0)</f>
        <v>29</v>
      </c>
      <c r="D3401" s="24"/>
      <c r="F3401" s="23">
        <f>IFERROR(__xludf.DUMMYFUNCTION("""COMPUTED_VALUE"""),44870.695179849536)</f>
        <v>44870.69518</v>
      </c>
      <c r="G3401" s="24" t="str">
        <f>IFERROR(__xludf.DUMMYFUNCTION("""COMPUTED_VALUE"""),"Justin Zhong")</f>
        <v>Justin Zhong</v>
      </c>
      <c r="H3401" s="24">
        <f>IFERROR(__xludf.DUMMYFUNCTION("""COMPUTED_VALUE"""),5.0)</f>
        <v>5</v>
      </c>
      <c r="I3401" s="24" t="str">
        <f>IFERROR(__xludf.DUMMYFUNCTION("""COMPUTED_VALUE"""),"Regular (up to 20lbs)")</f>
        <v>Regular (up to 20lbs)</v>
      </c>
    </row>
    <row r="3402">
      <c r="A3402" s="23">
        <f>IFERROR(__xludf.DUMMYFUNCTION("""COMPUTED_VALUE"""),44829.663045972215)</f>
        <v>44829.66305</v>
      </c>
      <c r="B3402" s="24" t="str">
        <f>IFERROR(__xludf.DUMMYFUNCTION("""COMPUTED_VALUE"""),"Zoe")</f>
        <v>Zoe</v>
      </c>
      <c r="C3402" s="24">
        <f>IFERROR(__xludf.DUMMYFUNCTION("""COMPUTED_VALUE"""),20.0)</f>
        <v>20</v>
      </c>
      <c r="D3402" s="24"/>
      <c r="F3402" s="23">
        <f>IFERROR(__xludf.DUMMYFUNCTION("""COMPUTED_VALUE"""),44870.69521694444)</f>
        <v>44870.69522</v>
      </c>
      <c r="G3402" s="24" t="str">
        <f>IFERROR(__xludf.DUMMYFUNCTION("""COMPUTED_VALUE"""),"Waldo")</f>
        <v>Waldo</v>
      </c>
      <c r="H3402" s="24">
        <f>IFERROR(__xludf.DUMMYFUNCTION("""COMPUTED_VALUE"""),1.0)</f>
        <v>1</v>
      </c>
      <c r="I3402" s="24" t="str">
        <f>IFERROR(__xludf.DUMMYFUNCTION("""COMPUTED_VALUE"""),"Damage/expired/extra")</f>
        <v>Damage/expired/extra</v>
      </c>
    </row>
    <row r="3403">
      <c r="A3403" s="23">
        <f>IFERROR(__xludf.DUMMYFUNCTION("""COMPUTED_VALUE"""),44829.6632419213)</f>
        <v>44829.66324</v>
      </c>
      <c r="B3403" s="24" t="str">
        <f>IFERROR(__xludf.DUMMYFUNCTION("""COMPUTED_VALUE"""),"Opey")</f>
        <v>Opey</v>
      </c>
      <c r="C3403" s="24">
        <f>IFERROR(__xludf.DUMMYFUNCTION("""COMPUTED_VALUE"""),17.0)</f>
        <v>17</v>
      </c>
      <c r="D3403" s="24"/>
      <c r="F3403" s="23">
        <f>IFERROR(__xludf.DUMMYFUNCTION("""COMPUTED_VALUE"""),44870.69530870371)</f>
        <v>44870.69531</v>
      </c>
      <c r="G3403" s="24" t="str">
        <f>IFERROR(__xludf.DUMMYFUNCTION("""COMPUTED_VALUE"""),"Justin Zhong")</f>
        <v>Justin Zhong</v>
      </c>
      <c r="H3403" s="24">
        <f>IFERROR(__xludf.DUMMYFUNCTION("""COMPUTED_VALUE"""),11.0)</f>
        <v>11</v>
      </c>
      <c r="I3403" s="24" t="str">
        <f>IFERROR(__xludf.DUMMYFUNCTION("""COMPUTED_VALUE"""),"Damage/expired/extra")</f>
        <v>Damage/expired/extra</v>
      </c>
    </row>
    <row r="3404">
      <c r="A3404" s="23">
        <f>IFERROR(__xludf.DUMMYFUNCTION("""COMPUTED_VALUE"""),44829.66804267361)</f>
        <v>44829.66804</v>
      </c>
      <c r="B3404" s="24" t="str">
        <f>IFERROR(__xludf.DUMMYFUNCTION("""COMPUTED_VALUE"""),"Kaneesha ")</f>
        <v>Kaneesha </v>
      </c>
      <c r="C3404" s="24">
        <f>IFERROR(__xludf.DUMMYFUNCTION("""COMPUTED_VALUE"""),17.0)</f>
        <v>17</v>
      </c>
      <c r="D3404" s="24"/>
      <c r="F3404" s="23">
        <f>IFERROR(__xludf.DUMMYFUNCTION("""COMPUTED_VALUE"""),44870.697766273144)</f>
        <v>44870.69777</v>
      </c>
      <c r="G3404" s="24" t="str">
        <f>IFERROR(__xludf.DUMMYFUNCTION("""COMPUTED_VALUE"""),"Abby Disman")</f>
        <v>Abby Disman</v>
      </c>
      <c r="H3404" s="24">
        <f>IFERROR(__xludf.DUMMYFUNCTION("""COMPUTED_VALUE"""),8.0)</f>
        <v>8</v>
      </c>
      <c r="I3404" s="24" t="str">
        <f>IFERROR(__xludf.DUMMYFUNCTION("""COMPUTED_VALUE"""),"Regular (up to 20lbs)")</f>
        <v>Regular (up to 20lbs)</v>
      </c>
    </row>
    <row r="3405">
      <c r="A3405" s="23">
        <f>IFERROR(__xludf.DUMMYFUNCTION("""COMPUTED_VALUE"""),44829.66831010417)</f>
        <v>44829.66831</v>
      </c>
      <c r="B3405" s="24" t="str">
        <f>IFERROR(__xludf.DUMMYFUNCTION("""COMPUTED_VALUE"""),"Kaneesha ")</f>
        <v>Kaneesha </v>
      </c>
      <c r="C3405" s="24">
        <f>IFERROR(__xludf.DUMMYFUNCTION("""COMPUTED_VALUE"""),23.0)</f>
        <v>23</v>
      </c>
      <c r="D3405" s="24"/>
      <c r="F3405" s="23">
        <f>IFERROR(__xludf.DUMMYFUNCTION("""COMPUTED_VALUE"""),44870.69779215277)</f>
        <v>44870.69779</v>
      </c>
      <c r="G3405" s="24" t="str">
        <f>IFERROR(__xludf.DUMMYFUNCTION("""COMPUTED_VALUE"""),"Madison Whybrew")</f>
        <v>Madison Whybrew</v>
      </c>
      <c r="H3405" s="24">
        <f>IFERROR(__xludf.DUMMYFUNCTION("""COMPUTED_VALUE"""),10.0)</f>
        <v>10</v>
      </c>
      <c r="I3405" s="24" t="str">
        <f>IFERROR(__xludf.DUMMYFUNCTION("""COMPUTED_VALUE"""),"Regular (up to 20lbs)")</f>
        <v>Regular (up to 20lbs)</v>
      </c>
    </row>
    <row r="3406">
      <c r="A3406" s="23">
        <f>IFERROR(__xludf.DUMMYFUNCTION("""COMPUTED_VALUE"""),44831.0)</f>
        <v>44831</v>
      </c>
      <c r="B3406" s="24" t="str">
        <f>IFERROR(__xludf.DUMMYFUNCTION("""COMPUTED_VALUE"""),"Marci")</f>
        <v>Marci</v>
      </c>
      <c r="C3406" s="24">
        <f>IFERROR(__xludf.DUMMYFUNCTION("""COMPUTED_VALUE"""),16.0)</f>
        <v>16</v>
      </c>
      <c r="D3406" s="24"/>
      <c r="F3406" s="23">
        <f>IFERROR(__xludf.DUMMYFUNCTION("""COMPUTED_VALUE"""),44870.69791203703)</f>
        <v>44870.69791</v>
      </c>
      <c r="G3406" s="24" t="str">
        <f>IFERROR(__xludf.DUMMYFUNCTION("""COMPUTED_VALUE"""),"Abby Disman")</f>
        <v>Abby Disman</v>
      </c>
      <c r="H3406" s="24">
        <f>IFERROR(__xludf.DUMMYFUNCTION("""COMPUTED_VALUE"""),6.0)</f>
        <v>6</v>
      </c>
      <c r="I3406" s="24" t="str">
        <f>IFERROR(__xludf.DUMMYFUNCTION("""COMPUTED_VALUE"""),"Damage/expired/extra")</f>
        <v>Damage/expired/extra</v>
      </c>
    </row>
    <row r="3407">
      <c r="A3407" s="23">
        <f>IFERROR(__xludf.DUMMYFUNCTION("""COMPUTED_VALUE"""),44831.0)</f>
        <v>44831</v>
      </c>
      <c r="B3407" s="24" t="str">
        <f>IFERROR(__xludf.DUMMYFUNCTION("""COMPUTED_VALUE"""),"Marci")</f>
        <v>Marci</v>
      </c>
      <c r="C3407" s="24">
        <f>IFERROR(__xludf.DUMMYFUNCTION("""COMPUTED_VALUE"""),23.0)</f>
        <v>23</v>
      </c>
      <c r="D3407" s="24"/>
      <c r="F3407" s="23">
        <f>IFERROR(__xludf.DUMMYFUNCTION("""COMPUTED_VALUE"""),44870.69797509259)</f>
        <v>44870.69798</v>
      </c>
      <c r="G3407" s="24" t="str">
        <f>IFERROR(__xludf.DUMMYFUNCTION("""COMPUTED_VALUE"""),"Madison Whybrew")</f>
        <v>Madison Whybrew</v>
      </c>
      <c r="H3407" s="24">
        <f>IFERROR(__xludf.DUMMYFUNCTION("""COMPUTED_VALUE"""),9.0)</f>
        <v>9</v>
      </c>
      <c r="I3407" s="24" t="str">
        <f>IFERROR(__xludf.DUMMYFUNCTION("""COMPUTED_VALUE"""),"Damage/expired/extra")</f>
        <v>Damage/expired/extra</v>
      </c>
    </row>
    <row r="3408">
      <c r="A3408" s="23">
        <f>IFERROR(__xludf.DUMMYFUNCTION("""COMPUTED_VALUE"""),44831.69919613426)</f>
        <v>44831.6992</v>
      </c>
      <c r="B3408" s="24" t="str">
        <f>IFERROR(__xludf.DUMMYFUNCTION("""COMPUTED_VALUE"""),"Beverly Graham ")</f>
        <v>Beverly Graham </v>
      </c>
      <c r="C3408" s="24">
        <f>IFERROR(__xludf.DUMMYFUNCTION("""COMPUTED_VALUE"""),18.0)</f>
        <v>18</v>
      </c>
      <c r="D3408" s="24"/>
      <c r="F3408" s="23">
        <f>IFERROR(__xludf.DUMMYFUNCTION("""COMPUTED_VALUE"""),44870.698238576384)</f>
        <v>44870.69824</v>
      </c>
      <c r="G3408" s="24" t="str">
        <f>IFERROR(__xludf.DUMMYFUNCTION("""COMPUTED_VALUE"""),"Sara B. ")</f>
        <v>Sara B. </v>
      </c>
      <c r="H3408" s="24">
        <f>IFERROR(__xludf.DUMMYFUNCTION("""COMPUTED_VALUE"""),10.0)</f>
        <v>10</v>
      </c>
      <c r="I3408" s="24" t="str">
        <f>IFERROR(__xludf.DUMMYFUNCTION("""COMPUTED_VALUE"""),"Regular (up to 20lbs)")</f>
        <v>Regular (up to 20lbs)</v>
      </c>
    </row>
    <row r="3409">
      <c r="A3409" s="23">
        <f>IFERROR(__xludf.DUMMYFUNCTION("""COMPUTED_VALUE"""),44831.69920293982)</f>
        <v>44831.6992</v>
      </c>
      <c r="B3409" s="24" t="str">
        <f>IFERROR(__xludf.DUMMYFUNCTION("""COMPUTED_VALUE"""),"Beverly Pinn")</f>
        <v>Beverly Pinn</v>
      </c>
      <c r="C3409" s="24">
        <f>IFERROR(__xludf.DUMMYFUNCTION("""COMPUTED_VALUE"""),19.0)</f>
        <v>19</v>
      </c>
      <c r="D3409" s="24"/>
      <c r="F3409" s="23">
        <f>IFERROR(__xludf.DUMMYFUNCTION("""COMPUTED_VALUE"""),44870.698396458334)</f>
        <v>44870.6984</v>
      </c>
      <c r="G3409" s="24" t="str">
        <f>IFERROR(__xludf.DUMMYFUNCTION("""COMPUTED_VALUE"""),"Sara B. ")</f>
        <v>Sara B. </v>
      </c>
      <c r="H3409" s="24">
        <f>IFERROR(__xludf.DUMMYFUNCTION("""COMPUTED_VALUE"""),2.0)</f>
        <v>2</v>
      </c>
      <c r="I3409" s="24" t="str">
        <f>IFERROR(__xludf.DUMMYFUNCTION("""COMPUTED_VALUE"""),"Damage/expired/extra")</f>
        <v>Damage/expired/extra</v>
      </c>
    </row>
    <row r="3410">
      <c r="A3410" s="23">
        <f>IFERROR(__xludf.DUMMYFUNCTION("""COMPUTED_VALUE"""),44831.699549895835)</f>
        <v>44831.69955</v>
      </c>
      <c r="B3410" s="24" t="str">
        <f>IFERROR(__xludf.DUMMYFUNCTION("""COMPUTED_VALUE"""),"Beverly Pinn")</f>
        <v>Beverly Pinn</v>
      </c>
      <c r="C3410" s="24">
        <f>IFERROR(__xludf.DUMMYFUNCTION("""COMPUTED_VALUE"""),11.0)</f>
        <v>11</v>
      </c>
      <c r="D3410" s="24"/>
      <c r="F3410" s="23">
        <f>IFERROR(__xludf.DUMMYFUNCTION("""COMPUTED_VALUE"""),44870.70633246528)</f>
        <v>44870.70633</v>
      </c>
      <c r="G3410" s="24" t="str">
        <f>IFERROR(__xludf.DUMMYFUNCTION("""COMPUTED_VALUE"""),"Kendal ")</f>
        <v>Kendal </v>
      </c>
      <c r="H3410" s="24">
        <f>IFERROR(__xludf.DUMMYFUNCTION("""COMPUTED_VALUE"""),9.0)</f>
        <v>9</v>
      </c>
      <c r="I3410" s="24" t="str">
        <f>IFERROR(__xludf.DUMMYFUNCTION("""COMPUTED_VALUE"""),"Regular (up to 20lbs)")</f>
        <v>Regular (up to 20lbs)</v>
      </c>
    </row>
    <row r="3411">
      <c r="A3411" s="23">
        <f>IFERROR(__xludf.DUMMYFUNCTION("""COMPUTED_VALUE"""),44831.69986822917)</f>
        <v>44831.69987</v>
      </c>
      <c r="B3411" s="24" t="str">
        <f>IFERROR(__xludf.DUMMYFUNCTION("""COMPUTED_VALUE"""),"Beverly Graham ")</f>
        <v>Beverly Graham </v>
      </c>
      <c r="C3411" s="24">
        <f>IFERROR(__xludf.DUMMYFUNCTION("""COMPUTED_VALUE"""),8.0)</f>
        <v>8</v>
      </c>
      <c r="D3411" s="24"/>
      <c r="F3411" s="23">
        <f>IFERROR(__xludf.DUMMYFUNCTION("""COMPUTED_VALUE"""),44870.70643121528)</f>
        <v>44870.70643</v>
      </c>
      <c r="G3411" s="24" t="str">
        <f>IFERROR(__xludf.DUMMYFUNCTION("""COMPUTED_VALUE"""),"Kendal")</f>
        <v>Kendal</v>
      </c>
      <c r="H3411" s="24">
        <f>IFERROR(__xludf.DUMMYFUNCTION("""COMPUTED_VALUE"""),9.0)</f>
        <v>9</v>
      </c>
      <c r="I3411" s="24" t="str">
        <f>IFERROR(__xludf.DUMMYFUNCTION("""COMPUTED_VALUE"""),"Damage/expired/extra")</f>
        <v>Damage/expired/extra</v>
      </c>
    </row>
    <row r="3412">
      <c r="A3412" s="23">
        <f>IFERROR(__xludf.DUMMYFUNCTION("""COMPUTED_VALUE"""),44831.699915173616)</f>
        <v>44831.69992</v>
      </c>
      <c r="B3412" s="24" t="str">
        <f>IFERROR(__xludf.DUMMYFUNCTION("""COMPUTED_VALUE"""),"Kaneesha ")</f>
        <v>Kaneesha </v>
      </c>
      <c r="C3412" s="24">
        <f>IFERROR(__xludf.DUMMYFUNCTION("""COMPUTED_VALUE"""),20.0)</f>
        <v>20</v>
      </c>
      <c r="D3412" s="24"/>
      <c r="F3412" s="23">
        <f>IFERROR(__xludf.DUMMYFUNCTION("""COMPUTED_VALUE"""),44870.71055528935)</f>
        <v>44870.71056</v>
      </c>
      <c r="G3412" s="24" t="str">
        <f>IFERROR(__xludf.DUMMYFUNCTION("""COMPUTED_VALUE"""),"Dean Chien")</f>
        <v>Dean Chien</v>
      </c>
      <c r="H3412" s="24">
        <f>IFERROR(__xludf.DUMMYFUNCTION("""COMPUTED_VALUE"""),12.0)</f>
        <v>12</v>
      </c>
      <c r="I3412" s="24" t="str">
        <f>IFERROR(__xludf.DUMMYFUNCTION("""COMPUTED_VALUE"""),"Regular (up to 20lbs)")</f>
        <v>Regular (up to 20lbs)</v>
      </c>
    </row>
    <row r="3413">
      <c r="A3413" s="23">
        <f>IFERROR(__xludf.DUMMYFUNCTION("""COMPUTED_VALUE"""),44831.70023422454)</f>
        <v>44831.70023</v>
      </c>
      <c r="B3413" s="24" t="str">
        <f>IFERROR(__xludf.DUMMYFUNCTION("""COMPUTED_VALUE"""),"Kaneesha")</f>
        <v>Kaneesha</v>
      </c>
      <c r="C3413" s="24">
        <f>IFERROR(__xludf.DUMMYFUNCTION("""COMPUTED_VALUE"""),15.0)</f>
        <v>15</v>
      </c>
      <c r="D3413" s="24"/>
      <c r="F3413" s="23">
        <f>IFERROR(__xludf.DUMMYFUNCTION("""COMPUTED_VALUE"""),44870.713944178235)</f>
        <v>44870.71394</v>
      </c>
      <c r="G3413" s="24" t="str">
        <f>IFERROR(__xludf.DUMMYFUNCTION("""COMPUTED_VALUE"""),"Beverly Pinn")</f>
        <v>Beverly Pinn</v>
      </c>
      <c r="H3413" s="24">
        <f>IFERROR(__xludf.DUMMYFUNCTION("""COMPUTED_VALUE"""),11.0)</f>
        <v>11</v>
      </c>
      <c r="I3413" s="24" t="str">
        <f>IFERROR(__xludf.DUMMYFUNCTION("""COMPUTED_VALUE"""),"Regular (up to 20lbs)")</f>
        <v>Regular (up to 20lbs)</v>
      </c>
    </row>
    <row r="3414">
      <c r="A3414" s="23">
        <f>IFERROR(__xludf.DUMMYFUNCTION("""COMPUTED_VALUE"""),44831.70479943287)</f>
        <v>44831.7048</v>
      </c>
      <c r="B3414" s="24" t="str">
        <f>IFERROR(__xludf.DUMMYFUNCTION("""COMPUTED_VALUE"""),"Annie Hopson")</f>
        <v>Annie Hopson</v>
      </c>
      <c r="C3414" s="24">
        <f>IFERROR(__xludf.DUMMYFUNCTION("""COMPUTED_VALUE"""),20.0)</f>
        <v>20</v>
      </c>
      <c r="D3414" s="24"/>
      <c r="F3414" s="23">
        <f>IFERROR(__xludf.DUMMYFUNCTION("""COMPUTED_VALUE"""),44870.71408878472)</f>
        <v>44870.71409</v>
      </c>
      <c r="G3414" s="24" t="str">
        <f>IFERROR(__xludf.DUMMYFUNCTION("""COMPUTED_VALUE"""),"Beverly Pinn")</f>
        <v>Beverly Pinn</v>
      </c>
      <c r="H3414" s="24">
        <f>IFERROR(__xludf.DUMMYFUNCTION("""COMPUTED_VALUE"""),17.0)</f>
        <v>17</v>
      </c>
      <c r="I3414" s="24" t="str">
        <f>IFERROR(__xludf.DUMMYFUNCTION("""COMPUTED_VALUE"""),"Damage/expired/extra")</f>
        <v>Damage/expired/extra</v>
      </c>
    </row>
    <row r="3415">
      <c r="A3415" s="23">
        <f>IFERROR(__xludf.DUMMYFUNCTION("""COMPUTED_VALUE"""),44831.70510561343)</f>
        <v>44831.70511</v>
      </c>
      <c r="B3415" s="24" t="str">
        <f>IFERROR(__xludf.DUMMYFUNCTION("""COMPUTED_VALUE"""),"Annie Hopson")</f>
        <v>Annie Hopson</v>
      </c>
      <c r="C3415" s="24">
        <f>IFERROR(__xludf.DUMMYFUNCTION("""COMPUTED_VALUE"""),23.0)</f>
        <v>23</v>
      </c>
      <c r="D3415" s="24"/>
      <c r="F3415" s="23">
        <f>IFERROR(__xludf.DUMMYFUNCTION("""COMPUTED_VALUE"""),44870.71486222222)</f>
        <v>44870.71486</v>
      </c>
      <c r="G3415" s="24" t="str">
        <f>IFERROR(__xludf.DUMMYFUNCTION("""COMPUTED_VALUE"""),"Juanita Chandler ")</f>
        <v>Juanita Chandler </v>
      </c>
      <c r="H3415" s="24">
        <f>IFERROR(__xludf.DUMMYFUNCTION("""COMPUTED_VALUE"""),17.0)</f>
        <v>17</v>
      </c>
      <c r="I3415" s="24" t="str">
        <f>IFERROR(__xludf.DUMMYFUNCTION("""COMPUTED_VALUE"""),"Damage/expired/extra")</f>
        <v>Damage/expired/extra</v>
      </c>
    </row>
    <row r="3416">
      <c r="A3416" s="23">
        <f>IFERROR(__xludf.DUMMYFUNCTION("""COMPUTED_VALUE"""),44831.70728334491)</f>
        <v>44831.70728</v>
      </c>
      <c r="B3416" s="24" t="str">
        <f>IFERROR(__xludf.DUMMYFUNCTION("""COMPUTED_VALUE"""),"Jean")</f>
        <v>Jean</v>
      </c>
      <c r="C3416" s="24">
        <f>IFERROR(__xludf.DUMMYFUNCTION("""COMPUTED_VALUE"""),10.0)</f>
        <v>10</v>
      </c>
      <c r="D3416" s="24"/>
      <c r="F3416" s="23">
        <f>IFERROR(__xludf.DUMMYFUNCTION("""COMPUTED_VALUE"""),44870.71515686342)</f>
        <v>44870.71516</v>
      </c>
      <c r="G3416" s="24" t="str">
        <f>IFERROR(__xludf.DUMMYFUNCTION("""COMPUTED_VALUE"""),"Juanita Chandler ")</f>
        <v>Juanita Chandler </v>
      </c>
      <c r="H3416" s="24">
        <f>IFERROR(__xludf.DUMMYFUNCTION("""COMPUTED_VALUE"""),11.0)</f>
        <v>11</v>
      </c>
      <c r="I3416" s="24" t="str">
        <f>IFERROR(__xludf.DUMMYFUNCTION("""COMPUTED_VALUE"""),"Regular (up to 20lbs)")</f>
        <v>Regular (up to 20lbs)</v>
      </c>
    </row>
    <row r="3417">
      <c r="A3417" s="23">
        <f>IFERROR(__xludf.DUMMYFUNCTION("""COMPUTED_VALUE"""),44831.70755730324)</f>
        <v>44831.70756</v>
      </c>
      <c r="B3417" s="24" t="str">
        <f>IFERROR(__xludf.DUMMYFUNCTION("""COMPUTED_VALUE"""),"Jean")</f>
        <v>Jean</v>
      </c>
      <c r="C3417" s="24">
        <f>IFERROR(__xludf.DUMMYFUNCTION("""COMPUTED_VALUE"""),26.0)</f>
        <v>26</v>
      </c>
      <c r="D3417" s="24"/>
      <c r="F3417" s="23">
        <f>IFERROR(__xludf.DUMMYFUNCTION("""COMPUTED_VALUE"""),44870.764522627316)</f>
        <v>44870.76452</v>
      </c>
      <c r="G3417" s="24" t="str">
        <f>IFERROR(__xludf.DUMMYFUNCTION("""COMPUTED_VALUE"""),"JC")</f>
        <v>JC</v>
      </c>
      <c r="H3417" s="24">
        <f>IFERROR(__xludf.DUMMYFUNCTION("""COMPUTED_VALUE"""),255.0)</f>
        <v>255</v>
      </c>
      <c r="I3417" s="24" t="str">
        <f>IFERROR(__xludf.DUMMYFUNCTION("""COMPUTED_VALUE"""),"Amazon")</f>
        <v>Amazon</v>
      </c>
    </row>
    <row r="3418">
      <c r="A3418" s="23">
        <f>IFERROR(__xludf.DUMMYFUNCTION("""COMPUTED_VALUE"""),44832.0)</f>
        <v>44832</v>
      </c>
      <c r="B3418" s="24" t="str">
        <f>IFERROR(__xludf.DUMMYFUNCTION("""COMPUTED_VALUE"""),"Juanita Chandler")</f>
        <v>Juanita Chandler</v>
      </c>
      <c r="C3418" s="24">
        <f>IFERROR(__xludf.DUMMYFUNCTION("""COMPUTED_VALUE"""),22.0)</f>
        <v>22</v>
      </c>
      <c r="D3418" s="24"/>
      <c r="F3418" s="23">
        <f>IFERROR(__xludf.DUMMYFUNCTION("""COMPUTED_VALUE"""),44870.76478792824)</f>
        <v>44870.76479</v>
      </c>
      <c r="G3418" s="24" t="str">
        <f>IFERROR(__xludf.DUMMYFUNCTION("""COMPUTED_VALUE"""),"JC")</f>
        <v>JC</v>
      </c>
      <c r="H3418" s="24">
        <f>IFERROR(__xludf.DUMMYFUNCTION("""COMPUTED_VALUE"""),1052.0)</f>
        <v>1052</v>
      </c>
      <c r="I3418" s="24" t="str">
        <f>IFERROR(__xludf.DUMMYFUNCTION("""COMPUTED_VALUE"""),"Amazon")</f>
        <v>Amazon</v>
      </c>
    </row>
    <row r="3419">
      <c r="A3419" s="23">
        <f>IFERROR(__xludf.DUMMYFUNCTION("""COMPUTED_VALUE"""),44832.0)</f>
        <v>44832</v>
      </c>
      <c r="B3419" s="24" t="str">
        <f>IFERROR(__xludf.DUMMYFUNCTION("""COMPUTED_VALUE"""),"Juanita Chandler")</f>
        <v>Juanita Chandler</v>
      </c>
      <c r="C3419" s="24">
        <f>IFERROR(__xludf.DUMMYFUNCTION("""COMPUTED_VALUE"""),8.0)</f>
        <v>8</v>
      </c>
      <c r="D3419" s="24"/>
      <c r="F3419" s="23">
        <f>IFERROR(__xludf.DUMMYFUNCTION("""COMPUTED_VALUE"""),44870.765085960644)</f>
        <v>44870.76509</v>
      </c>
      <c r="G3419" s="24" t="str">
        <f>IFERROR(__xludf.DUMMYFUNCTION("""COMPUTED_VALUE"""),"JC")</f>
        <v>JC</v>
      </c>
      <c r="H3419" s="24">
        <f>IFERROR(__xludf.DUMMYFUNCTION("""COMPUTED_VALUE"""),594.0)</f>
        <v>594</v>
      </c>
      <c r="I3419" s="24" t="str">
        <f>IFERROR(__xludf.DUMMYFUNCTION("""COMPUTED_VALUE"""),"Amazon")</f>
        <v>Amazon</v>
      </c>
    </row>
    <row r="3420">
      <c r="A3420" s="23">
        <f>IFERROR(__xludf.DUMMYFUNCTION("""COMPUTED_VALUE"""),44832.0)</f>
        <v>44832</v>
      </c>
      <c r="B3420" s="24" t="str">
        <f>IFERROR(__xludf.DUMMYFUNCTION("""COMPUTED_VALUE"""),"Doris Parker tuggle")</f>
        <v>Doris Parker tuggle</v>
      </c>
      <c r="C3420" s="24">
        <f>IFERROR(__xludf.DUMMYFUNCTION("""COMPUTED_VALUE"""),18.0)</f>
        <v>18</v>
      </c>
      <c r="D3420" s="24"/>
      <c r="F3420" s="23">
        <f>IFERROR(__xludf.DUMMYFUNCTION("""COMPUTED_VALUE"""),44870.76557725695)</f>
        <v>44870.76558</v>
      </c>
      <c r="G3420" s="24" t="str">
        <f>IFERROR(__xludf.DUMMYFUNCTION("""COMPUTED_VALUE"""),"JC")</f>
        <v>JC</v>
      </c>
      <c r="H3420" s="24">
        <f>IFERROR(__xludf.DUMMYFUNCTION("""COMPUTED_VALUE"""),798.0)</f>
        <v>798</v>
      </c>
      <c r="I3420" s="24" t="str">
        <f>IFERROR(__xludf.DUMMYFUNCTION("""COMPUTED_VALUE"""),"Amazon")</f>
        <v>Amazon</v>
      </c>
    </row>
    <row r="3421">
      <c r="A3421" s="23">
        <f>IFERROR(__xludf.DUMMYFUNCTION("""COMPUTED_VALUE"""),44832.0)</f>
        <v>44832</v>
      </c>
      <c r="B3421" s="24" t="str">
        <f>IFERROR(__xludf.DUMMYFUNCTION("""COMPUTED_VALUE"""),"Treston Codrington")</f>
        <v>Treston Codrington</v>
      </c>
      <c r="C3421" s="24">
        <f>IFERROR(__xludf.DUMMYFUNCTION("""COMPUTED_VALUE"""),19.0)</f>
        <v>19</v>
      </c>
      <c r="D3421" s="24"/>
      <c r="F3421" s="23">
        <f>IFERROR(__xludf.DUMMYFUNCTION("""COMPUTED_VALUE"""),44870.765874467594)</f>
        <v>44870.76587</v>
      </c>
      <c r="G3421" s="24" t="str">
        <f>IFERROR(__xludf.DUMMYFUNCTION("""COMPUTED_VALUE"""),"JC")</f>
        <v>JC</v>
      </c>
      <c r="H3421" s="24">
        <f>IFERROR(__xludf.DUMMYFUNCTION("""COMPUTED_VALUE"""),1184.0)</f>
        <v>1184</v>
      </c>
      <c r="I3421" s="24" t="str">
        <f>IFERROR(__xludf.DUMMYFUNCTION("""COMPUTED_VALUE"""),"Amazon")</f>
        <v>Amazon</v>
      </c>
    </row>
    <row r="3422">
      <c r="A3422" s="23">
        <f>IFERROR(__xludf.DUMMYFUNCTION("""COMPUTED_VALUE"""),44832.0)</f>
        <v>44832</v>
      </c>
      <c r="B3422" s="24" t="str">
        <f>IFERROR(__xludf.DUMMYFUNCTION("""COMPUTED_VALUE"""),"Treston Codrington")</f>
        <v>Treston Codrington</v>
      </c>
      <c r="C3422" s="24">
        <f>IFERROR(__xludf.DUMMYFUNCTION("""COMPUTED_VALUE"""),12.0)</f>
        <v>12</v>
      </c>
      <c r="D3422" s="24"/>
      <c r="F3422" s="23">
        <f>IFERROR(__xludf.DUMMYFUNCTION("""COMPUTED_VALUE"""),44870.76690015046)</f>
        <v>44870.7669</v>
      </c>
      <c r="G3422" s="24" t="str">
        <f>IFERROR(__xludf.DUMMYFUNCTION("""COMPUTED_VALUE"""),"JC")</f>
        <v>JC</v>
      </c>
      <c r="H3422" s="24">
        <f>IFERROR(__xludf.DUMMYFUNCTION("""COMPUTED_VALUE"""),930.0)</f>
        <v>930</v>
      </c>
      <c r="I3422" s="24" t="str">
        <f>IFERROR(__xludf.DUMMYFUNCTION("""COMPUTED_VALUE"""),"Amazon")</f>
        <v>Amazon</v>
      </c>
    </row>
    <row r="3423">
      <c r="A3423" s="23">
        <f>IFERROR(__xludf.DUMMYFUNCTION("""COMPUTED_VALUE"""),44832.303085625)</f>
        <v>44832.30309</v>
      </c>
      <c r="B3423" s="24" t="str">
        <f>IFERROR(__xludf.DUMMYFUNCTION("""COMPUTED_VALUE"""),"Dorja ")</f>
        <v>Dorja </v>
      </c>
      <c r="C3423" s="24">
        <f>IFERROR(__xludf.DUMMYFUNCTION("""COMPUTED_VALUE"""),17.0)</f>
        <v>17</v>
      </c>
      <c r="D3423" s="24"/>
      <c r="F3423" s="23">
        <f>IFERROR(__xludf.DUMMYFUNCTION("""COMPUTED_VALUE"""),44870.76715943287)</f>
        <v>44870.76716</v>
      </c>
      <c r="G3423" s="24" t="str">
        <f>IFERROR(__xludf.DUMMYFUNCTION("""COMPUTED_VALUE"""),"JC")</f>
        <v>JC</v>
      </c>
      <c r="H3423" s="24">
        <f>IFERROR(__xludf.DUMMYFUNCTION("""COMPUTED_VALUE"""),447.0)</f>
        <v>447</v>
      </c>
      <c r="I3423" s="24" t="str">
        <f>IFERROR(__xludf.DUMMYFUNCTION("""COMPUTED_VALUE"""),"Amazon")</f>
        <v>Amazon</v>
      </c>
    </row>
    <row r="3424">
      <c r="A3424" s="23">
        <f>IFERROR(__xludf.DUMMYFUNCTION("""COMPUTED_VALUE"""),44832.573393252314)</f>
        <v>44832.57339</v>
      </c>
      <c r="B3424" s="24" t="str">
        <f>IFERROR(__xludf.DUMMYFUNCTION("""COMPUTED_VALUE"""),"Bud - Sisson st dpw drinks")</f>
        <v>Bud - Sisson st dpw drinks</v>
      </c>
      <c r="C3424" s="24">
        <f>IFERROR(__xludf.DUMMYFUNCTION("""COMPUTED_VALUE"""),15.0)</f>
        <v>15</v>
      </c>
      <c r="D3424" s="24"/>
      <c r="F3424" s="23">
        <f>IFERROR(__xludf.DUMMYFUNCTION("""COMPUTED_VALUE"""),44871.0)</f>
        <v>44871</v>
      </c>
      <c r="G3424" s="24" t="str">
        <f>IFERROR(__xludf.DUMMYFUNCTION("""COMPUTED_VALUE"""),"Juanita Chandler ")</f>
        <v>Juanita Chandler </v>
      </c>
      <c r="H3424" s="24">
        <f>IFERROR(__xludf.DUMMYFUNCTION("""COMPUTED_VALUE"""),15.0)</f>
        <v>15</v>
      </c>
      <c r="I3424" s="24" t="str">
        <f>IFERROR(__xludf.DUMMYFUNCTION("""COMPUTED_VALUE"""),"Regular (up to 20lbs)")</f>
        <v>Regular (up to 20lbs)</v>
      </c>
    </row>
    <row r="3425">
      <c r="A3425" s="23">
        <f>IFERROR(__xludf.DUMMYFUNCTION("""COMPUTED_VALUE"""),44832.57373659723)</f>
        <v>44832.57374</v>
      </c>
      <c r="B3425" s="24" t="str">
        <f>IFERROR(__xludf.DUMMYFUNCTION("""COMPUTED_VALUE"""),"Bud Stracker - personal ")</f>
        <v>Bud Stracker - personal </v>
      </c>
      <c r="C3425" s="24">
        <f>IFERROR(__xludf.DUMMYFUNCTION("""COMPUTED_VALUE"""),3.0)</f>
        <v>3</v>
      </c>
      <c r="D3425" s="24"/>
      <c r="F3425" s="23">
        <f>IFERROR(__xludf.DUMMYFUNCTION("""COMPUTED_VALUE"""),44871.0)</f>
        <v>44871</v>
      </c>
      <c r="G3425" s="24" t="str">
        <f>IFERROR(__xludf.DUMMYFUNCTION("""COMPUTED_VALUE"""),"Juanita Chandler ")</f>
        <v>Juanita Chandler </v>
      </c>
      <c r="H3425" s="24">
        <f>IFERROR(__xludf.DUMMYFUNCTION("""COMPUTED_VALUE"""),6.0)</f>
        <v>6</v>
      </c>
      <c r="I3425" s="24" t="str">
        <f>IFERROR(__xludf.DUMMYFUNCTION("""COMPUTED_VALUE"""),"Damage/expired/extra")</f>
        <v>Damage/expired/extra</v>
      </c>
    </row>
    <row r="3426">
      <c r="A3426" s="23">
        <f>IFERROR(__xludf.DUMMYFUNCTION("""COMPUTED_VALUE"""),44833.0)</f>
        <v>44833</v>
      </c>
      <c r="B3426" s="24" t="str">
        <f>IFERROR(__xludf.DUMMYFUNCTION("""COMPUTED_VALUE"""),"Hong Xue")</f>
        <v>Hong Xue</v>
      </c>
      <c r="C3426" s="24">
        <f>IFERROR(__xludf.DUMMYFUNCTION("""COMPUTED_VALUE"""),20.0)</f>
        <v>20</v>
      </c>
      <c r="D3426" s="24"/>
      <c r="F3426" s="23">
        <f>IFERROR(__xludf.DUMMYFUNCTION("""COMPUTED_VALUE"""),44871.0)</f>
        <v>44871</v>
      </c>
      <c r="G3426" s="24" t="str">
        <f>IFERROR(__xludf.DUMMYFUNCTION("""COMPUTED_VALUE"""),"Ladaisha Thompson")</f>
        <v>Ladaisha Thompson</v>
      </c>
      <c r="H3426" s="24">
        <f>IFERROR(__xludf.DUMMYFUNCTION("""COMPUTED_VALUE"""),19.0)</f>
        <v>19</v>
      </c>
      <c r="I3426" s="24" t="str">
        <f>IFERROR(__xludf.DUMMYFUNCTION("""COMPUTED_VALUE"""),"Regular (up to 20lbs)")</f>
        <v>Regular (up to 20lbs)</v>
      </c>
    </row>
    <row r="3427">
      <c r="A3427" s="23">
        <f>IFERROR(__xludf.DUMMYFUNCTION("""COMPUTED_VALUE"""),44833.0)</f>
        <v>44833</v>
      </c>
      <c r="B3427" s="24" t="str">
        <f>IFERROR(__xludf.DUMMYFUNCTION("""COMPUTED_VALUE"""),"Hong Xue")</f>
        <v>Hong Xue</v>
      </c>
      <c r="C3427" s="24">
        <f>IFERROR(__xludf.DUMMYFUNCTION("""COMPUTED_VALUE"""),30.0)</f>
        <v>30</v>
      </c>
      <c r="D3427" s="24"/>
      <c r="F3427" s="23">
        <f>IFERROR(__xludf.DUMMYFUNCTION("""COMPUTED_VALUE"""),44871.0)</f>
        <v>44871</v>
      </c>
      <c r="G3427" s="24" t="str">
        <f>IFERROR(__xludf.DUMMYFUNCTION("""COMPUTED_VALUE"""),"Ladaisha Thompson")</f>
        <v>Ladaisha Thompson</v>
      </c>
      <c r="H3427" s="24">
        <f>IFERROR(__xludf.DUMMYFUNCTION("""COMPUTED_VALUE"""),7.0)</f>
        <v>7</v>
      </c>
      <c r="I3427" s="24" t="str">
        <f>IFERROR(__xludf.DUMMYFUNCTION("""COMPUTED_VALUE"""),"Damage/expired/extra")</f>
        <v>Damage/expired/extra</v>
      </c>
    </row>
    <row r="3428">
      <c r="A3428" s="23">
        <f>IFERROR(__xludf.DUMMYFUNCTION("""COMPUTED_VALUE"""),44833.0)</f>
        <v>44833</v>
      </c>
      <c r="B3428" s="24" t="str">
        <f>IFERROR(__xludf.DUMMYFUNCTION("""COMPUTED_VALUE"""),"Norma Kriger")</f>
        <v>Norma Kriger</v>
      </c>
      <c r="C3428" s="24">
        <f>IFERROR(__xludf.DUMMYFUNCTION("""COMPUTED_VALUE"""),23.0)</f>
        <v>23</v>
      </c>
      <c r="D3428" s="24"/>
      <c r="F3428" s="23">
        <f>IFERROR(__xludf.DUMMYFUNCTION("""COMPUTED_VALUE"""),44871.0)</f>
        <v>44871</v>
      </c>
      <c r="G3428" s="24" t="str">
        <f>IFERROR(__xludf.DUMMYFUNCTION("""COMPUTED_VALUE"""),"Patricia Mensah")</f>
        <v>Patricia Mensah</v>
      </c>
      <c r="H3428" s="24">
        <f>IFERROR(__xludf.DUMMYFUNCTION("""COMPUTED_VALUE"""),13.0)</f>
        <v>13</v>
      </c>
      <c r="I3428" s="24" t="str">
        <f>IFERROR(__xludf.DUMMYFUNCTION("""COMPUTED_VALUE"""),"Regular (up to 20lbs)")</f>
        <v>Regular (up to 20lbs)</v>
      </c>
    </row>
    <row r="3429">
      <c r="A3429" s="23">
        <f>IFERROR(__xludf.DUMMYFUNCTION("""COMPUTED_VALUE"""),44833.0)</f>
        <v>44833</v>
      </c>
      <c r="B3429" s="24" t="str">
        <f>IFERROR(__xludf.DUMMYFUNCTION("""COMPUTED_VALUE"""),"Norma Kriger")</f>
        <v>Norma Kriger</v>
      </c>
      <c r="C3429" s="24">
        <f>IFERROR(__xludf.DUMMYFUNCTION("""COMPUTED_VALUE"""),6.0)</f>
        <v>6</v>
      </c>
      <c r="D3429" s="24"/>
      <c r="F3429" s="23">
        <f>IFERROR(__xludf.DUMMYFUNCTION("""COMPUTED_VALUE"""),44871.0)</f>
        <v>44871</v>
      </c>
      <c r="G3429" s="24" t="str">
        <f>IFERROR(__xludf.DUMMYFUNCTION("""COMPUTED_VALUE"""),"Patricia Mensah")</f>
        <v>Patricia Mensah</v>
      </c>
      <c r="H3429" s="24">
        <f>IFERROR(__xludf.DUMMYFUNCTION("""COMPUTED_VALUE"""),29.0)</f>
        <v>29</v>
      </c>
      <c r="I3429" s="24" t="str">
        <f>IFERROR(__xludf.DUMMYFUNCTION("""COMPUTED_VALUE"""),"Damage/expired/extra")</f>
        <v>Damage/expired/extra</v>
      </c>
    </row>
    <row r="3430">
      <c r="A3430" s="23">
        <f>IFERROR(__xludf.DUMMYFUNCTION("""COMPUTED_VALUE"""),44833.0)</f>
        <v>44833</v>
      </c>
      <c r="B3430" s="24" t="str">
        <f>IFERROR(__xludf.DUMMYFUNCTION("""COMPUTED_VALUE"""),"Nathaniel McClean")</f>
        <v>Nathaniel McClean</v>
      </c>
      <c r="C3430" s="24">
        <f>IFERROR(__xludf.DUMMYFUNCTION("""COMPUTED_VALUE"""),18.0)</f>
        <v>18</v>
      </c>
      <c r="D3430" s="24"/>
      <c r="F3430" s="23">
        <f>IFERROR(__xludf.DUMMYFUNCTION("""COMPUTED_VALUE"""),44871.0)</f>
        <v>44871</v>
      </c>
      <c r="G3430" s="24" t="str">
        <f>IFERROR(__xludf.DUMMYFUNCTION("""COMPUTED_VALUE"""),"Alex Wang")</f>
        <v>Alex Wang</v>
      </c>
      <c r="H3430" s="24">
        <f>IFERROR(__xludf.DUMMYFUNCTION("""COMPUTED_VALUE"""),12.0)</f>
        <v>12</v>
      </c>
      <c r="I3430" s="24" t="str">
        <f>IFERROR(__xludf.DUMMYFUNCTION("""COMPUTED_VALUE"""),"Regular (up to 20lbs)")</f>
        <v>Regular (up to 20lbs)</v>
      </c>
    </row>
    <row r="3431">
      <c r="A3431" s="23">
        <f>IFERROR(__xludf.DUMMYFUNCTION("""COMPUTED_VALUE"""),44833.0)</f>
        <v>44833</v>
      </c>
      <c r="B3431" s="24" t="str">
        <f>IFERROR(__xludf.DUMMYFUNCTION("""COMPUTED_VALUE"""),"Aziza Frank")</f>
        <v>Aziza Frank</v>
      </c>
      <c r="C3431" s="24">
        <f>IFERROR(__xludf.DUMMYFUNCTION("""COMPUTED_VALUE"""),20.0)</f>
        <v>20</v>
      </c>
      <c r="D3431" s="24"/>
      <c r="F3431" s="23">
        <f>IFERROR(__xludf.DUMMYFUNCTION("""COMPUTED_VALUE"""),44871.0)</f>
        <v>44871</v>
      </c>
      <c r="G3431" s="24" t="str">
        <f>IFERROR(__xludf.DUMMYFUNCTION("""COMPUTED_VALUE"""),"Treston Codrington")</f>
        <v>Treston Codrington</v>
      </c>
      <c r="H3431" s="24">
        <f>IFERROR(__xludf.DUMMYFUNCTION("""COMPUTED_VALUE"""),19.0)</f>
        <v>19</v>
      </c>
      <c r="I3431" s="24" t="str">
        <f>IFERROR(__xludf.DUMMYFUNCTION("""COMPUTED_VALUE"""),"Regular (up to 20lbs)")</f>
        <v>Regular (up to 20lbs)</v>
      </c>
    </row>
    <row r="3432">
      <c r="A3432" s="23">
        <f>IFERROR(__xludf.DUMMYFUNCTION("""COMPUTED_VALUE"""),44833.70717868055)</f>
        <v>44833.70718</v>
      </c>
      <c r="B3432" s="24" t="str">
        <f>IFERROR(__xludf.DUMMYFUNCTION("""COMPUTED_VALUE"""),"Barbara jordan")</f>
        <v>Barbara jordan</v>
      </c>
      <c r="C3432" s="24">
        <f>IFERROR(__xludf.DUMMYFUNCTION("""COMPUTED_VALUE"""),19.0)</f>
        <v>19</v>
      </c>
      <c r="D3432" s="24"/>
      <c r="F3432" s="23">
        <f>IFERROR(__xludf.DUMMYFUNCTION("""COMPUTED_VALUE"""),44871.0)</f>
        <v>44871</v>
      </c>
      <c r="G3432" s="24" t="str">
        <f>IFERROR(__xludf.DUMMYFUNCTION("""COMPUTED_VALUE"""),"Treston Codrington")</f>
        <v>Treston Codrington</v>
      </c>
      <c r="H3432" s="24">
        <f>IFERROR(__xludf.DUMMYFUNCTION("""COMPUTED_VALUE"""),12.0)</f>
        <v>12</v>
      </c>
      <c r="I3432" s="24" t="str">
        <f>IFERROR(__xludf.DUMMYFUNCTION("""COMPUTED_VALUE"""),"Damage/expired/extra")</f>
        <v>Damage/expired/extra</v>
      </c>
    </row>
    <row r="3433">
      <c r="A3433" s="23">
        <f>IFERROR(__xludf.DUMMYFUNCTION("""COMPUTED_VALUE"""),44833.70772730325)</f>
        <v>44833.70773</v>
      </c>
      <c r="B3433" s="24" t="str">
        <f>IFERROR(__xludf.DUMMYFUNCTION("""COMPUTED_VALUE"""),"Barbara")</f>
        <v>Barbara</v>
      </c>
      <c r="C3433" s="24">
        <f>IFERROR(__xludf.DUMMYFUNCTION("""COMPUTED_VALUE"""),2.0)</f>
        <v>2</v>
      </c>
      <c r="D3433" s="24"/>
      <c r="F3433" s="23">
        <f>IFERROR(__xludf.DUMMYFUNCTION("""COMPUTED_VALUE"""),44871.0)</f>
        <v>44871</v>
      </c>
      <c r="G3433" s="24" t="str">
        <f>IFERROR(__xludf.DUMMYFUNCTION("""COMPUTED_VALUE"""),"Anita Bryant ")</f>
        <v>Anita Bryant </v>
      </c>
      <c r="H3433" s="24">
        <f>IFERROR(__xludf.DUMMYFUNCTION("""COMPUTED_VALUE"""),16.0)</f>
        <v>16</v>
      </c>
      <c r="I3433" s="24" t="str">
        <f>IFERROR(__xludf.DUMMYFUNCTION("""COMPUTED_VALUE"""),"Damage/expired/extra")</f>
        <v>Damage/expired/extra</v>
      </c>
    </row>
    <row r="3434">
      <c r="A3434" s="23">
        <f>IFERROR(__xludf.DUMMYFUNCTION("""COMPUTED_VALUE"""),44833.71306017361)</f>
        <v>44833.71306</v>
      </c>
      <c r="B3434" s="24" t="str">
        <f>IFERROR(__xludf.DUMMYFUNCTION("""COMPUTED_VALUE"""),"Jean")</f>
        <v>Jean</v>
      </c>
      <c r="C3434" s="24">
        <f>IFERROR(__xludf.DUMMYFUNCTION("""COMPUTED_VALUE"""),11.0)</f>
        <v>11</v>
      </c>
      <c r="D3434" s="24"/>
      <c r="F3434" s="23">
        <f>IFERROR(__xludf.DUMMYFUNCTION("""COMPUTED_VALUE"""),44871.0)</f>
        <v>44871</v>
      </c>
      <c r="G3434" s="24" t="str">
        <f>IFERROR(__xludf.DUMMYFUNCTION("""COMPUTED_VALUE"""),"Yulia")</f>
        <v>Yulia</v>
      </c>
      <c r="H3434" s="24">
        <f>IFERROR(__xludf.DUMMYFUNCTION("""COMPUTED_VALUE"""),26.0)</f>
        <v>26</v>
      </c>
      <c r="I3434" s="24" t="str">
        <f>IFERROR(__xludf.DUMMYFUNCTION("""COMPUTED_VALUE"""),"Damage/expired/extra")</f>
        <v>Damage/expired/extra</v>
      </c>
    </row>
    <row r="3435">
      <c r="A3435" s="23">
        <f>IFERROR(__xludf.DUMMYFUNCTION("""COMPUTED_VALUE"""),44833.71338285879)</f>
        <v>44833.71338</v>
      </c>
      <c r="B3435" s="24" t="str">
        <f>IFERROR(__xludf.DUMMYFUNCTION("""COMPUTED_VALUE"""),"Jean")</f>
        <v>Jean</v>
      </c>
      <c r="C3435" s="24">
        <f>IFERROR(__xludf.DUMMYFUNCTION("""COMPUTED_VALUE"""),6.0)</f>
        <v>6</v>
      </c>
      <c r="D3435" s="24" t="str">
        <f>IFERROR(__xludf.DUMMYFUNCTION("""COMPUTED_VALUE"""),"Damage/expired/extra")</f>
        <v>Damage/expired/extra</v>
      </c>
      <c r="F3435" s="23">
        <f>IFERROR(__xludf.DUMMYFUNCTION("""COMPUTED_VALUE"""),44871.51955708333)</f>
        <v>44871.51956</v>
      </c>
      <c r="G3435" s="24" t="str">
        <f>IFERROR(__xludf.DUMMYFUNCTION("""COMPUTED_VALUE"""),"Juanita Chandler ")</f>
        <v>Juanita Chandler </v>
      </c>
      <c r="H3435" s="24">
        <f>IFERROR(__xludf.DUMMYFUNCTION("""COMPUTED_VALUE"""),153.0)</f>
        <v>153</v>
      </c>
      <c r="I3435" s="24" t="str">
        <f>IFERROR(__xludf.DUMMYFUNCTION("""COMPUTED_VALUE"""),"Sandtown")</f>
        <v>Sandtown</v>
      </c>
    </row>
    <row r="3436">
      <c r="A3436" s="23">
        <f>IFERROR(__xludf.DUMMYFUNCTION("""COMPUTED_VALUE"""),44833.858867152776)</f>
        <v>44833.85887</v>
      </c>
      <c r="B3436" s="24" t="str">
        <f>IFERROR(__xludf.DUMMYFUNCTION("""COMPUTED_VALUE"""),"Sheneil")</f>
        <v>Sheneil</v>
      </c>
      <c r="C3436" s="24">
        <f>IFERROR(__xludf.DUMMYFUNCTION("""COMPUTED_VALUE"""),19.0)</f>
        <v>19</v>
      </c>
      <c r="D3436" s="24"/>
      <c r="F3436" s="23">
        <f>IFERROR(__xludf.DUMMYFUNCTION("""COMPUTED_VALUE"""),44871.521592199075)</f>
        <v>44871.52159</v>
      </c>
      <c r="G3436" s="24" t="str">
        <f>IFERROR(__xludf.DUMMYFUNCTION("""COMPUTED_VALUE"""),"Juanita Chandler ")</f>
        <v>Juanita Chandler </v>
      </c>
      <c r="H3436" s="24">
        <f>IFERROR(__xludf.DUMMYFUNCTION("""COMPUTED_VALUE"""),648.0)</f>
        <v>648</v>
      </c>
      <c r="I3436" s="24" t="str">
        <f>IFERROR(__xludf.DUMMYFUNCTION("""COMPUTED_VALUE"""),"Amazon")</f>
        <v>Amazon</v>
      </c>
    </row>
    <row r="3437">
      <c r="A3437" s="23">
        <f>IFERROR(__xludf.DUMMYFUNCTION("""COMPUTED_VALUE"""),44834.0)</f>
        <v>44834</v>
      </c>
      <c r="B3437" s="24" t="str">
        <f>IFERROR(__xludf.DUMMYFUNCTION("""COMPUTED_VALUE"""),"Juanita Chandler")</f>
        <v>Juanita Chandler</v>
      </c>
      <c r="C3437" s="24">
        <f>IFERROR(__xludf.DUMMYFUNCTION("""COMPUTED_VALUE"""),9.0)</f>
        <v>9</v>
      </c>
      <c r="D3437" s="24"/>
      <c r="F3437" s="23">
        <f>IFERROR(__xludf.DUMMYFUNCTION("""COMPUTED_VALUE"""),44871.52264888889)</f>
        <v>44871.52265</v>
      </c>
      <c r="G3437" s="24" t="str">
        <f>IFERROR(__xludf.DUMMYFUNCTION("""COMPUTED_VALUE"""),"Juanita Chandler ")</f>
        <v>Juanita Chandler </v>
      </c>
      <c r="H3437" s="24">
        <f>IFERROR(__xludf.DUMMYFUNCTION("""COMPUTED_VALUE"""),316.0)</f>
        <v>316</v>
      </c>
      <c r="I3437" s="24" t="str">
        <f>IFERROR(__xludf.DUMMYFUNCTION("""COMPUTED_VALUE"""),"Amazon")</f>
        <v>Amazon</v>
      </c>
    </row>
    <row r="3438">
      <c r="A3438" s="23">
        <f>IFERROR(__xludf.DUMMYFUNCTION("""COMPUTED_VALUE"""),44834.647149236116)</f>
        <v>44834.64715</v>
      </c>
      <c r="B3438" s="24" t="str">
        <f>IFERROR(__xludf.DUMMYFUNCTION("""COMPUTED_VALUE"""),"Sunita pathik")</f>
        <v>Sunita pathik</v>
      </c>
      <c r="C3438" s="24">
        <f>IFERROR(__xludf.DUMMYFUNCTION("""COMPUTED_VALUE"""),5.0)</f>
        <v>5</v>
      </c>
      <c r="D3438" s="24"/>
      <c r="F3438" s="23">
        <f>IFERROR(__xludf.DUMMYFUNCTION("""COMPUTED_VALUE"""),44871.52318556713)</f>
        <v>44871.52319</v>
      </c>
      <c r="G3438" s="24" t="str">
        <f>IFERROR(__xludf.DUMMYFUNCTION("""COMPUTED_VALUE"""),"Juanita Chandler ")</f>
        <v>Juanita Chandler </v>
      </c>
      <c r="H3438" s="24">
        <f>IFERROR(__xludf.DUMMYFUNCTION("""COMPUTED_VALUE"""),611.0)</f>
        <v>611</v>
      </c>
      <c r="I3438" s="24" t="str">
        <f>IFERROR(__xludf.DUMMYFUNCTION("""COMPUTED_VALUE"""),"Amazon")</f>
        <v>Amazon</v>
      </c>
    </row>
    <row r="3439">
      <c r="A3439" s="23">
        <f>IFERROR(__xludf.DUMMYFUNCTION("""COMPUTED_VALUE"""),44834.70629458334)</f>
        <v>44834.70629</v>
      </c>
      <c r="B3439" s="24" t="str">
        <f>IFERROR(__xludf.DUMMYFUNCTION("""COMPUTED_VALUE"""),"Beth Torres")</f>
        <v>Beth Torres</v>
      </c>
      <c r="C3439" s="24">
        <f>IFERROR(__xludf.DUMMYFUNCTION("""COMPUTED_VALUE"""),12.0)</f>
        <v>12</v>
      </c>
      <c r="D3439" s="24"/>
      <c r="F3439" s="23">
        <f>IFERROR(__xludf.DUMMYFUNCTION("""COMPUTED_VALUE"""),44871.54092591435)</f>
        <v>44871.54093</v>
      </c>
      <c r="G3439" s="24" t="str">
        <f>IFERROR(__xludf.DUMMYFUNCTION("""COMPUTED_VALUE"""),"Juanita Chandler ")</f>
        <v>Juanita Chandler </v>
      </c>
      <c r="H3439" s="24">
        <f>IFERROR(__xludf.DUMMYFUNCTION("""COMPUTED_VALUE"""),517.0)</f>
        <v>517</v>
      </c>
      <c r="I3439" s="24" t="str">
        <f>IFERROR(__xludf.DUMMYFUNCTION("""COMPUTED_VALUE"""),"Dole fruit cup ")</f>
        <v>Dole fruit cup </v>
      </c>
    </row>
    <row r="3440">
      <c r="A3440" s="23">
        <f>IFERROR(__xludf.DUMMYFUNCTION("""COMPUTED_VALUE"""),44834.70647484954)</f>
        <v>44834.70647</v>
      </c>
      <c r="B3440" s="24" t="str">
        <f>IFERROR(__xludf.DUMMYFUNCTION("""COMPUTED_VALUE"""),"Beth Torres")</f>
        <v>Beth Torres</v>
      </c>
      <c r="C3440" s="24">
        <f>IFERROR(__xludf.DUMMYFUNCTION("""COMPUTED_VALUE"""),11.0)</f>
        <v>11</v>
      </c>
      <c r="D3440" s="24" t="str">
        <f>IFERROR(__xludf.DUMMYFUNCTION("""COMPUTED_VALUE"""),"Damage/expired/extra")</f>
        <v>Damage/expired/extra</v>
      </c>
      <c r="F3440" s="23">
        <f>IFERROR(__xludf.DUMMYFUNCTION("""COMPUTED_VALUE"""),44871.54255261574)</f>
        <v>44871.54255</v>
      </c>
      <c r="G3440" s="24" t="str">
        <f>IFERROR(__xludf.DUMMYFUNCTION("""COMPUTED_VALUE"""),"Juanita Chandler ")</f>
        <v>Juanita Chandler </v>
      </c>
      <c r="H3440" s="24">
        <f>IFERROR(__xludf.DUMMYFUNCTION("""COMPUTED_VALUE"""),492.0)</f>
        <v>492</v>
      </c>
      <c r="I3440" s="24" t="str">
        <f>IFERROR(__xludf.DUMMYFUNCTION("""COMPUTED_VALUE"""),"Dole fruit cup ")</f>
        <v>Dole fruit cup </v>
      </c>
    </row>
    <row r="3441">
      <c r="A3441" s="23">
        <f>IFERROR(__xludf.DUMMYFUNCTION("""COMPUTED_VALUE"""),44835.0)</f>
        <v>44835</v>
      </c>
      <c r="B3441" s="24" t="str">
        <f>IFERROR(__xludf.DUMMYFUNCTION("""COMPUTED_VALUE"""),"Juanita Chandler")</f>
        <v>Juanita Chandler</v>
      </c>
      <c r="C3441" s="24">
        <f>IFERROR(__xludf.DUMMYFUNCTION("""COMPUTED_VALUE"""),8.0)</f>
        <v>8</v>
      </c>
      <c r="D3441" s="24"/>
      <c r="F3441" s="23">
        <f>IFERROR(__xludf.DUMMYFUNCTION("""COMPUTED_VALUE"""),44871.548091550925)</f>
        <v>44871.54809</v>
      </c>
      <c r="G3441" s="24" t="str">
        <f>IFERROR(__xludf.DUMMYFUNCTION("""COMPUTED_VALUE"""),"Juanita Chandler ")</f>
        <v>Juanita Chandler </v>
      </c>
      <c r="H3441" s="24">
        <f>IFERROR(__xludf.DUMMYFUNCTION("""COMPUTED_VALUE"""),116.0)</f>
        <v>116</v>
      </c>
      <c r="I3441" s="24" t="str">
        <f>IFERROR(__xludf.DUMMYFUNCTION("""COMPUTED_VALUE"""),"Snacks")</f>
        <v>Snacks</v>
      </c>
    </row>
    <row r="3442">
      <c r="A3442" s="23">
        <f>IFERROR(__xludf.DUMMYFUNCTION("""COMPUTED_VALUE"""),44835.0)</f>
        <v>44835</v>
      </c>
      <c r="B3442" s="24" t="str">
        <f>IFERROR(__xludf.DUMMYFUNCTION("""COMPUTED_VALUE"""),"Juanita Chandler")</f>
        <v>Juanita Chandler</v>
      </c>
      <c r="C3442" s="24">
        <f>IFERROR(__xludf.DUMMYFUNCTION("""COMPUTED_VALUE"""),4.0)</f>
        <v>4</v>
      </c>
      <c r="D3442" s="24" t="str">
        <f>IFERROR(__xludf.DUMMYFUNCTION("""COMPUTED_VALUE"""),"Damage/expired/extra")</f>
        <v>Damage/expired/extra</v>
      </c>
      <c r="F3442" s="23">
        <f>IFERROR(__xludf.DUMMYFUNCTION("""COMPUTED_VALUE"""),44871.54880427083)</f>
        <v>44871.5488</v>
      </c>
      <c r="G3442" s="24" t="str">
        <f>IFERROR(__xludf.DUMMYFUNCTION("""COMPUTED_VALUE"""),"Juanita Chandler ")</f>
        <v>Juanita Chandler </v>
      </c>
      <c r="H3442" s="24">
        <f>IFERROR(__xludf.DUMMYFUNCTION("""COMPUTED_VALUE"""),426.0)</f>
        <v>426</v>
      </c>
      <c r="I3442" s="24" t="str">
        <f>IFERROR(__xludf.DUMMYFUNCTION("""COMPUTED_VALUE"""),"Produce")</f>
        <v>Produce</v>
      </c>
    </row>
    <row r="3443">
      <c r="A3443" s="23">
        <f>IFERROR(__xludf.DUMMYFUNCTION("""COMPUTED_VALUE"""),44835.0)</f>
        <v>44835</v>
      </c>
      <c r="B3443" s="24" t="str">
        <f>IFERROR(__xludf.DUMMYFUNCTION("""COMPUTED_VALUE"""),"Denise Wilkins")</f>
        <v>Denise Wilkins</v>
      </c>
      <c r="C3443" s="24">
        <f>IFERROR(__xludf.DUMMYFUNCTION("""COMPUTED_VALUE"""),20.0)</f>
        <v>20</v>
      </c>
      <c r="D3443" s="24"/>
      <c r="F3443" s="23">
        <f>IFERROR(__xludf.DUMMYFUNCTION("""COMPUTED_VALUE"""),44871.549603506945)</f>
        <v>44871.5496</v>
      </c>
      <c r="G3443" s="24" t="str">
        <f>IFERROR(__xludf.DUMMYFUNCTION("""COMPUTED_VALUE"""),"Juanita Chandler ")</f>
        <v>Juanita Chandler </v>
      </c>
      <c r="H3443" s="24">
        <f>IFERROR(__xludf.DUMMYFUNCTION("""COMPUTED_VALUE"""),440.0)</f>
        <v>440</v>
      </c>
      <c r="I3443" s="24" t="str">
        <f>IFERROR(__xludf.DUMMYFUNCTION("""COMPUTED_VALUE"""),"Frozen [Not Meat]")</f>
        <v>Frozen [Not Meat]</v>
      </c>
    </row>
    <row r="3444">
      <c r="A3444" s="23">
        <f>IFERROR(__xludf.DUMMYFUNCTION("""COMPUTED_VALUE"""),44835.0)</f>
        <v>44835</v>
      </c>
      <c r="B3444" s="24" t="str">
        <f>IFERROR(__xludf.DUMMYFUNCTION("""COMPUTED_VALUE"""),"Denise Wilkins")</f>
        <v>Denise Wilkins</v>
      </c>
      <c r="C3444" s="24">
        <f>IFERROR(__xludf.DUMMYFUNCTION("""COMPUTED_VALUE"""),16.0)</f>
        <v>16</v>
      </c>
      <c r="D3444" s="24" t="str">
        <f>IFERROR(__xludf.DUMMYFUNCTION("""COMPUTED_VALUE"""),"Damage/expired/extra")</f>
        <v>Damage/expired/extra</v>
      </c>
      <c r="F3444" s="23">
        <f>IFERROR(__xludf.DUMMYFUNCTION("""COMPUTED_VALUE"""),44871.61500921297)</f>
        <v>44871.61501</v>
      </c>
      <c r="G3444" s="24" t="str">
        <f>IFERROR(__xludf.DUMMYFUNCTION("""COMPUTED_VALUE"""),"Carla")</f>
        <v>Carla</v>
      </c>
      <c r="H3444" s="24">
        <f>IFERROR(__xludf.DUMMYFUNCTION("""COMPUTED_VALUE"""),15.0)</f>
        <v>15</v>
      </c>
      <c r="I3444" s="24" t="str">
        <f>IFERROR(__xludf.DUMMYFUNCTION("""COMPUTED_VALUE"""),"Regular (up to 20lbs)")</f>
        <v>Regular (up to 20lbs)</v>
      </c>
    </row>
    <row r="3445">
      <c r="A3445" s="23">
        <f>IFERROR(__xludf.DUMMYFUNCTION("""COMPUTED_VALUE"""),44835.6950769676)</f>
        <v>44835.69508</v>
      </c>
      <c r="B3445" s="24" t="str">
        <f>IFERROR(__xludf.DUMMYFUNCTION("""COMPUTED_VALUE"""),"Kye Toussaint ")</f>
        <v>Kye Toussaint </v>
      </c>
      <c r="C3445" s="24">
        <f>IFERROR(__xludf.DUMMYFUNCTION("""COMPUTED_VALUE"""),19.0)</f>
        <v>19</v>
      </c>
      <c r="D3445" s="24"/>
      <c r="F3445" s="23">
        <f>IFERROR(__xludf.DUMMYFUNCTION("""COMPUTED_VALUE"""),44871.62226099537)</f>
        <v>44871.62226</v>
      </c>
      <c r="G3445" s="24" t="str">
        <f>IFERROR(__xludf.DUMMYFUNCTION("""COMPUTED_VALUE"""),"Opeyemi Faleye ")</f>
        <v>Opeyemi Faleye </v>
      </c>
      <c r="H3445" s="24">
        <f>IFERROR(__xludf.DUMMYFUNCTION("""COMPUTED_VALUE"""),1163.0)</f>
        <v>1163</v>
      </c>
      <c r="I3445" s="24" t="str">
        <f>IFERROR(__xludf.DUMMYFUNCTION("""COMPUTED_VALUE"""),"Assorted Dry")</f>
        <v>Assorted Dry</v>
      </c>
    </row>
    <row r="3446">
      <c r="A3446" s="23">
        <f>IFERROR(__xludf.DUMMYFUNCTION("""COMPUTED_VALUE"""),44835.0)</f>
        <v>44835</v>
      </c>
      <c r="B3446" s="24" t="str">
        <f>IFERROR(__xludf.DUMMYFUNCTION("""COMPUTED_VALUE"""),"Kye Toussaint ")</f>
        <v>Kye Toussaint </v>
      </c>
      <c r="C3446" s="24">
        <f>IFERROR(__xludf.DUMMYFUNCTION("""COMPUTED_VALUE"""),2.0)</f>
        <v>2</v>
      </c>
      <c r="D3446" s="24" t="str">
        <f>IFERROR(__xludf.DUMMYFUNCTION("""COMPUTED_VALUE"""),"Damage/expired/extra")</f>
        <v>Damage/expired/extra</v>
      </c>
      <c r="F3446" s="23">
        <f>IFERROR(__xludf.DUMMYFUNCTION("""COMPUTED_VALUE"""),44871.63827743055)</f>
        <v>44871.63828</v>
      </c>
      <c r="G3446" s="24" t="str">
        <f>IFERROR(__xludf.DUMMYFUNCTION("""COMPUTED_VALUE"""),"Kate Weeks")</f>
        <v>Kate Weeks</v>
      </c>
      <c r="H3446" s="24">
        <f>IFERROR(__xludf.DUMMYFUNCTION("""COMPUTED_VALUE"""),20.0)</f>
        <v>20</v>
      </c>
      <c r="I3446" s="24" t="str">
        <f>IFERROR(__xludf.DUMMYFUNCTION("""COMPUTED_VALUE"""),"Regular (up to 20lbs)")</f>
        <v>Regular (up to 20lbs)</v>
      </c>
    </row>
    <row r="3447">
      <c r="A3447" s="23">
        <f>IFERROR(__xludf.DUMMYFUNCTION("""COMPUTED_VALUE"""),44835.69941827546)</f>
        <v>44835.69942</v>
      </c>
      <c r="B3447" s="24" t="str">
        <f>IFERROR(__xludf.DUMMYFUNCTION("""COMPUTED_VALUE"""),"Adriana")</f>
        <v>Adriana</v>
      </c>
      <c r="C3447" s="24">
        <f>IFERROR(__xludf.DUMMYFUNCTION("""COMPUTED_VALUE"""),16.0)</f>
        <v>16</v>
      </c>
      <c r="D3447" s="24"/>
      <c r="F3447" s="23">
        <f>IFERROR(__xludf.DUMMYFUNCTION("""COMPUTED_VALUE"""),44871.63850994213)</f>
        <v>44871.63851</v>
      </c>
      <c r="G3447" s="24" t="str">
        <f>IFERROR(__xludf.DUMMYFUNCTION("""COMPUTED_VALUE"""),"Kate Weeks")</f>
        <v>Kate Weeks</v>
      </c>
      <c r="H3447" s="24">
        <f>IFERROR(__xludf.DUMMYFUNCTION("""COMPUTED_VALUE"""),20.0)</f>
        <v>20</v>
      </c>
      <c r="I3447" s="24" t="str">
        <f>IFERROR(__xludf.DUMMYFUNCTION("""COMPUTED_VALUE"""),"Damage/expired/extra")</f>
        <v>Damage/expired/extra</v>
      </c>
    </row>
    <row r="3448">
      <c r="A3448" s="23">
        <f>IFERROR(__xludf.DUMMYFUNCTION("""COMPUTED_VALUE"""),44835.0)</f>
        <v>44835</v>
      </c>
      <c r="B3448" s="24" t="str">
        <f>IFERROR(__xludf.DUMMYFUNCTION("""COMPUTED_VALUE"""),"Adriana")</f>
        <v>Adriana</v>
      </c>
      <c r="C3448" s="24">
        <f>IFERROR(__xludf.DUMMYFUNCTION("""COMPUTED_VALUE"""),5.0)</f>
        <v>5</v>
      </c>
      <c r="D3448" s="24" t="str">
        <f>IFERROR(__xludf.DUMMYFUNCTION("""COMPUTED_VALUE"""),"Damage/expired/extra")</f>
        <v>Damage/expired/extra</v>
      </c>
      <c r="F3448" s="23">
        <f>IFERROR(__xludf.DUMMYFUNCTION("""COMPUTED_VALUE"""),44871.639112847224)</f>
        <v>44871.63911</v>
      </c>
      <c r="G3448" s="24" t="str">
        <f>IFERROR(__xludf.DUMMYFUNCTION("""COMPUTED_VALUE"""),"Anita Bryant ")</f>
        <v>Anita Bryant </v>
      </c>
      <c r="H3448" s="24">
        <f>IFERROR(__xludf.DUMMYFUNCTION("""COMPUTED_VALUE"""),11.0)</f>
        <v>11</v>
      </c>
      <c r="I3448" s="24" t="str">
        <f>IFERROR(__xludf.DUMMYFUNCTION("""COMPUTED_VALUE"""),"Regular (up to 20lbs)")</f>
        <v>Regular (up to 20lbs)</v>
      </c>
    </row>
    <row r="3449">
      <c r="A3449" s="23">
        <f>IFERROR(__xludf.DUMMYFUNCTION("""COMPUTED_VALUE"""),44835.70247091435)</f>
        <v>44835.70247</v>
      </c>
      <c r="B3449" s="24" t="str">
        <f>IFERROR(__xludf.DUMMYFUNCTION("""COMPUTED_VALUE"""),"Emily Stucke")</f>
        <v>Emily Stucke</v>
      </c>
      <c r="C3449" s="24">
        <f>IFERROR(__xludf.DUMMYFUNCTION("""COMPUTED_VALUE"""),19.0)</f>
        <v>19</v>
      </c>
      <c r="D3449" s="24"/>
      <c r="F3449" s="23">
        <f>IFERROR(__xludf.DUMMYFUNCTION("""COMPUTED_VALUE"""),44871.640139131945)</f>
        <v>44871.64014</v>
      </c>
      <c r="G3449" s="24" t="str">
        <f>IFERROR(__xludf.DUMMYFUNCTION("""COMPUTED_VALUE"""),"Yulia")</f>
        <v>Yulia</v>
      </c>
      <c r="H3449" s="24">
        <f>IFERROR(__xludf.DUMMYFUNCTION("""COMPUTED_VALUE"""),17.0)</f>
        <v>17</v>
      </c>
      <c r="I3449" s="24" t="str">
        <f>IFERROR(__xludf.DUMMYFUNCTION("""COMPUTED_VALUE"""),"Regular (up to 20lbs)")</f>
        <v>Regular (up to 20lbs)</v>
      </c>
    </row>
    <row r="3450">
      <c r="A3450" s="23">
        <f>IFERROR(__xludf.DUMMYFUNCTION("""COMPUTED_VALUE"""),44835.706811979166)</f>
        <v>44835.70681</v>
      </c>
      <c r="B3450" s="24" t="str">
        <f>IFERROR(__xludf.DUMMYFUNCTION("""COMPUTED_VALUE"""),"nathan")</f>
        <v>nathan</v>
      </c>
      <c r="C3450" s="24">
        <f>IFERROR(__xludf.DUMMYFUNCTION("""COMPUTED_VALUE"""),19.0)</f>
        <v>19</v>
      </c>
      <c r="D3450" s="24"/>
      <c r="F3450" s="23">
        <f>IFERROR(__xludf.DUMMYFUNCTION("""COMPUTED_VALUE"""),44871.643904131946)</f>
        <v>44871.6439</v>
      </c>
      <c r="G3450" s="24" t="str">
        <f>IFERROR(__xludf.DUMMYFUNCTION("""COMPUTED_VALUE"""),"James w")</f>
        <v>James w</v>
      </c>
      <c r="H3450" s="24">
        <f>IFERROR(__xludf.DUMMYFUNCTION("""COMPUTED_VALUE"""),20.0)</f>
        <v>20</v>
      </c>
      <c r="I3450" s="24" t="str">
        <f>IFERROR(__xludf.DUMMYFUNCTION("""COMPUTED_VALUE"""),"Regular (up to 20lbs)")</f>
        <v>Regular (up to 20lbs)</v>
      </c>
    </row>
    <row r="3451">
      <c r="A3451" s="23">
        <f>IFERROR(__xludf.DUMMYFUNCTION("""COMPUTED_VALUE"""),44835.70742759259)</f>
        <v>44835.70743</v>
      </c>
      <c r="B3451" s="24" t="str">
        <f>IFERROR(__xludf.DUMMYFUNCTION("""COMPUTED_VALUE"""),"Tiffany Jiang")</f>
        <v>Tiffany Jiang</v>
      </c>
      <c r="C3451" s="24">
        <f>IFERROR(__xludf.DUMMYFUNCTION("""COMPUTED_VALUE"""),18.0)</f>
        <v>18</v>
      </c>
      <c r="D3451" s="24"/>
      <c r="F3451" s="23">
        <f>IFERROR(__xludf.DUMMYFUNCTION("""COMPUTED_VALUE"""),44871.65110170138)</f>
        <v>44871.6511</v>
      </c>
      <c r="G3451" s="24" t="str">
        <f>IFERROR(__xludf.DUMMYFUNCTION("""COMPUTED_VALUE"""),"Zoe")</f>
        <v>Zoe</v>
      </c>
      <c r="H3451" s="24">
        <f>IFERROR(__xludf.DUMMYFUNCTION("""COMPUTED_VALUE"""),11.0)</f>
        <v>11</v>
      </c>
      <c r="I3451" s="24" t="str">
        <f>IFERROR(__xludf.DUMMYFUNCTION("""COMPUTED_VALUE"""),"Regular (up to 20lbs)")</f>
        <v>Regular (up to 20lbs)</v>
      </c>
    </row>
    <row r="3452">
      <c r="A3452" s="23">
        <f>IFERROR(__xludf.DUMMYFUNCTION("""COMPUTED_VALUE"""),44835.70788271991)</f>
        <v>44835.70788</v>
      </c>
      <c r="B3452" s="24" t="str">
        <f>IFERROR(__xludf.DUMMYFUNCTION("""COMPUTED_VALUE"""),"Dean Chien")</f>
        <v>Dean Chien</v>
      </c>
      <c r="C3452" s="24">
        <f>IFERROR(__xludf.DUMMYFUNCTION("""COMPUTED_VALUE"""),19.0)</f>
        <v>19</v>
      </c>
      <c r="D3452" s="24"/>
      <c r="F3452" s="23">
        <f>IFERROR(__xludf.DUMMYFUNCTION("""COMPUTED_VALUE"""),44871.65384121527)</f>
        <v>44871.65384</v>
      </c>
      <c r="G3452" s="24" t="str">
        <f>IFERROR(__xludf.DUMMYFUNCTION("""COMPUTED_VALUE"""),"Opey")</f>
        <v>Opey</v>
      </c>
      <c r="H3452" s="24">
        <f>IFERROR(__xludf.DUMMYFUNCTION("""COMPUTED_VALUE"""),10.0)</f>
        <v>10</v>
      </c>
      <c r="I3452" s="24" t="str">
        <f>IFERROR(__xludf.DUMMYFUNCTION("""COMPUTED_VALUE"""),"Regular (up to 20lbs)")</f>
        <v>Regular (up to 20lbs)</v>
      </c>
    </row>
    <row r="3453">
      <c r="A3453" s="23">
        <f>IFERROR(__xludf.DUMMYFUNCTION("""COMPUTED_VALUE"""),44835.0)</f>
        <v>44835</v>
      </c>
      <c r="B3453" s="24" t="str">
        <f>IFERROR(__xludf.DUMMYFUNCTION("""COMPUTED_VALUE"""),"Dean Chien")</f>
        <v>Dean Chien</v>
      </c>
      <c r="C3453" s="24">
        <f>IFERROR(__xludf.DUMMYFUNCTION("""COMPUTED_VALUE"""),4.0)</f>
        <v>4</v>
      </c>
      <c r="D3453" s="24" t="str">
        <f>IFERROR(__xludf.DUMMYFUNCTION("""COMPUTED_VALUE"""),"Damage/expired/extra")</f>
        <v>Damage/expired/extra</v>
      </c>
      <c r="F3453" s="23">
        <f>IFERROR(__xludf.DUMMYFUNCTION("""COMPUTED_VALUE"""),44871.67748297453)</f>
        <v>44871.67748</v>
      </c>
      <c r="G3453" s="24" t="str">
        <f>IFERROR(__xludf.DUMMYFUNCTION("""COMPUTED_VALUE"""),"Lynnette ")</f>
        <v>Lynnette </v>
      </c>
      <c r="H3453" s="24">
        <f>IFERROR(__xludf.DUMMYFUNCTION("""COMPUTED_VALUE"""),31.0)</f>
        <v>31</v>
      </c>
      <c r="I3453" s="24" t="str">
        <f>IFERROR(__xludf.DUMMYFUNCTION("""COMPUTED_VALUE"""),"Assorted ")</f>
        <v>Assorted </v>
      </c>
    </row>
    <row r="3454">
      <c r="A3454" s="23">
        <f>IFERROR(__xludf.DUMMYFUNCTION("""COMPUTED_VALUE"""),44835.70902559028)</f>
        <v>44835.70903</v>
      </c>
      <c r="B3454" s="24" t="str">
        <f>IFERROR(__xludf.DUMMYFUNCTION("""COMPUTED_VALUE"""),"Evelyn jiang")</f>
        <v>Evelyn jiang</v>
      </c>
      <c r="C3454" s="24">
        <f>IFERROR(__xludf.DUMMYFUNCTION("""COMPUTED_VALUE"""),20.0)</f>
        <v>20</v>
      </c>
      <c r="D3454" s="24"/>
      <c r="F3454" s="23">
        <f>IFERROR(__xludf.DUMMYFUNCTION("""COMPUTED_VALUE"""),44873.0)</f>
        <v>44873</v>
      </c>
      <c r="G3454" s="24" t="str">
        <f>IFERROR(__xludf.DUMMYFUNCTION("""COMPUTED_VALUE"""),"Marci")</f>
        <v>Marci</v>
      </c>
      <c r="H3454" s="24">
        <f>IFERROR(__xludf.DUMMYFUNCTION("""COMPUTED_VALUE"""),16.0)</f>
        <v>16</v>
      </c>
      <c r="I3454" s="24" t="str">
        <f>IFERROR(__xludf.DUMMYFUNCTION("""COMPUTED_VALUE"""),"Regular (up to 20lbs)")</f>
        <v>Regular (up to 20lbs)</v>
      </c>
    </row>
    <row r="3455">
      <c r="A3455" s="23">
        <f>IFERROR(__xludf.DUMMYFUNCTION("""COMPUTED_VALUE"""),44835.71761628472)</f>
        <v>44835.71762</v>
      </c>
      <c r="B3455" s="24" t="str">
        <f>IFERROR(__xludf.DUMMYFUNCTION("""COMPUTED_VALUE"""),"Lynnette")</f>
        <v>Lynnette</v>
      </c>
      <c r="C3455" s="24">
        <f>IFERROR(__xludf.DUMMYFUNCTION("""COMPUTED_VALUE"""),35.0)</f>
        <v>35</v>
      </c>
      <c r="D3455" s="24"/>
      <c r="F3455" s="23">
        <f>IFERROR(__xludf.DUMMYFUNCTION("""COMPUTED_VALUE"""),44873.0)</f>
        <v>44873</v>
      </c>
      <c r="G3455" s="24" t="str">
        <f>IFERROR(__xludf.DUMMYFUNCTION("""COMPUTED_VALUE"""),"Marci")</f>
        <v>Marci</v>
      </c>
      <c r="H3455" s="24">
        <f>IFERROR(__xludf.DUMMYFUNCTION("""COMPUTED_VALUE"""),56.0)</f>
        <v>56</v>
      </c>
      <c r="I3455" s="24" t="str">
        <f>IFERROR(__xludf.DUMMYFUNCTION("""COMPUTED_VALUE"""),"Damage/expired/extra")</f>
        <v>Damage/expired/extra</v>
      </c>
    </row>
    <row r="3456">
      <c r="A3456" s="23">
        <f>IFERROR(__xludf.DUMMYFUNCTION("""COMPUTED_VALUE"""),44835.0)</f>
        <v>44835</v>
      </c>
      <c r="B3456" s="24" t="str">
        <f>IFERROR(__xludf.DUMMYFUNCTION("""COMPUTED_VALUE"""),"Lynette Cromer")</f>
        <v>Lynette Cromer</v>
      </c>
      <c r="C3456" s="24">
        <f>IFERROR(__xludf.DUMMYFUNCTION("""COMPUTED_VALUE"""),7.0)</f>
        <v>7</v>
      </c>
      <c r="D3456" s="24" t="str">
        <f>IFERROR(__xludf.DUMMYFUNCTION("""COMPUTED_VALUE"""),"Damage/expired/extra")</f>
        <v>Damage/expired/extra</v>
      </c>
      <c r="F3456" s="23">
        <f>IFERROR(__xludf.DUMMYFUNCTION("""COMPUTED_VALUE"""),44873.0)</f>
        <v>44873</v>
      </c>
      <c r="G3456" s="24" t="str">
        <f>IFERROR(__xludf.DUMMYFUNCTION("""COMPUTED_VALUE"""),"Hong Xue")</f>
        <v>Hong Xue</v>
      </c>
      <c r="H3456" s="24">
        <f>IFERROR(__xludf.DUMMYFUNCTION("""COMPUTED_VALUE"""),17.0)</f>
        <v>17</v>
      </c>
      <c r="I3456" s="24" t="str">
        <f>IFERROR(__xludf.DUMMYFUNCTION("""COMPUTED_VALUE"""),"Regular (up to 20lbs)")</f>
        <v>Regular (up to 20lbs)</v>
      </c>
    </row>
    <row r="3457">
      <c r="A3457" s="23">
        <f>IFERROR(__xludf.DUMMYFUNCTION("""COMPUTED_VALUE"""),44835.72000739584)</f>
        <v>44835.72001</v>
      </c>
      <c r="B3457" s="24" t="str">
        <f>IFERROR(__xludf.DUMMYFUNCTION("""COMPUTED_VALUE"""),"Beverly Pinn")</f>
        <v>Beverly Pinn</v>
      </c>
      <c r="C3457" s="24">
        <f>IFERROR(__xludf.DUMMYFUNCTION("""COMPUTED_VALUE"""),20.0)</f>
        <v>20</v>
      </c>
      <c r="D3457" s="24"/>
      <c r="F3457" s="23">
        <f>IFERROR(__xludf.DUMMYFUNCTION("""COMPUTED_VALUE"""),44873.0)</f>
        <v>44873</v>
      </c>
      <c r="G3457" s="24" t="str">
        <f>IFERROR(__xludf.DUMMYFUNCTION("""COMPUTED_VALUE"""),"Hong Xue")</f>
        <v>Hong Xue</v>
      </c>
      <c r="H3457" s="24">
        <f>IFERROR(__xludf.DUMMYFUNCTION("""COMPUTED_VALUE"""),23.0)</f>
        <v>23</v>
      </c>
      <c r="I3457" s="24" t="str">
        <f>IFERROR(__xludf.DUMMYFUNCTION("""COMPUTED_VALUE"""),"Damage/expired/extra")</f>
        <v>Damage/expired/extra</v>
      </c>
    </row>
    <row r="3458">
      <c r="A3458" s="23">
        <f>IFERROR(__xludf.DUMMYFUNCTION("""COMPUTED_VALUE"""),44835.72012539352)</f>
        <v>44835.72013</v>
      </c>
      <c r="B3458" s="24" t="str">
        <f>IFERROR(__xludf.DUMMYFUNCTION("""COMPUTED_VALUE"""),"Beverly Pinn")</f>
        <v>Beverly Pinn</v>
      </c>
      <c r="C3458" s="24">
        <f>IFERROR(__xludf.DUMMYFUNCTION("""COMPUTED_VALUE"""),2.0)</f>
        <v>2</v>
      </c>
      <c r="D3458" s="24"/>
      <c r="F3458" s="23">
        <f>IFERROR(__xludf.DUMMYFUNCTION("""COMPUTED_VALUE"""),44873.66480121528)</f>
        <v>44873.6648</v>
      </c>
      <c r="G3458" s="24" t="str">
        <f>IFERROR(__xludf.DUMMYFUNCTION("""COMPUTED_VALUE"""),"Rosemary Hendricks")</f>
        <v>Rosemary Hendricks</v>
      </c>
      <c r="H3458" s="24">
        <f>IFERROR(__xludf.DUMMYFUNCTION("""COMPUTED_VALUE"""),9.0)</f>
        <v>9</v>
      </c>
      <c r="I3458" s="24" t="str">
        <f>IFERROR(__xludf.DUMMYFUNCTION("""COMPUTED_VALUE"""),"Regular (up to 20lbs)")</f>
        <v>Regular (up to 20lbs)</v>
      </c>
    </row>
    <row r="3459">
      <c r="A3459" s="23">
        <f>IFERROR(__xludf.DUMMYFUNCTION("""COMPUTED_VALUE"""),44836.67036538195)</f>
        <v>44836.67037</v>
      </c>
      <c r="B3459" s="24" t="str">
        <f>IFERROR(__xludf.DUMMYFUNCTION("""COMPUTED_VALUE"""),"Kaneesha ")</f>
        <v>Kaneesha </v>
      </c>
      <c r="C3459" s="24">
        <f>IFERROR(__xludf.DUMMYFUNCTION("""COMPUTED_VALUE"""),20.0)</f>
        <v>20</v>
      </c>
      <c r="D3459" s="24"/>
      <c r="F3459" s="23">
        <f>IFERROR(__xludf.DUMMYFUNCTION("""COMPUTED_VALUE"""),44873.6651483912)</f>
        <v>44873.66515</v>
      </c>
      <c r="G3459" s="24" t="str">
        <f>IFERROR(__xludf.DUMMYFUNCTION("""COMPUTED_VALUE"""),"Rosemary Hendricks")</f>
        <v>Rosemary Hendricks</v>
      </c>
      <c r="H3459" s="24">
        <f>IFERROR(__xludf.DUMMYFUNCTION("""COMPUTED_VALUE"""),4.0)</f>
        <v>4</v>
      </c>
      <c r="I3459" s="24" t="str">
        <f>IFERROR(__xludf.DUMMYFUNCTION("""COMPUTED_VALUE"""),"Damage/expired/extra")</f>
        <v>Damage/expired/extra</v>
      </c>
    </row>
    <row r="3460">
      <c r="A3460" s="23">
        <f>IFERROR(__xludf.DUMMYFUNCTION("""COMPUTED_VALUE"""),44836.670524062494)</f>
        <v>44836.67052</v>
      </c>
      <c r="B3460" s="24" t="str">
        <f>IFERROR(__xludf.DUMMYFUNCTION("""COMPUTED_VALUE"""),"Kate Weeks")</f>
        <v>Kate Weeks</v>
      </c>
      <c r="C3460" s="24">
        <f>IFERROR(__xludf.DUMMYFUNCTION("""COMPUTED_VALUE"""),20.0)</f>
        <v>20</v>
      </c>
      <c r="D3460" s="24"/>
      <c r="F3460" s="23">
        <f>IFERROR(__xludf.DUMMYFUNCTION("""COMPUTED_VALUE"""),44873.6684409375)</f>
        <v>44873.66844</v>
      </c>
      <c r="G3460" s="24" t="str">
        <f>IFERROR(__xludf.DUMMYFUNCTION("""COMPUTED_VALUE"""),"Romaine Bouldin ")</f>
        <v>Romaine Bouldin </v>
      </c>
      <c r="H3460" s="24">
        <f>IFERROR(__xludf.DUMMYFUNCTION("""COMPUTED_VALUE"""),16.0)</f>
        <v>16</v>
      </c>
      <c r="I3460" s="24" t="str">
        <f>IFERROR(__xludf.DUMMYFUNCTION("""COMPUTED_VALUE"""),"Regular (up to 20lbs)")</f>
        <v>Regular (up to 20lbs)</v>
      </c>
    </row>
    <row r="3461">
      <c r="A3461" s="23">
        <f>IFERROR(__xludf.DUMMYFUNCTION("""COMPUTED_VALUE"""),44836.0)</f>
        <v>44836</v>
      </c>
      <c r="B3461" s="24" t="str">
        <f>IFERROR(__xludf.DUMMYFUNCTION("""COMPUTED_VALUE"""),"Kate Weeks")</f>
        <v>Kate Weeks</v>
      </c>
      <c r="C3461" s="24">
        <f>IFERROR(__xludf.DUMMYFUNCTION("""COMPUTED_VALUE"""),27.0)</f>
        <v>27</v>
      </c>
      <c r="D3461" s="24" t="str">
        <f>IFERROR(__xludf.DUMMYFUNCTION("""COMPUTED_VALUE"""),"Damage/expired/extra")</f>
        <v>Damage/expired/extra</v>
      </c>
      <c r="F3461" s="23">
        <f>IFERROR(__xludf.DUMMYFUNCTION("""COMPUTED_VALUE"""),44873.668490185184)</f>
        <v>44873.66849</v>
      </c>
      <c r="G3461" s="24" t="str">
        <f>IFERROR(__xludf.DUMMYFUNCTION("""COMPUTED_VALUE"""),"Susan")</f>
        <v>Susan</v>
      </c>
      <c r="H3461" s="24">
        <f>IFERROR(__xludf.DUMMYFUNCTION("""COMPUTED_VALUE"""),8.0)</f>
        <v>8</v>
      </c>
      <c r="I3461" s="24" t="str">
        <f>IFERROR(__xludf.DUMMYFUNCTION("""COMPUTED_VALUE"""),"Regular (up to 20lbs)")</f>
        <v>Regular (up to 20lbs)</v>
      </c>
    </row>
    <row r="3462">
      <c r="A3462" s="23">
        <f>IFERROR(__xludf.DUMMYFUNCTION("""COMPUTED_VALUE"""),44836.670649328706)</f>
        <v>44836.67065</v>
      </c>
      <c r="B3462" s="24" t="str">
        <f>IFERROR(__xludf.DUMMYFUNCTION("""COMPUTED_VALUE"""),"Kaneesha ")</f>
        <v>Kaneesha </v>
      </c>
      <c r="C3462" s="24">
        <f>IFERROR(__xludf.DUMMYFUNCTION("""COMPUTED_VALUE"""),33.0)</f>
        <v>33</v>
      </c>
      <c r="D3462" s="24" t="str">
        <f>IFERROR(__xludf.DUMMYFUNCTION("""COMPUTED_VALUE"""),"Damage/expired/extra")</f>
        <v>Damage/expired/extra</v>
      </c>
      <c r="F3462" s="23">
        <f>IFERROR(__xludf.DUMMYFUNCTION("""COMPUTED_VALUE"""),44873.66871953703)</f>
        <v>44873.66872</v>
      </c>
      <c r="G3462" s="24" t="str">
        <f>IFERROR(__xludf.DUMMYFUNCTION("""COMPUTED_VALUE"""),"Romaine Bouldin ")</f>
        <v>Romaine Bouldin </v>
      </c>
      <c r="H3462" s="24">
        <f>IFERROR(__xludf.DUMMYFUNCTION("""COMPUTED_VALUE"""),8.0)</f>
        <v>8</v>
      </c>
      <c r="I3462" s="24" t="str">
        <f>IFERROR(__xludf.DUMMYFUNCTION("""COMPUTED_VALUE"""),"Damage/expired/extra")</f>
        <v>Damage/expired/extra</v>
      </c>
    </row>
    <row r="3463">
      <c r="A3463" s="23">
        <f>IFERROR(__xludf.DUMMYFUNCTION("""COMPUTED_VALUE"""),44836.0)</f>
        <v>44836</v>
      </c>
      <c r="B3463" s="24" t="str">
        <f>IFERROR(__xludf.DUMMYFUNCTION("""COMPUTED_VALUE"""),"Alex Wang")</f>
        <v>Alex Wang</v>
      </c>
      <c r="C3463" s="24">
        <f>IFERROR(__xludf.DUMMYFUNCTION("""COMPUTED_VALUE"""),20.0)</f>
        <v>20</v>
      </c>
      <c r="D3463" s="24"/>
      <c r="F3463" s="23">
        <f>IFERROR(__xludf.DUMMYFUNCTION("""COMPUTED_VALUE"""),44873.66876550926)</f>
        <v>44873.66877</v>
      </c>
      <c r="G3463" s="24" t="str">
        <f>IFERROR(__xludf.DUMMYFUNCTION("""COMPUTED_VALUE"""),"Susan larson")</f>
        <v>Susan larson</v>
      </c>
      <c r="H3463" s="24">
        <f>IFERROR(__xludf.DUMMYFUNCTION("""COMPUTED_VALUE"""),18.0)</f>
        <v>18</v>
      </c>
      <c r="I3463" s="24" t="str">
        <f>IFERROR(__xludf.DUMMYFUNCTION("""COMPUTED_VALUE"""),"Damage/expired/extra")</f>
        <v>Damage/expired/extra</v>
      </c>
    </row>
    <row r="3464">
      <c r="A3464" s="23">
        <f>IFERROR(__xludf.DUMMYFUNCTION("""COMPUTED_VALUE"""),44836.0)</f>
        <v>44836</v>
      </c>
      <c r="B3464" s="24" t="str">
        <f>IFERROR(__xludf.DUMMYFUNCTION("""COMPUTED_VALUE"""),"Alex Wang")</f>
        <v>Alex Wang</v>
      </c>
      <c r="C3464" s="24">
        <f>IFERROR(__xludf.DUMMYFUNCTION("""COMPUTED_VALUE"""),3.0)</f>
        <v>3</v>
      </c>
      <c r="D3464" s="24" t="str">
        <f>IFERROR(__xludf.DUMMYFUNCTION("""COMPUTED_VALUE"""),"Damage/expired/extra")</f>
        <v>Damage/expired/extra</v>
      </c>
      <c r="F3464" s="23">
        <f>IFERROR(__xludf.DUMMYFUNCTION("""COMPUTED_VALUE"""),44873.66877217592)</f>
        <v>44873.66877</v>
      </c>
      <c r="G3464" s="24" t="str">
        <f>IFERROR(__xludf.DUMMYFUNCTION("""COMPUTED_VALUE"""),"Beverly Graham")</f>
        <v>Beverly Graham</v>
      </c>
      <c r="H3464" s="24">
        <f>IFERROR(__xludf.DUMMYFUNCTION("""COMPUTED_VALUE"""),12.0)</f>
        <v>12</v>
      </c>
      <c r="I3464" s="24" t="str">
        <f>IFERROR(__xludf.DUMMYFUNCTION("""COMPUTED_VALUE"""),"Regular (up to 20lbs)")</f>
        <v>Regular (up to 20lbs)</v>
      </c>
    </row>
    <row r="3465">
      <c r="A3465" s="23">
        <f>IFERROR(__xludf.DUMMYFUNCTION("""COMPUTED_VALUE"""),44836.674072696755)</f>
        <v>44836.67407</v>
      </c>
      <c r="B3465" s="24" t="str">
        <f>IFERROR(__xludf.DUMMYFUNCTION("""COMPUTED_VALUE"""),"Opey")</f>
        <v>Opey</v>
      </c>
      <c r="C3465" s="24">
        <f>IFERROR(__xludf.DUMMYFUNCTION("""COMPUTED_VALUE"""),15.0)</f>
        <v>15</v>
      </c>
      <c r="D3465" s="24"/>
      <c r="F3465" s="23">
        <f>IFERROR(__xludf.DUMMYFUNCTION("""COMPUTED_VALUE"""),44873.66900376158)</f>
        <v>44873.669</v>
      </c>
      <c r="G3465" s="24" t="str">
        <f>IFERROR(__xludf.DUMMYFUNCTION("""COMPUTED_VALUE"""),"Beverly  Graham ")</f>
        <v>Beverly  Graham </v>
      </c>
      <c r="H3465" s="24">
        <f>IFERROR(__xludf.DUMMYFUNCTION("""COMPUTED_VALUE"""),10.0)</f>
        <v>10</v>
      </c>
      <c r="I3465" s="24" t="str">
        <f>IFERROR(__xludf.DUMMYFUNCTION("""COMPUTED_VALUE"""),"Damage/expired/extra")</f>
        <v>Damage/expired/extra</v>
      </c>
    </row>
    <row r="3466">
      <c r="A3466" s="23">
        <f>IFERROR(__xludf.DUMMYFUNCTION("""COMPUTED_VALUE"""),44836.68028458333)</f>
        <v>44836.68028</v>
      </c>
      <c r="B3466" s="24" t="str">
        <f>IFERROR(__xludf.DUMMYFUNCTION("""COMPUTED_VALUE"""),"Zoe")</f>
        <v>Zoe</v>
      </c>
      <c r="C3466" s="24">
        <f>IFERROR(__xludf.DUMMYFUNCTION("""COMPUTED_VALUE"""),17.0)</f>
        <v>17</v>
      </c>
      <c r="D3466" s="24"/>
      <c r="F3466" s="23">
        <f>IFERROR(__xludf.DUMMYFUNCTION("""COMPUTED_VALUE"""),44873.6728537963)</f>
        <v>44873.67285</v>
      </c>
      <c r="G3466" s="24" t="str">
        <f>IFERROR(__xludf.DUMMYFUNCTION("""COMPUTED_VALUE"""),"Anna West")</f>
        <v>Anna West</v>
      </c>
      <c r="H3466" s="24">
        <f>IFERROR(__xludf.DUMMYFUNCTION("""COMPUTED_VALUE"""),20.0)</f>
        <v>20</v>
      </c>
      <c r="I3466" s="24" t="str">
        <f>IFERROR(__xludf.DUMMYFUNCTION("""COMPUTED_VALUE"""),"Regular (up to 20lbs)")</f>
        <v>Regular (up to 20lbs)</v>
      </c>
    </row>
    <row r="3467">
      <c r="A3467" s="23">
        <f>IFERROR(__xludf.DUMMYFUNCTION("""COMPUTED_VALUE"""),44838.681978726854)</f>
        <v>44838.68198</v>
      </c>
      <c r="B3467" s="24" t="str">
        <f>IFERROR(__xludf.DUMMYFUNCTION("""COMPUTED_VALUE"""),"Jean")</f>
        <v>Jean</v>
      </c>
      <c r="C3467" s="24">
        <f>IFERROR(__xludf.DUMMYFUNCTION("""COMPUTED_VALUE"""),13.0)</f>
        <v>13</v>
      </c>
      <c r="D3467" s="24" t="str">
        <f>IFERROR(__xludf.DUMMYFUNCTION("""COMPUTED_VALUE"""),"Regular (up to 20lbs)")</f>
        <v>Regular (up to 20lbs)</v>
      </c>
      <c r="F3467" s="23">
        <f>IFERROR(__xludf.DUMMYFUNCTION("""COMPUTED_VALUE"""),44873.67298107639)</f>
        <v>44873.67298</v>
      </c>
      <c r="G3467" s="24" t="str">
        <f>IFERROR(__xludf.DUMMYFUNCTION("""COMPUTED_VALUE"""),"Anna West")</f>
        <v>Anna West</v>
      </c>
      <c r="H3467" s="24">
        <f>IFERROR(__xludf.DUMMYFUNCTION("""COMPUTED_VALUE"""),31.0)</f>
        <v>31</v>
      </c>
      <c r="I3467" s="24" t="str">
        <f>IFERROR(__xludf.DUMMYFUNCTION("""COMPUTED_VALUE"""),"Damage/expired/extra")</f>
        <v>Damage/expired/extra</v>
      </c>
    </row>
    <row r="3468">
      <c r="A3468" s="23">
        <f>IFERROR(__xludf.DUMMYFUNCTION("""COMPUTED_VALUE"""),44838.682190949075)</f>
        <v>44838.68219</v>
      </c>
      <c r="B3468" s="24" t="str">
        <f>IFERROR(__xludf.DUMMYFUNCTION("""COMPUTED_VALUE"""),"Jean")</f>
        <v>Jean</v>
      </c>
      <c r="C3468" s="24">
        <f>IFERROR(__xludf.DUMMYFUNCTION("""COMPUTED_VALUE"""),35.0)</f>
        <v>35</v>
      </c>
      <c r="D3468" s="24" t="str">
        <f>IFERROR(__xludf.DUMMYFUNCTION("""COMPUTED_VALUE"""),"Damage/expired/extra")</f>
        <v>Damage/expired/extra</v>
      </c>
      <c r="F3468" s="23">
        <f>IFERROR(__xludf.DUMMYFUNCTION("""COMPUTED_VALUE"""),44873.67357466435)</f>
        <v>44873.67357</v>
      </c>
      <c r="G3468" s="24" t="str">
        <f>IFERROR(__xludf.DUMMYFUNCTION("""COMPUTED_VALUE"""),"Beverly Pinn")</f>
        <v>Beverly Pinn</v>
      </c>
      <c r="H3468" s="24">
        <f>IFERROR(__xludf.DUMMYFUNCTION("""COMPUTED_VALUE"""),12.0)</f>
        <v>12</v>
      </c>
      <c r="I3468" s="24" t="str">
        <f>IFERROR(__xludf.DUMMYFUNCTION("""COMPUTED_VALUE"""),"Regular (up to 20lbs)")</f>
        <v>Regular (up to 20lbs)</v>
      </c>
    </row>
    <row r="3469">
      <c r="A3469" s="23">
        <f>IFERROR(__xludf.DUMMYFUNCTION("""COMPUTED_VALUE"""),44838.0)</f>
        <v>44838</v>
      </c>
      <c r="B3469" s="24" t="str">
        <f>IFERROR(__xludf.DUMMYFUNCTION("""COMPUTED_VALUE"""),"Marci")</f>
        <v>Marci</v>
      </c>
      <c r="C3469" s="24">
        <f>IFERROR(__xludf.DUMMYFUNCTION("""COMPUTED_VALUE"""),20.0)</f>
        <v>20</v>
      </c>
      <c r="D3469" s="24" t="str">
        <f>IFERROR(__xludf.DUMMYFUNCTION("""COMPUTED_VALUE"""),"Regular (up to 20lbs)")</f>
        <v>Regular (up to 20lbs)</v>
      </c>
      <c r="F3469" s="23">
        <f>IFERROR(__xludf.DUMMYFUNCTION("""COMPUTED_VALUE"""),44873.67370108796)</f>
        <v>44873.6737</v>
      </c>
      <c r="G3469" s="24" t="str">
        <f>IFERROR(__xludf.DUMMYFUNCTION("""COMPUTED_VALUE"""),"Beverly Pinn")</f>
        <v>Beverly Pinn</v>
      </c>
      <c r="H3469" s="24">
        <f>IFERROR(__xludf.DUMMYFUNCTION("""COMPUTED_VALUE"""),24.0)</f>
        <v>24</v>
      </c>
      <c r="I3469" s="24" t="str">
        <f>IFERROR(__xludf.DUMMYFUNCTION("""COMPUTED_VALUE"""),"Damage/expired/extra")</f>
        <v>Damage/expired/extra</v>
      </c>
    </row>
    <row r="3470">
      <c r="A3470" s="23">
        <f>IFERROR(__xludf.DUMMYFUNCTION("""COMPUTED_VALUE"""),44838.0)</f>
        <v>44838</v>
      </c>
      <c r="B3470" s="24" t="str">
        <f>IFERROR(__xludf.DUMMYFUNCTION("""COMPUTED_VALUE"""),"Marci")</f>
        <v>Marci</v>
      </c>
      <c r="C3470" s="24">
        <f>IFERROR(__xludf.DUMMYFUNCTION("""COMPUTED_VALUE"""),36.0)</f>
        <v>36</v>
      </c>
      <c r="D3470" s="24" t="str">
        <f>IFERROR(__xludf.DUMMYFUNCTION("""COMPUTED_VALUE"""),"Damage/expired/extra")</f>
        <v>Damage/expired/extra</v>
      </c>
      <c r="F3470" s="23">
        <f>IFERROR(__xludf.DUMMYFUNCTION("""COMPUTED_VALUE"""),44873.67633519676)</f>
        <v>44873.67634</v>
      </c>
      <c r="G3470" s="24" t="str">
        <f>IFERROR(__xludf.DUMMYFUNCTION("""COMPUTED_VALUE"""),"Kaneesha ")</f>
        <v>Kaneesha </v>
      </c>
      <c r="H3470" s="24">
        <f>IFERROR(__xludf.DUMMYFUNCTION("""COMPUTED_VALUE"""),20.0)</f>
        <v>20</v>
      </c>
      <c r="I3470" s="24" t="str">
        <f>IFERROR(__xludf.DUMMYFUNCTION("""COMPUTED_VALUE"""),"Regular (up to 20lbs)")</f>
        <v>Regular (up to 20lbs)</v>
      </c>
    </row>
    <row r="3471">
      <c r="A3471" s="23">
        <f>IFERROR(__xludf.DUMMYFUNCTION("""COMPUTED_VALUE"""),44838.686615115745)</f>
        <v>44838.68662</v>
      </c>
      <c r="B3471" s="24" t="str">
        <f>IFERROR(__xludf.DUMMYFUNCTION("""COMPUTED_VALUE"""),"Romaine Bouldin ")</f>
        <v>Romaine Bouldin </v>
      </c>
      <c r="C3471" s="24">
        <f>IFERROR(__xludf.DUMMYFUNCTION("""COMPUTED_VALUE"""),18.0)</f>
        <v>18</v>
      </c>
      <c r="D3471" s="24"/>
      <c r="F3471" s="23">
        <f>IFERROR(__xludf.DUMMYFUNCTION("""COMPUTED_VALUE"""),44873.676506145835)</f>
        <v>44873.67651</v>
      </c>
      <c r="G3471" s="24" t="str">
        <f>IFERROR(__xludf.DUMMYFUNCTION("""COMPUTED_VALUE"""),"Kaneesha ")</f>
        <v>Kaneesha </v>
      </c>
      <c r="H3471" s="24">
        <f>IFERROR(__xludf.DUMMYFUNCTION("""COMPUTED_VALUE"""),16.0)</f>
        <v>16</v>
      </c>
      <c r="I3471" s="24" t="str">
        <f>IFERROR(__xludf.DUMMYFUNCTION("""COMPUTED_VALUE"""),"Damage/expired/extra")</f>
        <v>Damage/expired/extra</v>
      </c>
    </row>
    <row r="3472">
      <c r="A3472" s="23">
        <f>IFERROR(__xludf.DUMMYFUNCTION("""COMPUTED_VALUE"""),44838.687220821754)</f>
        <v>44838.68722</v>
      </c>
      <c r="B3472" s="24" t="str">
        <f>IFERROR(__xludf.DUMMYFUNCTION("""COMPUTED_VALUE"""),"Beverly Graham")</f>
        <v>Beverly Graham</v>
      </c>
      <c r="C3472" s="24">
        <f>IFERROR(__xludf.DUMMYFUNCTION("""COMPUTED_VALUE"""),11.0)</f>
        <v>11</v>
      </c>
      <c r="D3472" s="24" t="str">
        <f>IFERROR(__xludf.DUMMYFUNCTION("""COMPUTED_VALUE"""),"Damage/expired/extra")</f>
        <v>Damage/expired/extra</v>
      </c>
      <c r="F3472" s="23">
        <f>IFERROR(__xludf.DUMMYFUNCTION("""COMPUTED_VALUE"""),44874.0)</f>
        <v>44874</v>
      </c>
      <c r="G3472" s="24" t="str">
        <f>IFERROR(__xludf.DUMMYFUNCTION("""COMPUTED_VALUE"""),"Claire")</f>
        <v>Claire</v>
      </c>
      <c r="H3472" s="24">
        <f>IFERROR(__xludf.DUMMYFUNCTION("""COMPUTED_VALUE"""),511.0)</f>
        <v>511</v>
      </c>
      <c r="I3472" s="24" t="str">
        <f>IFERROR(__xludf.DUMMYFUNCTION("""COMPUTED_VALUE"""),"First Fruits Farm")</f>
        <v>First Fruits Farm</v>
      </c>
    </row>
    <row r="3473">
      <c r="A3473" s="23">
        <f>IFERROR(__xludf.DUMMYFUNCTION("""COMPUTED_VALUE"""),44838.0)</f>
        <v>44838</v>
      </c>
      <c r="B3473" s="24" t="str">
        <f>IFERROR(__xludf.DUMMYFUNCTION("""COMPUTED_VALUE"""),"Beverly Graham")</f>
        <v>Beverly Graham</v>
      </c>
      <c r="C3473" s="24">
        <f>IFERROR(__xludf.DUMMYFUNCTION("""COMPUTED_VALUE"""),19.0)</f>
        <v>19</v>
      </c>
      <c r="D3473" s="24" t="str">
        <f>IFERROR(__xludf.DUMMYFUNCTION("""COMPUTED_VALUE"""),"Regular (up to 20lbs)")</f>
        <v>Regular (up to 20lbs)</v>
      </c>
      <c r="F3473" s="23">
        <f>IFERROR(__xludf.DUMMYFUNCTION("""COMPUTED_VALUE"""),44874.0)</f>
        <v>44874</v>
      </c>
      <c r="G3473" s="24" t="str">
        <f>IFERROR(__xludf.DUMMYFUNCTION("""COMPUTED_VALUE"""),"Juanita Chandler ")</f>
        <v>Juanita Chandler </v>
      </c>
      <c r="H3473" s="24">
        <f>IFERROR(__xludf.DUMMYFUNCTION("""COMPUTED_VALUE"""),23.0)</f>
        <v>23</v>
      </c>
      <c r="I3473" s="24" t="str">
        <f>IFERROR(__xludf.DUMMYFUNCTION("""COMPUTED_VALUE"""),"Regular (up to 20lbs)")</f>
        <v>Regular (up to 20lbs)</v>
      </c>
    </row>
    <row r="3474">
      <c r="A3474" s="23">
        <f>IFERROR(__xludf.DUMMYFUNCTION("""COMPUTED_VALUE"""),44838.689873298616)</f>
        <v>44838.68987</v>
      </c>
      <c r="B3474" s="24" t="str">
        <f>IFERROR(__xludf.DUMMYFUNCTION("""COMPUTED_VALUE"""),"Beverly Pinn")</f>
        <v>Beverly Pinn</v>
      </c>
      <c r="C3474" s="24">
        <f>IFERROR(__xludf.DUMMYFUNCTION("""COMPUTED_VALUE"""),20.0)</f>
        <v>20</v>
      </c>
      <c r="D3474" s="24" t="str">
        <f>IFERROR(__xludf.DUMMYFUNCTION("""COMPUTED_VALUE"""),"Regular (up to 20lbs)")</f>
        <v>Regular (up to 20lbs)</v>
      </c>
      <c r="F3474" s="23">
        <f>IFERROR(__xludf.DUMMYFUNCTION("""COMPUTED_VALUE"""),44874.0)</f>
        <v>44874</v>
      </c>
      <c r="G3474" s="24" t="str">
        <f>IFERROR(__xludf.DUMMYFUNCTION("""COMPUTED_VALUE"""),"Juanita Chandler ")</f>
        <v>Juanita Chandler </v>
      </c>
      <c r="H3474" s="24">
        <f>IFERROR(__xludf.DUMMYFUNCTION("""COMPUTED_VALUE"""),18.0)</f>
        <v>18</v>
      </c>
      <c r="I3474" s="24" t="str">
        <f>IFERROR(__xludf.DUMMYFUNCTION("""COMPUTED_VALUE"""),"Damage/expired/extra")</f>
        <v>Damage/expired/extra</v>
      </c>
    </row>
    <row r="3475">
      <c r="A3475" s="23">
        <f>IFERROR(__xludf.DUMMYFUNCTION("""COMPUTED_VALUE"""),44838.69010015046)</f>
        <v>44838.6901</v>
      </c>
      <c r="B3475" s="24" t="str">
        <f>IFERROR(__xludf.DUMMYFUNCTION("""COMPUTED_VALUE"""),"Beverly Pinn")</f>
        <v>Beverly Pinn</v>
      </c>
      <c r="C3475" s="24">
        <f>IFERROR(__xludf.DUMMYFUNCTION("""COMPUTED_VALUE"""),42.0)</f>
        <v>42</v>
      </c>
      <c r="D3475" s="24" t="str">
        <f>IFERROR(__xludf.DUMMYFUNCTION("""COMPUTED_VALUE"""),"Damage/expired/extra")</f>
        <v>Damage/expired/extra</v>
      </c>
      <c r="F3475" s="23">
        <f>IFERROR(__xludf.DUMMYFUNCTION("""COMPUTED_VALUE"""),44874.0)</f>
        <v>44874</v>
      </c>
      <c r="G3475" s="24" t="str">
        <f>IFERROR(__xludf.DUMMYFUNCTION("""COMPUTED_VALUE"""),"Doris Parker Tuggle")</f>
        <v>Doris Parker Tuggle</v>
      </c>
      <c r="H3475" s="24">
        <f>IFERROR(__xludf.DUMMYFUNCTION("""COMPUTED_VALUE"""),17.0)</f>
        <v>17</v>
      </c>
      <c r="I3475" s="24" t="str">
        <f>IFERROR(__xludf.DUMMYFUNCTION("""COMPUTED_VALUE"""),"Regular (up to 20lbs)")</f>
        <v>Regular (up to 20lbs)</v>
      </c>
    </row>
    <row r="3476">
      <c r="A3476" s="23">
        <f>IFERROR(__xludf.DUMMYFUNCTION("""COMPUTED_VALUE"""),44839.56568274306)</f>
        <v>44839.56568</v>
      </c>
      <c r="B3476" s="24" t="str">
        <f>IFERROR(__xludf.DUMMYFUNCTION("""COMPUTED_VALUE"""),"Bud - sisson st drinks ")</f>
        <v>Bud - sisson st drinks </v>
      </c>
      <c r="C3476" s="24">
        <f>IFERROR(__xludf.DUMMYFUNCTION("""COMPUTED_VALUE"""),13.0)</f>
        <v>13</v>
      </c>
      <c r="D3476" s="24" t="str">
        <f>IFERROR(__xludf.DUMMYFUNCTION("""COMPUTED_VALUE"""),"Regular (up to 20lbs)")</f>
        <v>Regular (up to 20lbs)</v>
      </c>
      <c r="F3476" s="23">
        <f>IFERROR(__xludf.DUMMYFUNCTION("""COMPUTED_VALUE"""),44874.0)</f>
        <v>44874</v>
      </c>
      <c r="G3476" s="24" t="str">
        <f>IFERROR(__xludf.DUMMYFUNCTION("""COMPUTED_VALUE"""),"Sarah Krensky")</f>
        <v>Sarah Krensky</v>
      </c>
      <c r="H3476" s="24">
        <f>IFERROR(__xludf.DUMMYFUNCTION("""COMPUTED_VALUE"""),2.0)</f>
        <v>2</v>
      </c>
      <c r="I3476" s="24" t="str">
        <f>IFERROR(__xludf.DUMMYFUNCTION("""COMPUTED_VALUE"""),"Regular (up to 20lbs)")</f>
        <v>Regular (up to 20lbs)</v>
      </c>
    </row>
    <row r="3477">
      <c r="A3477" s="23">
        <f>IFERROR(__xludf.DUMMYFUNCTION("""COMPUTED_VALUE"""),44839.566316990735)</f>
        <v>44839.56632</v>
      </c>
      <c r="B3477" s="24" t="str">
        <f>IFERROR(__xludf.DUMMYFUNCTION("""COMPUTED_VALUE"""),"Bud Stracker - personal ")</f>
        <v>Bud Stracker - personal </v>
      </c>
      <c r="C3477" s="24">
        <f>IFERROR(__xludf.DUMMYFUNCTION("""COMPUTED_VALUE"""),5.0)</f>
        <v>5</v>
      </c>
      <c r="D3477" s="24" t="str">
        <f>IFERROR(__xludf.DUMMYFUNCTION("""COMPUTED_VALUE"""),"Regular (up to 20lbs)")</f>
        <v>Regular (up to 20lbs)</v>
      </c>
      <c r="F3477" s="23">
        <f>IFERROR(__xludf.DUMMYFUNCTION("""COMPUTED_VALUE"""),44874.0)</f>
        <v>44874</v>
      </c>
      <c r="G3477" s="24" t="str">
        <f>IFERROR(__xludf.DUMMYFUNCTION("""COMPUTED_VALUE"""),"Dee Satterfield")</f>
        <v>Dee Satterfield</v>
      </c>
      <c r="H3477" s="24">
        <f>IFERROR(__xludf.DUMMYFUNCTION("""COMPUTED_VALUE"""),20.0)</f>
        <v>20</v>
      </c>
      <c r="I3477" s="24" t="str">
        <f>IFERROR(__xludf.DUMMYFUNCTION("""COMPUTED_VALUE"""),"Regular (up to 20lbs)")</f>
        <v>Regular (up to 20lbs)</v>
      </c>
    </row>
    <row r="3478">
      <c r="A3478" s="23">
        <f>IFERROR(__xludf.DUMMYFUNCTION("""COMPUTED_VALUE"""),44839.709587280086)</f>
        <v>44839.70959</v>
      </c>
      <c r="B3478" s="24" t="str">
        <f>IFERROR(__xludf.DUMMYFUNCTION("""COMPUTED_VALUE"""),"Juanita Chandler")</f>
        <v>Juanita Chandler</v>
      </c>
      <c r="C3478" s="24">
        <f>IFERROR(__xludf.DUMMYFUNCTION("""COMPUTED_VALUE"""),10.0)</f>
        <v>10</v>
      </c>
      <c r="D3478" s="24" t="str">
        <f>IFERROR(__xludf.DUMMYFUNCTION("""COMPUTED_VALUE"""),"Regular (up to 20lbs)")</f>
        <v>Regular (up to 20lbs)</v>
      </c>
      <c r="F3478" s="23">
        <f>IFERROR(__xludf.DUMMYFUNCTION("""COMPUTED_VALUE"""),44874.56067902778)</f>
        <v>44874.56068</v>
      </c>
      <c r="G3478" s="24" t="str">
        <f>IFERROR(__xludf.DUMMYFUNCTION("""COMPUTED_VALUE"""),"Theresa Keil")</f>
        <v>Theresa Keil</v>
      </c>
      <c r="H3478" s="24">
        <f>IFERROR(__xludf.DUMMYFUNCTION("""COMPUTED_VALUE"""),66.0)</f>
        <v>66</v>
      </c>
      <c r="I3478" s="24" t="str">
        <f>IFERROR(__xludf.DUMMYFUNCTION("""COMPUTED_VALUE"""),"Regular (up to 20lbs)")</f>
        <v>Regular (up to 20lbs)</v>
      </c>
    </row>
    <row r="3479">
      <c r="A3479" s="23">
        <f>IFERROR(__xludf.DUMMYFUNCTION("""COMPUTED_VALUE"""),44839.712698298616)</f>
        <v>44839.7127</v>
      </c>
      <c r="B3479" s="24" t="str">
        <f>IFERROR(__xludf.DUMMYFUNCTION("""COMPUTED_VALUE"""),"Juanita Chandler ")</f>
        <v>Juanita Chandler </v>
      </c>
      <c r="C3479" s="24">
        <f>IFERROR(__xludf.DUMMYFUNCTION("""COMPUTED_VALUE"""),3.0)</f>
        <v>3</v>
      </c>
      <c r="D3479" s="24" t="str">
        <f>IFERROR(__xludf.DUMMYFUNCTION("""COMPUTED_VALUE"""),"Damage/expired/extra")</f>
        <v>Damage/expired/extra</v>
      </c>
      <c r="F3479" s="23">
        <f>IFERROR(__xludf.DUMMYFUNCTION("""COMPUTED_VALUE"""),44874.56220609954)</f>
        <v>44874.56221</v>
      </c>
      <c r="G3479" s="24" t="str">
        <f>IFERROR(__xludf.DUMMYFUNCTION("""COMPUTED_VALUE"""),"Juanita Chandler ")</f>
        <v>Juanita Chandler </v>
      </c>
      <c r="H3479" s="24">
        <f>IFERROR(__xludf.DUMMYFUNCTION("""COMPUTED_VALUE"""),534.0)</f>
        <v>534</v>
      </c>
      <c r="I3479" s="24" t="str">
        <f>IFERROR(__xludf.DUMMYFUNCTION("""COMPUTED_VALUE"""),"First Fruits Farm")</f>
        <v>First Fruits Farm</v>
      </c>
    </row>
    <row r="3480">
      <c r="A3480" s="23">
        <f>IFERROR(__xludf.DUMMYFUNCTION("""COMPUTED_VALUE"""),44839.0)</f>
        <v>44839</v>
      </c>
      <c r="B3480" s="24" t="str">
        <f>IFERROR(__xludf.DUMMYFUNCTION("""COMPUTED_VALUE"""),"Dee Satterfield")</f>
        <v>Dee Satterfield</v>
      </c>
      <c r="C3480" s="24">
        <f>IFERROR(__xludf.DUMMYFUNCTION("""COMPUTED_VALUE"""),20.0)</f>
        <v>20</v>
      </c>
      <c r="D3480" s="24" t="str">
        <f>IFERROR(__xludf.DUMMYFUNCTION("""COMPUTED_VALUE"""),"Regular (up to 20lbs)")</f>
        <v>Regular (up to 20lbs)</v>
      </c>
      <c r="F3480" s="23">
        <f>IFERROR(__xludf.DUMMYFUNCTION("""COMPUTED_VALUE"""),44874.56433940972)</f>
        <v>44874.56434</v>
      </c>
      <c r="G3480" s="24" t="str">
        <f>IFERROR(__xludf.DUMMYFUNCTION("""COMPUTED_VALUE"""),"Juanita Chandler ")</f>
        <v>Juanita Chandler </v>
      </c>
      <c r="H3480" s="24">
        <f>IFERROR(__xludf.DUMMYFUNCTION("""COMPUTED_VALUE"""),1413.0)</f>
        <v>1413</v>
      </c>
      <c r="I3480" s="24" t="str">
        <f>IFERROR(__xludf.DUMMYFUNCTION("""COMPUTED_VALUE"""),"First Fruits Farm")</f>
        <v>First Fruits Farm</v>
      </c>
    </row>
    <row r="3481">
      <c r="A3481" s="23">
        <f>IFERROR(__xludf.DUMMYFUNCTION("""COMPUTED_VALUE"""),44839.0)</f>
        <v>44839</v>
      </c>
      <c r="B3481" s="24" t="str">
        <f>IFERROR(__xludf.DUMMYFUNCTION("""COMPUTED_VALUE"""),"Lynwood McDaniel")</f>
        <v>Lynwood McDaniel</v>
      </c>
      <c r="C3481" s="24">
        <f>IFERROR(__xludf.DUMMYFUNCTION("""COMPUTED_VALUE"""),20.0)</f>
        <v>20</v>
      </c>
      <c r="D3481" s="24" t="str">
        <f>IFERROR(__xludf.DUMMYFUNCTION("""COMPUTED_VALUE"""),"Regular (up to 20lbs)")</f>
        <v>Regular (up to 20lbs)</v>
      </c>
      <c r="F3481" s="23">
        <f>IFERROR(__xludf.DUMMYFUNCTION("""COMPUTED_VALUE"""),44874.64343162037)</f>
        <v>44874.64343</v>
      </c>
      <c r="G3481" s="24" t="str">
        <f>IFERROR(__xludf.DUMMYFUNCTION("""COMPUTED_VALUE"""),"Juanita Chandler ")</f>
        <v>Juanita Chandler </v>
      </c>
      <c r="H3481" s="24">
        <f>IFERROR(__xludf.DUMMYFUNCTION("""COMPUTED_VALUE"""),1364.0)</f>
        <v>1364</v>
      </c>
      <c r="I3481" s="24" t="str">
        <f>IFERROR(__xludf.DUMMYFUNCTION("""COMPUTED_VALUE"""),"First Fruits Farm")</f>
        <v>First Fruits Farm</v>
      </c>
    </row>
    <row r="3482">
      <c r="A3482" s="23">
        <f>IFERROR(__xludf.DUMMYFUNCTION("""COMPUTED_VALUE"""),44839.0)</f>
        <v>44839</v>
      </c>
      <c r="B3482" s="24" t="str">
        <f>IFERROR(__xludf.DUMMYFUNCTION("""COMPUTED_VALUE"""),"Denise Rivers")</f>
        <v>Denise Rivers</v>
      </c>
      <c r="C3482" s="24">
        <f>IFERROR(__xludf.DUMMYFUNCTION("""COMPUTED_VALUE"""),20.0)</f>
        <v>20</v>
      </c>
      <c r="D3482" s="24" t="str">
        <f>IFERROR(__xludf.DUMMYFUNCTION("""COMPUTED_VALUE"""),"Regular (up to 20lbs)")</f>
        <v>Regular (up to 20lbs)</v>
      </c>
      <c r="F3482" s="23">
        <f>IFERROR(__xludf.DUMMYFUNCTION("""COMPUTED_VALUE"""),44874.64392251157)</f>
        <v>44874.64392</v>
      </c>
      <c r="G3482" s="24" t="str">
        <f>IFERROR(__xludf.DUMMYFUNCTION("""COMPUTED_VALUE"""),"Juanita Chandler ")</f>
        <v>Juanita Chandler </v>
      </c>
      <c r="H3482" s="24">
        <f>IFERROR(__xludf.DUMMYFUNCTION("""COMPUTED_VALUE"""),527.0)</f>
        <v>527</v>
      </c>
      <c r="I3482" s="24" t="str">
        <f>IFERROR(__xludf.DUMMYFUNCTION("""COMPUTED_VALUE"""),"First Fruits Farm")</f>
        <v>First Fruits Farm</v>
      </c>
    </row>
    <row r="3483">
      <c r="A3483" s="23">
        <f>IFERROR(__xludf.DUMMYFUNCTION("""COMPUTED_VALUE"""),44839.0)</f>
        <v>44839</v>
      </c>
      <c r="B3483" s="24" t="str">
        <f>IFERROR(__xludf.DUMMYFUNCTION("""COMPUTED_VALUE"""),"Denise Rivers")</f>
        <v>Denise Rivers</v>
      </c>
      <c r="C3483" s="24">
        <f>IFERROR(__xludf.DUMMYFUNCTION("""COMPUTED_VALUE"""),12.0)</f>
        <v>12</v>
      </c>
      <c r="D3483" s="24" t="str">
        <f>IFERROR(__xludf.DUMMYFUNCTION("""COMPUTED_VALUE"""),"Damage/expired/extra")</f>
        <v>Damage/expired/extra</v>
      </c>
      <c r="F3483" s="23">
        <f>IFERROR(__xludf.DUMMYFUNCTION("""COMPUTED_VALUE"""),44874.64472233796)</f>
        <v>44874.64472</v>
      </c>
      <c r="G3483" s="24" t="str">
        <f>IFERROR(__xludf.DUMMYFUNCTION("""COMPUTED_VALUE"""),"Juanita Chandler ")</f>
        <v>Juanita Chandler </v>
      </c>
      <c r="H3483" s="24">
        <f>IFERROR(__xludf.DUMMYFUNCTION("""COMPUTED_VALUE"""),533.0)</f>
        <v>533</v>
      </c>
      <c r="I3483" s="24" t="str">
        <f>IFERROR(__xludf.DUMMYFUNCTION("""COMPUTED_VALUE"""),"First Fruits Farm")</f>
        <v>First Fruits Farm</v>
      </c>
    </row>
    <row r="3484">
      <c r="A3484" s="23">
        <f>IFERROR(__xludf.DUMMYFUNCTION("""COMPUTED_VALUE"""),44839.84382106482)</f>
        <v>44839.84382</v>
      </c>
      <c r="B3484" s="24" t="str">
        <f>IFERROR(__xludf.DUMMYFUNCTION("""COMPUTED_VALUE"""),"Connor Gephart")</f>
        <v>Connor Gephart</v>
      </c>
      <c r="C3484" s="24">
        <f>IFERROR(__xludf.DUMMYFUNCTION("""COMPUTED_VALUE"""),14.0)</f>
        <v>14</v>
      </c>
      <c r="D3484" s="24" t="str">
        <f>IFERROR(__xludf.DUMMYFUNCTION("""COMPUTED_VALUE"""),"Regular (up to 20lbs)")</f>
        <v>Regular (up to 20lbs)</v>
      </c>
      <c r="F3484" s="23">
        <f>IFERROR(__xludf.DUMMYFUNCTION("""COMPUTED_VALUE"""),44874.64651)</f>
        <v>44874.64651</v>
      </c>
      <c r="G3484" s="24" t="str">
        <f>IFERROR(__xludf.DUMMYFUNCTION("""COMPUTED_VALUE"""),"Juanita Chandler ")</f>
        <v>Juanita Chandler </v>
      </c>
      <c r="H3484" s="24">
        <f>IFERROR(__xludf.DUMMYFUNCTION("""COMPUTED_VALUE"""),806.0)</f>
        <v>806</v>
      </c>
      <c r="I3484" s="24" t="str">
        <f>IFERROR(__xludf.DUMMYFUNCTION("""COMPUTED_VALUE"""),"Produce")</f>
        <v>Produce</v>
      </c>
    </row>
    <row r="3485">
      <c r="A3485" s="23">
        <f>IFERROR(__xludf.DUMMYFUNCTION("""COMPUTED_VALUE"""),44839.85150824074)</f>
        <v>44839.85151</v>
      </c>
      <c r="B3485" s="24" t="str">
        <f>IFERROR(__xludf.DUMMYFUNCTION("""COMPUTED_VALUE"""),"Maddie ")</f>
        <v>Maddie </v>
      </c>
      <c r="C3485" s="24">
        <f>IFERROR(__xludf.DUMMYFUNCTION("""COMPUTED_VALUE"""),16.0)</f>
        <v>16</v>
      </c>
      <c r="D3485" s="24" t="str">
        <f>IFERROR(__xludf.DUMMYFUNCTION("""COMPUTED_VALUE"""),"Regular (up to 20lbs)")</f>
        <v>Regular (up to 20lbs)</v>
      </c>
      <c r="F3485" s="23">
        <f>IFERROR(__xludf.DUMMYFUNCTION("""COMPUTED_VALUE"""),44874.64720707176)</f>
        <v>44874.64721</v>
      </c>
      <c r="G3485" s="24" t="str">
        <f>IFERROR(__xludf.DUMMYFUNCTION("""COMPUTED_VALUE"""),"Juanita Chandler ")</f>
        <v>Juanita Chandler </v>
      </c>
      <c r="H3485" s="24">
        <f>IFERROR(__xludf.DUMMYFUNCTION("""COMPUTED_VALUE"""),1465.0)</f>
        <v>1465</v>
      </c>
      <c r="I3485" s="24" t="str">
        <f>IFERROR(__xludf.DUMMYFUNCTION("""COMPUTED_VALUE"""),"Produce")</f>
        <v>Produce</v>
      </c>
    </row>
    <row r="3486">
      <c r="A3486" s="23">
        <f>IFERROR(__xludf.DUMMYFUNCTION("""COMPUTED_VALUE"""),44839.85227783565)</f>
        <v>44839.85228</v>
      </c>
      <c r="B3486" s="24" t="str">
        <f>IFERROR(__xludf.DUMMYFUNCTION("""COMPUTED_VALUE"""),"Lynnette ")</f>
        <v>Lynnette </v>
      </c>
      <c r="C3486" s="24">
        <f>IFERROR(__xludf.DUMMYFUNCTION("""COMPUTED_VALUE"""),7.0)</f>
        <v>7</v>
      </c>
      <c r="D3486" s="24" t="str">
        <f>IFERROR(__xludf.DUMMYFUNCTION("""COMPUTED_VALUE"""),"Damage/expired/extra")</f>
        <v>Damage/expired/extra</v>
      </c>
      <c r="F3486" s="23">
        <f>IFERROR(__xludf.DUMMYFUNCTION("""COMPUTED_VALUE"""),44874.64806547454)</f>
        <v>44874.64807</v>
      </c>
      <c r="G3486" s="24" t="str">
        <f>IFERROR(__xludf.DUMMYFUNCTION("""COMPUTED_VALUE"""),"Juanita Chandler ")</f>
        <v>Juanita Chandler </v>
      </c>
      <c r="H3486" s="24">
        <f>IFERROR(__xludf.DUMMYFUNCTION("""COMPUTED_VALUE"""),1039.0)</f>
        <v>1039</v>
      </c>
      <c r="I3486" s="24" t="str">
        <f>IFERROR(__xludf.DUMMYFUNCTION("""COMPUTED_VALUE"""),"Dole Fruit Cup")</f>
        <v>Dole Fruit Cup</v>
      </c>
    </row>
    <row r="3487">
      <c r="A3487" s="23">
        <f>IFERROR(__xludf.DUMMYFUNCTION("""COMPUTED_VALUE"""),44839.85495796296)</f>
        <v>44839.85496</v>
      </c>
      <c r="B3487" s="24" t="str">
        <f>IFERROR(__xludf.DUMMYFUNCTION("""COMPUTED_VALUE"""),"Luke mayhew")</f>
        <v>Luke mayhew</v>
      </c>
      <c r="C3487" s="24">
        <f>IFERROR(__xludf.DUMMYFUNCTION("""COMPUTED_VALUE"""),20.0)</f>
        <v>20</v>
      </c>
      <c r="D3487" s="24" t="str">
        <f>IFERROR(__xludf.DUMMYFUNCTION("""COMPUTED_VALUE"""),"Regular (up to 20lbs)")</f>
        <v>Regular (up to 20lbs)</v>
      </c>
      <c r="F3487" s="23">
        <f>IFERROR(__xludf.DUMMYFUNCTION("""COMPUTED_VALUE"""),44874.648849108795)</f>
        <v>44874.64885</v>
      </c>
      <c r="G3487" s="24" t="str">
        <f>IFERROR(__xludf.DUMMYFUNCTION("""COMPUTED_VALUE"""),"Juanita Chandler ")</f>
        <v>Juanita Chandler </v>
      </c>
      <c r="H3487" s="24">
        <f>IFERROR(__xludf.DUMMYFUNCTION("""COMPUTED_VALUE"""),1134.0)</f>
        <v>1134</v>
      </c>
      <c r="I3487" s="24" t="str">
        <f>IFERROR(__xludf.DUMMYFUNCTION("""COMPUTED_VALUE"""),"Dole Fruit Cup ")</f>
        <v>Dole Fruit Cup </v>
      </c>
    </row>
    <row r="3488">
      <c r="A3488" s="23">
        <f>IFERROR(__xludf.DUMMYFUNCTION("""COMPUTED_VALUE"""),44839.85531331019)</f>
        <v>44839.85531</v>
      </c>
      <c r="B3488" s="24" t="str">
        <f>IFERROR(__xludf.DUMMYFUNCTION("""COMPUTED_VALUE"""),"Luke mayhew ")</f>
        <v>Luke mayhew </v>
      </c>
      <c r="C3488" s="24">
        <f>IFERROR(__xludf.DUMMYFUNCTION("""COMPUTED_VALUE"""),28.0)</f>
        <v>28</v>
      </c>
      <c r="D3488" s="24" t="str">
        <f>IFERROR(__xludf.DUMMYFUNCTION("""COMPUTED_VALUE"""),"Damage/expired/extra")</f>
        <v>Damage/expired/extra</v>
      </c>
      <c r="F3488" s="23">
        <f>IFERROR(__xludf.DUMMYFUNCTION("""COMPUTED_VALUE"""),44874.64945111111)</f>
        <v>44874.64945</v>
      </c>
      <c r="G3488" s="24" t="str">
        <f>IFERROR(__xludf.DUMMYFUNCTION("""COMPUTED_VALUE"""),"Juanita Chandler ")</f>
        <v>Juanita Chandler </v>
      </c>
      <c r="H3488" s="24">
        <f>IFERROR(__xludf.DUMMYFUNCTION("""COMPUTED_VALUE"""),1208.0)</f>
        <v>1208</v>
      </c>
      <c r="I3488" s="24" t="str">
        <f>IFERROR(__xludf.DUMMYFUNCTION("""COMPUTED_VALUE"""),"Hand sanitizer ")</f>
        <v>Hand sanitizer </v>
      </c>
    </row>
    <row r="3489">
      <c r="A3489" s="23">
        <f>IFERROR(__xludf.DUMMYFUNCTION("""COMPUTED_VALUE"""),44840.586791932874)</f>
        <v>44840.58679</v>
      </c>
      <c r="B3489" s="24" t="str">
        <f>IFERROR(__xludf.DUMMYFUNCTION("""COMPUTED_VALUE"""),"Theresa Keil")</f>
        <v>Theresa Keil</v>
      </c>
      <c r="C3489" s="24">
        <f>IFERROR(__xludf.DUMMYFUNCTION("""COMPUTED_VALUE"""),33.0)</f>
        <v>33</v>
      </c>
      <c r="D3489" s="24" t="str">
        <f>IFERROR(__xludf.DUMMYFUNCTION("""COMPUTED_VALUE"""),"Regular (up to 20lbs)")</f>
        <v>Regular (up to 20lbs)</v>
      </c>
      <c r="F3489" s="23">
        <f>IFERROR(__xludf.DUMMYFUNCTION("""COMPUTED_VALUE"""),44874.68253017361)</f>
        <v>44874.68253</v>
      </c>
      <c r="G3489" s="24" t="str">
        <f>IFERROR(__xludf.DUMMYFUNCTION("""COMPUTED_VALUE"""),"Dorja ")</f>
        <v>Dorja </v>
      </c>
      <c r="H3489" s="24">
        <f>IFERROR(__xludf.DUMMYFUNCTION("""COMPUTED_VALUE"""),12.0)</f>
        <v>12</v>
      </c>
      <c r="I3489" s="24" t="str">
        <f>IFERROR(__xludf.DUMMYFUNCTION("""COMPUTED_VALUE"""),"Regular (up to 20lbs)")</f>
        <v>Regular (up to 20lbs)</v>
      </c>
    </row>
    <row r="3490">
      <c r="A3490" s="23">
        <f>IFERROR(__xludf.DUMMYFUNCTION("""COMPUTED_VALUE"""),44840.0)</f>
        <v>44840</v>
      </c>
      <c r="B3490" s="24" t="str">
        <f>IFERROR(__xludf.DUMMYFUNCTION("""COMPUTED_VALUE"""),"Barbara Jordan")</f>
        <v>Barbara Jordan</v>
      </c>
      <c r="C3490" s="24">
        <f>IFERROR(__xludf.DUMMYFUNCTION("""COMPUTED_VALUE"""),9.0)</f>
        <v>9</v>
      </c>
      <c r="D3490" s="24" t="str">
        <f>IFERROR(__xludf.DUMMYFUNCTION("""COMPUTED_VALUE"""),"Regular (up to 20lbs)")</f>
        <v>Regular (up to 20lbs)</v>
      </c>
      <c r="F3490" s="23">
        <f>IFERROR(__xludf.DUMMYFUNCTION("""COMPUTED_VALUE"""),44874.70180793981)</f>
        <v>44874.70181</v>
      </c>
      <c r="G3490" s="24" t="str">
        <f>IFERROR(__xludf.DUMMYFUNCTION("""COMPUTED_VALUE"""),"Dorja")</f>
        <v>Dorja</v>
      </c>
      <c r="H3490" s="24">
        <f>IFERROR(__xludf.DUMMYFUNCTION("""COMPUTED_VALUE"""),13.0)</f>
        <v>13</v>
      </c>
      <c r="I3490" s="24" t="str">
        <f>IFERROR(__xludf.DUMMYFUNCTION("""COMPUTED_VALUE"""),"Damage/expired/extra")</f>
        <v>Damage/expired/extra</v>
      </c>
    </row>
    <row r="3491">
      <c r="A3491" s="23">
        <f>IFERROR(__xludf.DUMMYFUNCTION("""COMPUTED_VALUE"""),44840.0)</f>
        <v>44840</v>
      </c>
      <c r="B3491" s="24" t="str">
        <f>IFERROR(__xludf.DUMMYFUNCTION("""COMPUTED_VALUE"""),"Barbara Jordan")</f>
        <v>Barbara Jordan</v>
      </c>
      <c r="C3491" s="24">
        <f>IFERROR(__xludf.DUMMYFUNCTION("""COMPUTED_VALUE"""),3.0)</f>
        <v>3</v>
      </c>
      <c r="D3491" s="24" t="str">
        <f>IFERROR(__xludf.DUMMYFUNCTION("""COMPUTED_VALUE"""),"Damage/expired/extra")</f>
        <v>Damage/expired/extra</v>
      </c>
      <c r="F3491" s="23">
        <f>IFERROR(__xludf.DUMMYFUNCTION("""COMPUTED_VALUE"""),44874.71969844907)</f>
        <v>44874.7197</v>
      </c>
      <c r="G3491" s="24" t="str">
        <f>IFERROR(__xludf.DUMMYFUNCTION("""COMPUTED_VALUE"""),"Dorja ")</f>
        <v>Dorja </v>
      </c>
      <c r="H3491" s="24">
        <f>IFERROR(__xludf.DUMMYFUNCTION("""COMPUTED_VALUE"""),22.0)</f>
        <v>22</v>
      </c>
      <c r="I3491" s="24" t="str">
        <f>IFERROR(__xludf.DUMMYFUNCTION("""COMPUTED_VALUE"""),"Regular (up to 20lbs)")</f>
        <v>Regular (up to 20lbs)</v>
      </c>
    </row>
    <row r="3492">
      <c r="A3492" s="23">
        <f>IFERROR(__xludf.DUMMYFUNCTION("""COMPUTED_VALUE"""),44840.0)</f>
        <v>44840</v>
      </c>
      <c r="B3492" s="24" t="str">
        <f>IFERROR(__xludf.DUMMYFUNCTION("""COMPUTED_VALUE"""),"Bertille Monteil")</f>
        <v>Bertille Monteil</v>
      </c>
      <c r="C3492" s="24">
        <f>IFERROR(__xludf.DUMMYFUNCTION("""COMPUTED_VALUE"""),12.0)</f>
        <v>12</v>
      </c>
      <c r="D3492" s="24" t="str">
        <f>IFERROR(__xludf.DUMMYFUNCTION("""COMPUTED_VALUE"""),"Regular (up to 20lbs)")</f>
        <v>Regular (up to 20lbs)</v>
      </c>
      <c r="F3492" s="23">
        <f>IFERROR(__xludf.DUMMYFUNCTION("""COMPUTED_VALUE"""),44874.847648854164)</f>
        <v>44874.84765</v>
      </c>
      <c r="G3492" s="24" t="str">
        <f>IFERROR(__xludf.DUMMYFUNCTION("""COMPUTED_VALUE"""),"Connor Gephart")</f>
        <v>Connor Gephart</v>
      </c>
      <c r="H3492" s="24">
        <f>IFERROR(__xludf.DUMMYFUNCTION("""COMPUTED_VALUE"""),13.0)</f>
        <v>13</v>
      </c>
      <c r="I3492" s="24" t="str">
        <f>IFERROR(__xludf.DUMMYFUNCTION("""COMPUTED_VALUE"""),"Regular (up to 20lbs)")</f>
        <v>Regular (up to 20lbs)</v>
      </c>
    </row>
    <row r="3493">
      <c r="A3493" s="23">
        <f>IFERROR(__xludf.DUMMYFUNCTION("""COMPUTED_VALUE"""),44840.0)</f>
        <v>44840</v>
      </c>
      <c r="B3493" s="24" t="str">
        <f>IFERROR(__xludf.DUMMYFUNCTION("""COMPUTED_VALUE"""),"Bertille Monteil")</f>
        <v>Bertille Monteil</v>
      </c>
      <c r="C3493" s="24">
        <f>IFERROR(__xludf.DUMMYFUNCTION("""COMPUTED_VALUE"""),6.0)</f>
        <v>6</v>
      </c>
      <c r="D3493" s="24" t="str">
        <f>IFERROR(__xludf.DUMMYFUNCTION("""COMPUTED_VALUE"""),"Damage/expired/extra")</f>
        <v>Damage/expired/extra</v>
      </c>
      <c r="F3493" s="23">
        <f>IFERROR(__xludf.DUMMYFUNCTION("""COMPUTED_VALUE"""),44874.848311967595)</f>
        <v>44874.84831</v>
      </c>
      <c r="G3493" s="24" t="str">
        <f>IFERROR(__xludf.DUMMYFUNCTION("""COMPUTED_VALUE"""),"Maddie Pardes")</f>
        <v>Maddie Pardes</v>
      </c>
      <c r="H3493" s="24">
        <f>IFERROR(__xludf.DUMMYFUNCTION("""COMPUTED_VALUE"""),14.0)</f>
        <v>14</v>
      </c>
      <c r="I3493" s="24" t="str">
        <f>IFERROR(__xludf.DUMMYFUNCTION("""COMPUTED_VALUE"""),"Regular (up to 20lbs)")</f>
        <v>Regular (up to 20lbs)</v>
      </c>
    </row>
    <row r="3494">
      <c r="A3494" s="23">
        <f>IFERROR(__xludf.DUMMYFUNCTION("""COMPUTED_VALUE"""),44840.0)</f>
        <v>44840</v>
      </c>
      <c r="B3494" s="24" t="str">
        <f>IFERROR(__xludf.DUMMYFUNCTION("""COMPUTED_VALUE"""),"Hong Xue")</f>
        <v>Hong Xue</v>
      </c>
      <c r="C3494" s="24">
        <f>IFERROR(__xludf.DUMMYFUNCTION("""COMPUTED_VALUE"""),20.0)</f>
        <v>20</v>
      </c>
      <c r="D3494" s="24" t="str">
        <f>IFERROR(__xludf.DUMMYFUNCTION("""COMPUTED_VALUE"""),"Regular (up to 20lbs)")</f>
        <v>Regular (up to 20lbs)</v>
      </c>
      <c r="F3494" s="23">
        <f>IFERROR(__xludf.DUMMYFUNCTION("""COMPUTED_VALUE"""),44875.0)</f>
        <v>44875</v>
      </c>
      <c r="G3494" s="24" t="str">
        <f>IFERROR(__xludf.DUMMYFUNCTION("""COMPUTED_VALUE"""),"Barbara Jordan")</f>
        <v>Barbara Jordan</v>
      </c>
      <c r="H3494" s="24">
        <f>IFERROR(__xludf.DUMMYFUNCTION("""COMPUTED_VALUE"""),12.0)</f>
        <v>12</v>
      </c>
      <c r="I3494" s="24" t="str">
        <f>IFERROR(__xludf.DUMMYFUNCTION("""COMPUTED_VALUE"""),"Regular (up to 20lbs)")</f>
        <v>Regular (up to 20lbs)</v>
      </c>
    </row>
    <row r="3495">
      <c r="A3495" s="23">
        <f>IFERROR(__xludf.DUMMYFUNCTION("""COMPUTED_VALUE"""),44840.0)</f>
        <v>44840</v>
      </c>
      <c r="B3495" s="24" t="str">
        <f>IFERROR(__xludf.DUMMYFUNCTION("""COMPUTED_VALUE"""),"Hong Xue")</f>
        <v>Hong Xue</v>
      </c>
      <c r="C3495" s="24">
        <f>IFERROR(__xludf.DUMMYFUNCTION("""COMPUTED_VALUE"""),18.0)</f>
        <v>18</v>
      </c>
      <c r="D3495" s="24" t="str">
        <f>IFERROR(__xludf.DUMMYFUNCTION("""COMPUTED_VALUE"""),"Damage/expired/extra")</f>
        <v>Damage/expired/extra</v>
      </c>
      <c r="F3495" s="23">
        <f>IFERROR(__xludf.DUMMYFUNCTION("""COMPUTED_VALUE"""),44875.0)</f>
        <v>44875</v>
      </c>
      <c r="G3495" s="24" t="str">
        <f>IFERROR(__xludf.DUMMYFUNCTION("""COMPUTED_VALUE"""),"Barbara Jordan")</f>
        <v>Barbara Jordan</v>
      </c>
      <c r="H3495" s="24">
        <f>IFERROR(__xludf.DUMMYFUNCTION("""COMPUTED_VALUE"""),4.0)</f>
        <v>4</v>
      </c>
      <c r="I3495" s="24" t="str">
        <f>IFERROR(__xludf.DUMMYFUNCTION("""COMPUTED_VALUE"""),"Damage/expired/extra")</f>
        <v>Damage/expired/extra</v>
      </c>
    </row>
    <row r="3496">
      <c r="A3496" s="23">
        <f>IFERROR(__xludf.DUMMYFUNCTION("""COMPUTED_VALUE"""),44840.0)</f>
        <v>44840</v>
      </c>
      <c r="B3496" s="24" t="str">
        <f>IFERROR(__xludf.DUMMYFUNCTION("""COMPUTED_VALUE"""),"Raquel Bailey")</f>
        <v>Raquel Bailey</v>
      </c>
      <c r="C3496" s="24">
        <f>IFERROR(__xludf.DUMMYFUNCTION("""COMPUTED_VALUE"""),20.0)</f>
        <v>20</v>
      </c>
      <c r="D3496" s="24" t="str">
        <f>IFERROR(__xludf.DUMMYFUNCTION("""COMPUTED_VALUE"""),"Regular (up to 20lbs)")</f>
        <v>Regular (up to 20lbs)</v>
      </c>
      <c r="F3496" s="23">
        <f>IFERROR(__xludf.DUMMYFUNCTION("""COMPUTED_VALUE"""),44875.0)</f>
        <v>44875</v>
      </c>
      <c r="G3496" s="24" t="str">
        <f>IFERROR(__xludf.DUMMYFUNCTION("""COMPUTED_VALUE"""),"Hong Xue")</f>
        <v>Hong Xue</v>
      </c>
      <c r="H3496" s="24">
        <f>IFERROR(__xludf.DUMMYFUNCTION("""COMPUTED_VALUE"""),20.0)</f>
        <v>20</v>
      </c>
      <c r="I3496" s="24" t="str">
        <f>IFERROR(__xludf.DUMMYFUNCTION("""COMPUTED_VALUE"""),"Regular (up to 20lbs)")</f>
        <v>Regular (up to 20lbs)</v>
      </c>
    </row>
    <row r="3497">
      <c r="A3497" s="23">
        <f>IFERROR(__xludf.DUMMYFUNCTION("""COMPUTED_VALUE"""),44840.70639829861)</f>
        <v>44840.7064</v>
      </c>
      <c r="B3497" s="24" t="str">
        <f>IFERROR(__xludf.DUMMYFUNCTION("""COMPUTED_VALUE"""),"Jean")</f>
        <v>Jean</v>
      </c>
      <c r="C3497" s="24">
        <f>IFERROR(__xludf.DUMMYFUNCTION("""COMPUTED_VALUE"""),23.0)</f>
        <v>23</v>
      </c>
      <c r="D3497" s="24" t="str">
        <f>IFERROR(__xludf.DUMMYFUNCTION("""COMPUTED_VALUE"""),"Regular (up to 20lbs)")</f>
        <v>Regular (up to 20lbs)</v>
      </c>
      <c r="F3497" s="23">
        <f>IFERROR(__xludf.DUMMYFUNCTION("""COMPUTED_VALUE"""),44875.0)</f>
        <v>44875</v>
      </c>
      <c r="G3497" s="24" t="str">
        <f>IFERROR(__xludf.DUMMYFUNCTION("""COMPUTED_VALUE"""),"Hong Xue")</f>
        <v>Hong Xue</v>
      </c>
      <c r="H3497" s="24">
        <f>IFERROR(__xludf.DUMMYFUNCTION("""COMPUTED_VALUE"""),5.0)</f>
        <v>5</v>
      </c>
      <c r="I3497" s="24" t="str">
        <f>IFERROR(__xludf.DUMMYFUNCTION("""COMPUTED_VALUE"""),"Damage/expired/extra")</f>
        <v>Damage/expired/extra</v>
      </c>
    </row>
    <row r="3498">
      <c r="A3498" s="23">
        <f>IFERROR(__xludf.DUMMYFUNCTION("""COMPUTED_VALUE"""),44840.712812986116)</f>
        <v>44840.71281</v>
      </c>
      <c r="B3498" s="24" t="str">
        <f>IFERROR(__xludf.DUMMYFUNCTION("""COMPUTED_VALUE"""),"Norma")</f>
        <v>Norma</v>
      </c>
      <c r="C3498" s="24">
        <f>IFERROR(__xludf.DUMMYFUNCTION("""COMPUTED_VALUE"""),16.0)</f>
        <v>16</v>
      </c>
      <c r="D3498" s="24" t="str">
        <f>IFERROR(__xludf.DUMMYFUNCTION("""COMPUTED_VALUE"""),"Regular (up to 20lbs)")</f>
        <v>Regular (up to 20lbs)</v>
      </c>
      <c r="F3498" s="23">
        <f>IFERROR(__xludf.DUMMYFUNCTION("""COMPUTED_VALUE"""),44875.0)</f>
        <v>44875</v>
      </c>
      <c r="G3498" s="24" t="str">
        <f>IFERROR(__xludf.DUMMYFUNCTION("""COMPUTED_VALUE"""),"Aziza Frank")</f>
        <v>Aziza Frank</v>
      </c>
      <c r="H3498" s="24">
        <f>IFERROR(__xludf.DUMMYFUNCTION("""COMPUTED_VALUE"""),19.0)</f>
        <v>19</v>
      </c>
      <c r="I3498" s="24" t="str">
        <f>IFERROR(__xludf.DUMMYFUNCTION("""COMPUTED_VALUE"""),"Regular (up to 20lbs)")</f>
        <v>Regular (up to 20lbs)</v>
      </c>
    </row>
    <row r="3499">
      <c r="A3499" s="23">
        <f>IFERROR(__xludf.DUMMYFUNCTION("""COMPUTED_VALUE"""),44840.71319231482)</f>
        <v>44840.71319</v>
      </c>
      <c r="B3499" s="24" t="str">
        <f>IFERROR(__xludf.DUMMYFUNCTION("""COMPUTED_VALUE"""),"Norma")</f>
        <v>Norma</v>
      </c>
      <c r="C3499" s="24">
        <f>IFERROR(__xludf.DUMMYFUNCTION("""COMPUTED_VALUE"""),9.0)</f>
        <v>9</v>
      </c>
      <c r="D3499" s="24" t="str">
        <f>IFERROR(__xludf.DUMMYFUNCTION("""COMPUTED_VALUE"""),"Damage/expired/extra")</f>
        <v>Damage/expired/extra</v>
      </c>
      <c r="F3499" s="23">
        <f>IFERROR(__xludf.DUMMYFUNCTION("""COMPUTED_VALUE"""),44875.0)</f>
        <v>44875</v>
      </c>
      <c r="G3499" s="24" t="str">
        <f>IFERROR(__xludf.DUMMYFUNCTION("""COMPUTED_VALUE"""),"Aziza Frank")</f>
        <v>Aziza Frank</v>
      </c>
      <c r="H3499" s="24">
        <f>IFERROR(__xludf.DUMMYFUNCTION("""COMPUTED_VALUE"""),3.0)</f>
        <v>3</v>
      </c>
      <c r="I3499" s="24" t="str">
        <f>IFERROR(__xludf.DUMMYFUNCTION("""COMPUTED_VALUE"""),"Damage/expired/extra")</f>
        <v>Damage/expired/extra</v>
      </c>
    </row>
    <row r="3500">
      <c r="A3500" s="23">
        <f>IFERROR(__xludf.DUMMYFUNCTION("""COMPUTED_VALUE"""),44840.72128752315)</f>
        <v>44840.72129</v>
      </c>
      <c r="B3500" s="24" t="str">
        <f>IFERROR(__xludf.DUMMYFUNCTION("""COMPUTED_VALUE"""),"Norma")</f>
        <v>Norma</v>
      </c>
      <c r="C3500" s="24">
        <f>IFERROR(__xludf.DUMMYFUNCTION("""COMPUTED_VALUE"""),16.0)</f>
        <v>16</v>
      </c>
      <c r="D3500" s="24" t="str">
        <f>IFERROR(__xludf.DUMMYFUNCTION("""COMPUTED_VALUE"""),"Damage/expired/extra")</f>
        <v>Damage/expired/extra</v>
      </c>
      <c r="F3500" s="23">
        <f>IFERROR(__xludf.DUMMYFUNCTION("""COMPUTED_VALUE"""),44875.0)</f>
        <v>44875</v>
      </c>
      <c r="G3500" s="24" t="str">
        <f>IFERROR(__xludf.DUMMYFUNCTION("""COMPUTED_VALUE"""),"Nathaniel McClean")</f>
        <v>Nathaniel McClean</v>
      </c>
      <c r="H3500" s="24">
        <f>IFERROR(__xludf.DUMMYFUNCTION("""COMPUTED_VALUE"""),17.0)</f>
        <v>17</v>
      </c>
      <c r="I3500" s="24" t="str">
        <f>IFERROR(__xludf.DUMMYFUNCTION("""COMPUTED_VALUE"""),"Regular (up to 20lbs)")</f>
        <v>Regular (up to 20lbs)</v>
      </c>
    </row>
    <row r="3501">
      <c r="A3501" s="23">
        <f>IFERROR(__xludf.DUMMYFUNCTION("""COMPUTED_VALUE"""),44840.87479318286)</f>
        <v>44840.87479</v>
      </c>
      <c r="B3501" s="24" t="str">
        <f>IFERROR(__xludf.DUMMYFUNCTION("""COMPUTED_VALUE"""),"adeola sulaiman")</f>
        <v>adeola sulaiman</v>
      </c>
      <c r="C3501" s="24">
        <f>IFERROR(__xludf.DUMMYFUNCTION("""COMPUTED_VALUE"""),20.0)</f>
        <v>20</v>
      </c>
      <c r="D3501" s="24" t="str">
        <f>IFERROR(__xludf.DUMMYFUNCTION("""COMPUTED_VALUE"""),"Regular (up to 20lbs)")</f>
        <v>Regular (up to 20lbs)</v>
      </c>
      <c r="F3501" s="23">
        <f>IFERROR(__xludf.DUMMYFUNCTION("""COMPUTED_VALUE"""),44875.0)</f>
        <v>44875</v>
      </c>
      <c r="G3501" s="24" t="str">
        <f>IFERROR(__xludf.DUMMYFUNCTION("""COMPUTED_VALUE"""),"Nathaniel McClean")</f>
        <v>Nathaniel McClean</v>
      </c>
      <c r="H3501" s="24">
        <f>IFERROR(__xludf.DUMMYFUNCTION("""COMPUTED_VALUE"""),1.0)</f>
        <v>1</v>
      </c>
      <c r="I3501" s="24" t="str">
        <f>IFERROR(__xludf.DUMMYFUNCTION("""COMPUTED_VALUE"""),"Damage/expired/extra")</f>
        <v>Damage/expired/extra</v>
      </c>
    </row>
    <row r="3502">
      <c r="A3502" s="23">
        <f>IFERROR(__xludf.DUMMYFUNCTION("""COMPUTED_VALUE"""),44840.0)</f>
        <v>44840</v>
      </c>
      <c r="B3502" s="24" t="str">
        <f>IFERROR(__xludf.DUMMYFUNCTION("""COMPUTED_VALUE"""),"Obi Nwokoro")</f>
        <v>Obi Nwokoro</v>
      </c>
      <c r="C3502" s="24">
        <f>IFERROR(__xludf.DUMMYFUNCTION("""COMPUTED_VALUE"""),2.0)</f>
        <v>2</v>
      </c>
      <c r="D3502" s="24" t="str">
        <f>IFERROR(__xludf.DUMMYFUNCTION("""COMPUTED_VALUE"""),"Damage/expired/extra")</f>
        <v>Damage/expired/extra</v>
      </c>
      <c r="F3502" s="23">
        <f>IFERROR(__xludf.DUMMYFUNCTION("""COMPUTED_VALUE"""),44875.62494819445)</f>
        <v>44875.62495</v>
      </c>
      <c r="G3502" s="24" t="str">
        <f>IFERROR(__xludf.DUMMYFUNCTION("""COMPUTED_VALUE"""),"Norma")</f>
        <v>Norma</v>
      </c>
      <c r="H3502" s="24">
        <f>IFERROR(__xludf.DUMMYFUNCTION("""COMPUTED_VALUE"""),350.0)</f>
        <v>350</v>
      </c>
      <c r="I3502" s="24" t="str">
        <f>IFERROR(__xludf.DUMMYFUNCTION("""COMPUTED_VALUE"""),"Dole fruit cups")</f>
        <v>Dole fruit cups</v>
      </c>
    </row>
    <row r="3503">
      <c r="A3503" s="23">
        <f>IFERROR(__xludf.DUMMYFUNCTION("""COMPUTED_VALUE"""),44840.87498305555)</f>
        <v>44840.87498</v>
      </c>
      <c r="B3503" s="24" t="str">
        <f>IFERROR(__xludf.DUMMYFUNCTION("""COMPUTED_VALUE"""),"Obi Nwokoro")</f>
        <v>Obi Nwokoro</v>
      </c>
      <c r="C3503" s="24">
        <f>IFERROR(__xludf.DUMMYFUNCTION("""COMPUTED_VALUE"""),19.0)</f>
        <v>19</v>
      </c>
      <c r="D3503" s="24" t="str">
        <f>IFERROR(__xludf.DUMMYFUNCTION("""COMPUTED_VALUE"""),"Regular (up to 20lbs)")</f>
        <v>Regular (up to 20lbs)</v>
      </c>
      <c r="F3503" s="23">
        <f>IFERROR(__xludf.DUMMYFUNCTION("""COMPUTED_VALUE"""),44875.62636206019)</f>
        <v>44875.62636</v>
      </c>
      <c r="G3503" s="24" t="str">
        <f>IFERROR(__xludf.DUMMYFUNCTION("""COMPUTED_VALUE"""),"Norma")</f>
        <v>Norma</v>
      </c>
      <c r="H3503" s="24">
        <f>IFERROR(__xludf.DUMMYFUNCTION("""COMPUTED_VALUE"""),1021.0)</f>
        <v>1021</v>
      </c>
      <c r="I3503" s="24" t="str">
        <f>IFERROR(__xludf.DUMMYFUNCTION("""COMPUTED_VALUE"""),"Dole fruit cup")</f>
        <v>Dole fruit cup</v>
      </c>
    </row>
    <row r="3504">
      <c r="A3504" s="23">
        <f>IFERROR(__xludf.DUMMYFUNCTION("""COMPUTED_VALUE"""),44841.0)</f>
        <v>44841</v>
      </c>
      <c r="B3504" s="24" t="str">
        <f>IFERROR(__xludf.DUMMYFUNCTION("""COMPUTED_VALUE"""),"Theresa Columbus")</f>
        <v>Theresa Columbus</v>
      </c>
      <c r="C3504" s="24">
        <f>IFERROR(__xludf.DUMMYFUNCTION("""COMPUTED_VALUE"""),14.0)</f>
        <v>14</v>
      </c>
      <c r="D3504" s="24" t="str">
        <f>IFERROR(__xludf.DUMMYFUNCTION("""COMPUTED_VALUE"""),"Regular (up to 20lbs)")</f>
        <v>Regular (up to 20lbs)</v>
      </c>
      <c r="F3504" s="23">
        <f>IFERROR(__xludf.DUMMYFUNCTION("""COMPUTED_VALUE"""),44875.62717482639)</f>
        <v>44875.62717</v>
      </c>
      <c r="G3504" s="24" t="str">
        <f>IFERROR(__xludf.DUMMYFUNCTION("""COMPUTED_VALUE"""),"Norma")</f>
        <v>Norma</v>
      </c>
      <c r="H3504" s="24">
        <f>IFERROR(__xludf.DUMMYFUNCTION("""COMPUTED_VALUE"""),516.0)</f>
        <v>516</v>
      </c>
      <c r="I3504" s="24" t="str">
        <f>IFERROR(__xludf.DUMMYFUNCTION("""COMPUTED_VALUE"""),"Dole fruit cups")</f>
        <v>Dole fruit cups</v>
      </c>
    </row>
    <row r="3505">
      <c r="A3505" s="23">
        <f>IFERROR(__xludf.DUMMYFUNCTION("""COMPUTED_VALUE"""),44841.0)</f>
        <v>44841</v>
      </c>
      <c r="B3505" s="24" t="str">
        <f>IFERROR(__xludf.DUMMYFUNCTION("""COMPUTED_VALUE"""),"Juanita Chandler")</f>
        <v>Juanita Chandler</v>
      </c>
      <c r="C3505" s="24">
        <f>IFERROR(__xludf.DUMMYFUNCTION("""COMPUTED_VALUE"""),8.0)</f>
        <v>8</v>
      </c>
      <c r="D3505" s="24" t="str">
        <f>IFERROR(__xludf.DUMMYFUNCTION("""COMPUTED_VALUE"""),"Damage/expired/extra")</f>
        <v>Damage/expired/extra</v>
      </c>
      <c r="F3505" s="23">
        <f>IFERROR(__xludf.DUMMYFUNCTION("""COMPUTED_VALUE"""),44875.62887910879)</f>
        <v>44875.62888</v>
      </c>
      <c r="G3505" s="24" t="str">
        <f>IFERROR(__xludf.DUMMYFUNCTION("""COMPUTED_VALUE"""),"Norma")</f>
        <v>Norma</v>
      </c>
      <c r="H3505" s="24">
        <f>IFERROR(__xludf.DUMMYFUNCTION("""COMPUTED_VALUE"""),516.0)</f>
        <v>516</v>
      </c>
      <c r="I3505" s="24" t="str">
        <f>IFERROR(__xludf.DUMMYFUNCTION("""COMPUTED_VALUE"""),"Dole fruit cups")</f>
        <v>Dole fruit cups</v>
      </c>
    </row>
    <row r="3506">
      <c r="A3506" s="23">
        <f>IFERROR(__xludf.DUMMYFUNCTION("""COMPUTED_VALUE"""),44841.65973728009)</f>
        <v>44841.65974</v>
      </c>
      <c r="B3506" s="24" t="str">
        <f>IFERROR(__xludf.DUMMYFUNCTION("""COMPUTED_VALUE"""),"Lynmette c")</f>
        <v>Lynmette c</v>
      </c>
      <c r="C3506" s="24">
        <f>IFERROR(__xludf.DUMMYFUNCTION("""COMPUTED_VALUE"""),2.0)</f>
        <v>2</v>
      </c>
      <c r="D3506" s="24" t="str">
        <f>IFERROR(__xludf.DUMMYFUNCTION("""COMPUTED_VALUE"""),"Damage/expired/extra")</f>
        <v>Damage/expired/extra</v>
      </c>
      <c r="F3506" s="23">
        <f>IFERROR(__xludf.DUMMYFUNCTION("""COMPUTED_VALUE"""),44875.62957033565)</f>
        <v>44875.62957</v>
      </c>
      <c r="G3506" s="24" t="str">
        <f>IFERROR(__xludf.DUMMYFUNCTION("""COMPUTED_VALUE"""),"Norma")</f>
        <v>Norma</v>
      </c>
      <c r="H3506" s="24">
        <f>IFERROR(__xludf.DUMMYFUNCTION("""COMPUTED_VALUE"""),192.0)</f>
        <v>192</v>
      </c>
      <c r="I3506" s="24" t="str">
        <f>IFERROR(__xludf.DUMMYFUNCTION("""COMPUTED_VALUE"""),"Dairy")</f>
        <v>Dairy</v>
      </c>
    </row>
    <row r="3507">
      <c r="A3507" s="23">
        <f>IFERROR(__xludf.DUMMYFUNCTION("""COMPUTED_VALUE"""),44841.659977118055)</f>
        <v>44841.65998</v>
      </c>
      <c r="B3507" s="24" t="str">
        <f>IFERROR(__xludf.DUMMYFUNCTION("""COMPUTED_VALUE"""),"Lynnette c")</f>
        <v>Lynnette c</v>
      </c>
      <c r="C3507" s="24">
        <f>IFERROR(__xludf.DUMMYFUNCTION("""COMPUTED_VALUE"""),11.0)</f>
        <v>11</v>
      </c>
      <c r="D3507" s="24" t="str">
        <f>IFERROR(__xludf.DUMMYFUNCTION("""COMPUTED_VALUE"""),"Regular (up to 20lbs)")</f>
        <v>Regular (up to 20lbs)</v>
      </c>
      <c r="F3507" s="23">
        <f>IFERROR(__xludf.DUMMYFUNCTION("""COMPUTED_VALUE"""),44875.63029372685)</f>
        <v>44875.63029</v>
      </c>
      <c r="G3507" s="24" t="str">
        <f>IFERROR(__xludf.DUMMYFUNCTION("""COMPUTED_VALUE"""),"Norma")</f>
        <v>Norma</v>
      </c>
      <c r="H3507" s="24">
        <f>IFERROR(__xludf.DUMMYFUNCTION("""COMPUTED_VALUE"""),104.0)</f>
        <v>104</v>
      </c>
      <c r="I3507" s="24" t="str">
        <f>IFERROR(__xludf.DUMMYFUNCTION("""COMPUTED_VALUE"""),"Snacks")</f>
        <v>Snacks</v>
      </c>
    </row>
    <row r="3508">
      <c r="A3508" s="23">
        <f>IFERROR(__xludf.DUMMYFUNCTION("""COMPUTED_VALUE"""),44841.69913600695)</f>
        <v>44841.69914</v>
      </c>
      <c r="B3508" s="24" t="str">
        <f>IFERROR(__xludf.DUMMYFUNCTION("""COMPUTED_VALUE"""),"Beth Torres")</f>
        <v>Beth Torres</v>
      </c>
      <c r="C3508" s="24">
        <f>IFERROR(__xludf.DUMMYFUNCTION("""COMPUTED_VALUE"""),12.0)</f>
        <v>12</v>
      </c>
      <c r="D3508" s="24" t="str">
        <f>IFERROR(__xludf.DUMMYFUNCTION("""COMPUTED_VALUE"""),"Regular (up to 20lbs)")</f>
        <v>Regular (up to 20lbs)</v>
      </c>
      <c r="F3508" s="23">
        <f>IFERROR(__xludf.DUMMYFUNCTION("""COMPUTED_VALUE"""),44875.63093737269)</f>
        <v>44875.63094</v>
      </c>
      <c r="G3508" s="24" t="str">
        <f>IFERROR(__xludf.DUMMYFUNCTION("""COMPUTED_VALUE"""),"Norma")</f>
        <v>Norma</v>
      </c>
      <c r="H3508" s="24">
        <f>IFERROR(__xludf.DUMMYFUNCTION("""COMPUTED_VALUE"""),1057.0)</f>
        <v>1057</v>
      </c>
      <c r="I3508" s="24" t="str">
        <f>IFERROR(__xludf.DUMMYFUNCTION("""COMPUTED_VALUE"""),"Produce")</f>
        <v>Produce</v>
      </c>
    </row>
    <row r="3509">
      <c r="A3509" s="23">
        <f>IFERROR(__xludf.DUMMYFUNCTION("""COMPUTED_VALUE"""),44841.69929885417)</f>
        <v>44841.6993</v>
      </c>
      <c r="B3509" s="24" t="str">
        <f>IFERROR(__xludf.DUMMYFUNCTION("""COMPUTED_VALUE"""),"Beth Torres")</f>
        <v>Beth Torres</v>
      </c>
      <c r="C3509" s="24">
        <f>IFERROR(__xludf.DUMMYFUNCTION("""COMPUTED_VALUE"""),7.0)</f>
        <v>7</v>
      </c>
      <c r="D3509" s="24" t="str">
        <f>IFERROR(__xludf.DUMMYFUNCTION("""COMPUTED_VALUE"""),"Damage/expired/extra")</f>
        <v>Damage/expired/extra</v>
      </c>
      <c r="F3509" s="23">
        <f>IFERROR(__xludf.DUMMYFUNCTION("""COMPUTED_VALUE"""),44875.631509074075)</f>
        <v>44875.63151</v>
      </c>
      <c r="G3509" s="24" t="str">
        <f>IFERROR(__xludf.DUMMYFUNCTION("""COMPUTED_VALUE"""),"Norma")</f>
        <v>Norma</v>
      </c>
      <c r="H3509" s="24">
        <f>IFERROR(__xludf.DUMMYFUNCTION("""COMPUTED_VALUE"""),190.0)</f>
        <v>190</v>
      </c>
      <c r="I3509" s="24" t="str">
        <f>IFERROR(__xludf.DUMMYFUNCTION("""COMPUTED_VALUE"""),"Dairy")</f>
        <v>Dairy</v>
      </c>
    </row>
    <row r="3510">
      <c r="A3510" s="23">
        <f>IFERROR(__xludf.DUMMYFUNCTION("""COMPUTED_VALUE"""),44841.70566290509)</f>
        <v>44841.70566</v>
      </c>
      <c r="B3510" s="24" t="str">
        <f>IFERROR(__xludf.DUMMYFUNCTION("""COMPUTED_VALUE"""),"Dorja ")</f>
        <v>Dorja </v>
      </c>
      <c r="C3510" s="24">
        <f>IFERROR(__xludf.DUMMYFUNCTION("""COMPUTED_VALUE"""),17.0)</f>
        <v>17</v>
      </c>
      <c r="D3510" s="24" t="str">
        <f>IFERROR(__xludf.DUMMYFUNCTION("""COMPUTED_VALUE"""),"Regular (up to 20lbs)")</f>
        <v>Regular (up to 20lbs)</v>
      </c>
      <c r="F3510" s="23">
        <f>IFERROR(__xludf.DUMMYFUNCTION("""COMPUTED_VALUE"""),44875.632074189816)</f>
        <v>44875.63207</v>
      </c>
      <c r="G3510" s="24" t="str">
        <f>IFERROR(__xludf.DUMMYFUNCTION("""COMPUTED_VALUE"""),"Norma")</f>
        <v>Norma</v>
      </c>
      <c r="H3510" s="24">
        <f>IFERROR(__xludf.DUMMYFUNCTION("""COMPUTED_VALUE"""),1109.0)</f>
        <v>1109</v>
      </c>
      <c r="I3510" s="24" t="str">
        <f>IFERROR(__xludf.DUMMYFUNCTION("""COMPUTED_VALUE"""),"Produce")</f>
        <v>Produce</v>
      </c>
    </row>
    <row r="3511">
      <c r="A3511" s="23">
        <f>IFERROR(__xludf.DUMMYFUNCTION("""COMPUTED_VALUE"""),44841.70610133102)</f>
        <v>44841.7061</v>
      </c>
      <c r="B3511" s="24" t="str">
        <f>IFERROR(__xludf.DUMMYFUNCTION("""COMPUTED_VALUE"""),"Dorja")</f>
        <v>Dorja</v>
      </c>
      <c r="C3511" s="24">
        <f>IFERROR(__xludf.DUMMYFUNCTION("""COMPUTED_VALUE"""),18.0)</f>
        <v>18</v>
      </c>
      <c r="D3511" s="24" t="str">
        <f>IFERROR(__xludf.DUMMYFUNCTION("""COMPUTED_VALUE"""),"Damage/expired/extra")</f>
        <v>Damage/expired/extra</v>
      </c>
      <c r="F3511" s="23">
        <f>IFERROR(__xludf.DUMMYFUNCTION("""COMPUTED_VALUE"""),44875.63262297454)</f>
        <v>44875.63262</v>
      </c>
      <c r="G3511" s="24" t="str">
        <f>IFERROR(__xludf.DUMMYFUNCTION("""COMPUTED_VALUE"""),"Norma")</f>
        <v>Norma</v>
      </c>
      <c r="H3511" s="24">
        <f>IFERROR(__xludf.DUMMYFUNCTION("""COMPUTED_VALUE"""),75.0)</f>
        <v>75</v>
      </c>
      <c r="I3511" s="24" t="str">
        <f>IFERROR(__xludf.DUMMYFUNCTION("""COMPUTED_VALUE"""),"Snacks")</f>
        <v>Snacks</v>
      </c>
    </row>
    <row r="3512">
      <c r="A3512" s="23">
        <f>IFERROR(__xludf.DUMMYFUNCTION("""COMPUTED_VALUE"""),44842.0)</f>
        <v>44842</v>
      </c>
      <c r="B3512" s="24" t="str">
        <f>IFERROR(__xludf.DUMMYFUNCTION("""COMPUTED_VALUE"""),"Perry")</f>
        <v>Perry</v>
      </c>
      <c r="C3512" s="24">
        <f>IFERROR(__xludf.DUMMYFUNCTION("""COMPUTED_VALUE"""),37.0)</f>
        <v>37</v>
      </c>
      <c r="D3512" s="24" t="str">
        <f>IFERROR(__xludf.DUMMYFUNCTION("""COMPUTED_VALUE"""),"Damage/expired/extra")</f>
        <v>Damage/expired/extra</v>
      </c>
      <c r="F3512" s="23">
        <f>IFERROR(__xludf.DUMMYFUNCTION("""COMPUTED_VALUE"""),44875.63337539352)</f>
        <v>44875.63338</v>
      </c>
      <c r="G3512" s="24" t="str">
        <f>IFERROR(__xludf.DUMMYFUNCTION("""COMPUTED_VALUE"""),"Norma")</f>
        <v>Norma</v>
      </c>
      <c r="H3512" s="24">
        <f>IFERROR(__xludf.DUMMYFUNCTION("""COMPUTED_VALUE"""),345.0)</f>
        <v>345</v>
      </c>
      <c r="I3512" s="24" t="str">
        <f>IFERROR(__xludf.DUMMYFUNCTION("""COMPUTED_VALUE"""),"Dole fruit cups")</f>
        <v>Dole fruit cups</v>
      </c>
    </row>
    <row r="3513">
      <c r="A3513" s="23">
        <f>IFERROR(__xludf.DUMMYFUNCTION("""COMPUTED_VALUE"""),44842.0)</f>
        <v>44842</v>
      </c>
      <c r="B3513" s="24" t="str">
        <f>IFERROR(__xludf.DUMMYFUNCTION("""COMPUTED_VALUE"""),"Janet Lomax")</f>
        <v>Janet Lomax</v>
      </c>
      <c r="C3513" s="24">
        <f>IFERROR(__xludf.DUMMYFUNCTION("""COMPUTED_VALUE"""),20.0)</f>
        <v>20</v>
      </c>
      <c r="D3513" s="24" t="str">
        <f>IFERROR(__xludf.DUMMYFUNCTION("""COMPUTED_VALUE"""),"Regular (up to 20lbs)")</f>
        <v>Regular (up to 20lbs)</v>
      </c>
      <c r="F3513" s="23">
        <f>IFERROR(__xludf.DUMMYFUNCTION("""COMPUTED_VALUE"""),44875.634049236105)</f>
        <v>44875.63405</v>
      </c>
      <c r="G3513" s="24" t="str">
        <f>IFERROR(__xludf.DUMMYFUNCTION("""COMPUTED_VALUE"""),"Norma")</f>
        <v>Norma</v>
      </c>
      <c r="H3513" s="24">
        <f>IFERROR(__xludf.DUMMYFUNCTION("""COMPUTED_VALUE"""),984.0)</f>
        <v>984</v>
      </c>
      <c r="I3513" s="24" t="str">
        <f>IFERROR(__xludf.DUMMYFUNCTION("""COMPUTED_VALUE"""),"Dole fruit cups")</f>
        <v>Dole fruit cups</v>
      </c>
    </row>
    <row r="3514">
      <c r="A3514" s="23">
        <f>IFERROR(__xludf.DUMMYFUNCTION("""COMPUTED_VALUE"""),44842.0)</f>
        <v>44842</v>
      </c>
      <c r="B3514" s="24" t="str">
        <f>IFERROR(__xludf.DUMMYFUNCTION("""COMPUTED_VALUE"""),"Janet Lomax")</f>
        <v>Janet Lomax</v>
      </c>
      <c r="C3514" s="24">
        <f>IFERROR(__xludf.DUMMYFUNCTION("""COMPUTED_VALUE"""),25.0)</f>
        <v>25</v>
      </c>
      <c r="D3514" s="24" t="str">
        <f>IFERROR(__xludf.DUMMYFUNCTION("""COMPUTED_VALUE"""),"Damage/expired/extra")</f>
        <v>Damage/expired/extra</v>
      </c>
      <c r="F3514" s="23">
        <f>IFERROR(__xludf.DUMMYFUNCTION("""COMPUTED_VALUE"""),44875.63593001157)</f>
        <v>44875.63593</v>
      </c>
      <c r="G3514" s="24" t="str">
        <f>IFERROR(__xludf.DUMMYFUNCTION("""COMPUTED_VALUE"""),"Norma")</f>
        <v>Norma</v>
      </c>
      <c r="H3514" s="24">
        <f>IFERROR(__xludf.DUMMYFUNCTION("""COMPUTED_VALUE"""),1236.0)</f>
        <v>1236</v>
      </c>
      <c r="I3514" s="24" t="str">
        <f>IFERROR(__xludf.DUMMYFUNCTION("""COMPUTED_VALUE"""),"Assorted Dry")</f>
        <v>Assorted Dry</v>
      </c>
    </row>
    <row r="3515">
      <c r="A3515" s="23">
        <f>IFERROR(__xludf.DUMMYFUNCTION("""COMPUTED_VALUE"""),44842.0)</f>
        <v>44842</v>
      </c>
      <c r="B3515" s="24" t="str">
        <f>IFERROR(__xludf.DUMMYFUNCTION("""COMPUTED_VALUE"""),"Juanita Chandler")</f>
        <v>Juanita Chandler</v>
      </c>
      <c r="C3515" s="24">
        <f>IFERROR(__xludf.DUMMYFUNCTION("""COMPUTED_VALUE"""),10.0)</f>
        <v>10</v>
      </c>
      <c r="D3515" s="24" t="str">
        <f>IFERROR(__xludf.DUMMYFUNCTION("""COMPUTED_VALUE"""),"Regular (up to 20lbs)")</f>
        <v>Regular (up to 20lbs)</v>
      </c>
      <c r="F3515" s="23">
        <f>IFERROR(__xludf.DUMMYFUNCTION("""COMPUTED_VALUE"""),44875.6670980787)</f>
        <v>44875.6671</v>
      </c>
      <c r="G3515" s="24" t="str">
        <f>IFERROR(__xludf.DUMMYFUNCTION("""COMPUTED_VALUE"""),"Bertille")</f>
        <v>Bertille</v>
      </c>
      <c r="H3515" s="24">
        <f>IFERROR(__xludf.DUMMYFUNCTION("""COMPUTED_VALUE"""),838.0)</f>
        <v>838</v>
      </c>
      <c r="I3515" s="24" t="str">
        <f>IFERROR(__xludf.DUMMYFUNCTION("""COMPUTED_VALUE"""),"Fruit cups")</f>
        <v>Fruit cups</v>
      </c>
    </row>
    <row r="3516">
      <c r="A3516" s="23">
        <f>IFERROR(__xludf.DUMMYFUNCTION("""COMPUTED_VALUE"""),44842.0)</f>
        <v>44842</v>
      </c>
      <c r="B3516" s="24" t="str">
        <f>IFERROR(__xludf.DUMMYFUNCTION("""COMPUTED_VALUE"""),"Ryan J")</f>
        <v>Ryan J</v>
      </c>
      <c r="C3516" s="24">
        <f>IFERROR(__xludf.DUMMYFUNCTION("""COMPUTED_VALUE"""),2.0)</f>
        <v>2</v>
      </c>
      <c r="D3516" s="24" t="str">
        <f>IFERROR(__xludf.DUMMYFUNCTION("""COMPUTED_VALUE"""),"Regular (up to 20lbs)")</f>
        <v>Regular (up to 20lbs)</v>
      </c>
      <c r="F3516" s="23">
        <f>IFERROR(__xludf.DUMMYFUNCTION("""COMPUTED_VALUE"""),44875.66761820602)</f>
        <v>44875.66762</v>
      </c>
      <c r="G3516" s="24" t="str">
        <f>IFERROR(__xludf.DUMMYFUNCTION("""COMPUTED_VALUE"""),"Bertille")</f>
        <v>Bertille</v>
      </c>
      <c r="H3516" s="24">
        <f>IFERROR(__xludf.DUMMYFUNCTION("""COMPUTED_VALUE"""),1365.0)</f>
        <v>1365</v>
      </c>
      <c r="I3516" s="24" t="str">
        <f>IFERROR(__xludf.DUMMYFUNCTION("""COMPUTED_VALUE"""),"Produce")</f>
        <v>Produce</v>
      </c>
    </row>
    <row r="3517">
      <c r="A3517" s="23">
        <f>IFERROR(__xludf.DUMMYFUNCTION("""COMPUTED_VALUE"""),44842.0)</f>
        <v>44842</v>
      </c>
      <c r="B3517" s="24" t="str">
        <f>IFERROR(__xludf.DUMMYFUNCTION("""COMPUTED_VALUE"""),"Denise Brown")</f>
        <v>Denise Brown</v>
      </c>
      <c r="C3517" s="24">
        <f>IFERROR(__xludf.DUMMYFUNCTION("""COMPUTED_VALUE"""),15.0)</f>
        <v>15</v>
      </c>
      <c r="D3517" s="24" t="str">
        <f>IFERROR(__xludf.DUMMYFUNCTION("""COMPUTED_VALUE"""),"Regular (up to 20lbs)")</f>
        <v>Regular (up to 20lbs)</v>
      </c>
      <c r="F3517" s="23">
        <f>IFERROR(__xludf.DUMMYFUNCTION("""COMPUTED_VALUE"""),44875.66785637732)</f>
        <v>44875.66786</v>
      </c>
      <c r="G3517" s="24" t="str">
        <f>IFERROR(__xludf.DUMMYFUNCTION("""COMPUTED_VALUE"""),"Bertille")</f>
        <v>Bertille</v>
      </c>
      <c r="H3517" s="24">
        <f>IFERROR(__xludf.DUMMYFUNCTION("""COMPUTED_VALUE"""),70.0)</f>
        <v>70</v>
      </c>
      <c r="I3517" s="24" t="str">
        <f>IFERROR(__xludf.DUMMYFUNCTION("""COMPUTED_VALUE"""),"Household")</f>
        <v>Household</v>
      </c>
    </row>
    <row r="3518">
      <c r="A3518" s="23">
        <f>IFERROR(__xludf.DUMMYFUNCTION("""COMPUTED_VALUE"""),44842.0)</f>
        <v>44842</v>
      </c>
      <c r="B3518" s="24" t="str">
        <f>IFERROR(__xludf.DUMMYFUNCTION("""COMPUTED_VALUE"""),"Gilda Castillo")</f>
        <v>Gilda Castillo</v>
      </c>
      <c r="C3518" s="24">
        <f>IFERROR(__xludf.DUMMYFUNCTION("""COMPUTED_VALUE"""),19.0)</f>
        <v>19</v>
      </c>
      <c r="D3518" s="24" t="str">
        <f>IFERROR(__xludf.DUMMYFUNCTION("""COMPUTED_VALUE"""),"Regular (up to 20lbs)")</f>
        <v>Regular (up to 20lbs)</v>
      </c>
      <c r="F3518" s="23">
        <f>IFERROR(__xludf.DUMMYFUNCTION("""COMPUTED_VALUE"""),44875.66829663195)</f>
        <v>44875.6683</v>
      </c>
      <c r="G3518" s="24" t="str">
        <f>IFERROR(__xludf.DUMMYFUNCTION("""COMPUTED_VALUE"""),"Bertille")</f>
        <v>Bertille</v>
      </c>
      <c r="H3518" s="24">
        <f>IFERROR(__xludf.DUMMYFUNCTION("""COMPUTED_VALUE"""),979.0)</f>
        <v>979</v>
      </c>
      <c r="I3518" s="24" t="str">
        <f>IFERROR(__xludf.DUMMYFUNCTION("""COMPUTED_VALUE"""),"Fruit cups")</f>
        <v>Fruit cups</v>
      </c>
    </row>
    <row r="3519">
      <c r="A3519" s="23">
        <f>IFERROR(__xludf.DUMMYFUNCTION("""COMPUTED_VALUE"""),44842.68434994212)</f>
        <v>44842.68435</v>
      </c>
      <c r="B3519" s="24" t="str">
        <f>IFERROR(__xludf.DUMMYFUNCTION("""COMPUTED_VALUE"""),"Anna West")</f>
        <v>Anna West</v>
      </c>
      <c r="C3519" s="24">
        <f>IFERROR(__xludf.DUMMYFUNCTION("""COMPUTED_VALUE"""),20.0)</f>
        <v>20</v>
      </c>
      <c r="D3519" s="24" t="str">
        <f>IFERROR(__xludf.DUMMYFUNCTION("""COMPUTED_VALUE"""),"Regular (up to 20lbs)")</f>
        <v>Regular (up to 20lbs)</v>
      </c>
      <c r="F3519" s="23">
        <f>IFERROR(__xludf.DUMMYFUNCTION("""COMPUTED_VALUE"""),44875.66867511574)</f>
        <v>44875.66868</v>
      </c>
      <c r="G3519" s="24" t="str">
        <f>IFERROR(__xludf.DUMMYFUNCTION("""COMPUTED_VALUE"""),"Bertille")</f>
        <v>Bertille</v>
      </c>
      <c r="H3519" s="24">
        <f>IFERROR(__xludf.DUMMYFUNCTION("""COMPUTED_VALUE"""),1080.0)</f>
        <v>1080</v>
      </c>
      <c r="I3519" s="24" t="str">
        <f>IFERROR(__xludf.DUMMYFUNCTION("""COMPUTED_VALUE"""),"Produce")</f>
        <v>Produce</v>
      </c>
    </row>
    <row r="3520">
      <c r="A3520" s="23">
        <f>IFERROR(__xludf.DUMMYFUNCTION("""COMPUTED_VALUE"""),44842.68493974537)</f>
        <v>44842.68494</v>
      </c>
      <c r="B3520" s="24" t="str">
        <f>IFERROR(__xludf.DUMMYFUNCTION("""COMPUTED_VALUE"""),"Emily Stucke")</f>
        <v>Emily Stucke</v>
      </c>
      <c r="C3520" s="24">
        <f>IFERROR(__xludf.DUMMYFUNCTION("""COMPUTED_VALUE"""),7.0)</f>
        <v>7</v>
      </c>
      <c r="D3520" s="24" t="str">
        <f>IFERROR(__xludf.DUMMYFUNCTION("""COMPUTED_VALUE"""),"Regular (up to 20lbs)")</f>
        <v>Regular (up to 20lbs)</v>
      </c>
      <c r="F3520" s="23">
        <f>IFERROR(__xludf.DUMMYFUNCTION("""COMPUTED_VALUE"""),44875.66896225695)</f>
        <v>44875.66896</v>
      </c>
      <c r="G3520" s="24" t="str">
        <f>IFERROR(__xludf.DUMMYFUNCTION("""COMPUTED_VALUE"""),"Bertille")</f>
        <v>Bertille</v>
      </c>
      <c r="H3520" s="24">
        <f>IFERROR(__xludf.DUMMYFUNCTION("""COMPUTED_VALUE"""),478.0)</f>
        <v>478</v>
      </c>
      <c r="I3520" s="24" t="str">
        <f>IFERROR(__xludf.DUMMYFUNCTION("""COMPUTED_VALUE"""),"Pet Supplies")</f>
        <v>Pet Supplies</v>
      </c>
    </row>
    <row r="3521">
      <c r="A3521" s="23">
        <f>IFERROR(__xludf.DUMMYFUNCTION("""COMPUTED_VALUE"""),44842.688896273154)</f>
        <v>44842.6889</v>
      </c>
      <c r="B3521" s="24" t="str">
        <f>IFERROR(__xludf.DUMMYFUNCTION("""COMPUTED_VALUE"""),"Angeles Cortes")</f>
        <v>Angeles Cortes</v>
      </c>
      <c r="C3521" s="24">
        <f>IFERROR(__xludf.DUMMYFUNCTION("""COMPUTED_VALUE"""),19.0)</f>
        <v>19</v>
      </c>
      <c r="D3521" s="24" t="str">
        <f>IFERROR(__xludf.DUMMYFUNCTION("""COMPUTED_VALUE"""),"Regular (up to 20lbs)")</f>
        <v>Regular (up to 20lbs)</v>
      </c>
      <c r="F3521" s="23">
        <f>IFERROR(__xludf.DUMMYFUNCTION("""COMPUTED_VALUE"""),44875.669210266205)</f>
        <v>44875.66921</v>
      </c>
      <c r="G3521" s="24" t="str">
        <f>IFERROR(__xludf.DUMMYFUNCTION("""COMPUTED_VALUE"""),"Bertille")</f>
        <v>Bertille</v>
      </c>
      <c r="H3521" s="24">
        <f>IFERROR(__xludf.DUMMYFUNCTION("""COMPUTED_VALUE"""),60.0)</f>
        <v>60</v>
      </c>
      <c r="I3521" s="24" t="str">
        <f>IFERROR(__xludf.DUMMYFUNCTION("""COMPUTED_VALUE"""),"Snacks")</f>
        <v>Snacks</v>
      </c>
    </row>
    <row r="3522">
      <c r="A3522" s="23">
        <f>IFERROR(__xludf.DUMMYFUNCTION("""COMPUTED_VALUE"""),44842.69217465277)</f>
        <v>44842.69217</v>
      </c>
      <c r="B3522" s="24" t="str">
        <f>IFERROR(__xludf.DUMMYFUNCTION("""COMPUTED_VALUE"""),"nathan ")</f>
        <v>nathan </v>
      </c>
      <c r="C3522" s="24">
        <f>IFERROR(__xludf.DUMMYFUNCTION("""COMPUTED_VALUE"""),16.0)</f>
        <v>16</v>
      </c>
      <c r="D3522" s="24" t="str">
        <f>IFERROR(__xludf.DUMMYFUNCTION("""COMPUTED_VALUE"""),"Regular (up to 20lbs)")</f>
        <v>Regular (up to 20lbs)</v>
      </c>
      <c r="F3522" s="23">
        <f>IFERROR(__xludf.DUMMYFUNCTION("""COMPUTED_VALUE"""),44875.6866178588)</f>
        <v>44875.68662</v>
      </c>
      <c r="G3522" s="24" t="str">
        <f>IFERROR(__xludf.DUMMYFUNCTION("""COMPUTED_VALUE"""),"Jack bellows")</f>
        <v>Jack bellows</v>
      </c>
      <c r="H3522" s="24">
        <f>IFERROR(__xludf.DUMMYFUNCTION("""COMPUTED_VALUE"""),20.0)</f>
        <v>20</v>
      </c>
      <c r="I3522" s="24" t="str">
        <f>IFERROR(__xludf.DUMMYFUNCTION("""COMPUTED_VALUE"""),"Regular (up to 20lbs)")</f>
        <v>Regular (up to 20lbs)</v>
      </c>
    </row>
    <row r="3523">
      <c r="A3523" s="23">
        <f>IFERROR(__xludf.DUMMYFUNCTION("""COMPUTED_VALUE"""),44842.693841423614)</f>
        <v>44842.69384</v>
      </c>
      <c r="B3523" s="24" t="str">
        <f>IFERROR(__xludf.DUMMYFUNCTION("""COMPUTED_VALUE"""),"Evelyn jiang")</f>
        <v>Evelyn jiang</v>
      </c>
      <c r="C3523" s="24">
        <f>IFERROR(__xludf.DUMMYFUNCTION("""COMPUTED_VALUE"""),17.0)</f>
        <v>17</v>
      </c>
      <c r="D3523" s="24" t="str">
        <f>IFERROR(__xludf.DUMMYFUNCTION("""COMPUTED_VALUE"""),"Regular (up to 20lbs)")</f>
        <v>Regular (up to 20lbs)</v>
      </c>
      <c r="F3523" s="23">
        <f>IFERROR(__xludf.DUMMYFUNCTION("""COMPUTED_VALUE"""),44875.687711157414)</f>
        <v>44875.68771</v>
      </c>
      <c r="G3523" s="24" t="str">
        <f>IFERROR(__xludf.DUMMYFUNCTION("""COMPUTED_VALUE"""),"Nishikar Paruchuri ")</f>
        <v>Nishikar Paruchuri </v>
      </c>
      <c r="H3523" s="24">
        <f>IFERROR(__xludf.DUMMYFUNCTION("""COMPUTED_VALUE"""),5.0)</f>
        <v>5</v>
      </c>
      <c r="I3523" s="24" t="str">
        <f>IFERROR(__xludf.DUMMYFUNCTION("""COMPUTED_VALUE"""),"Regular (up to 20lbs)")</f>
        <v>Regular (up to 20lbs)</v>
      </c>
    </row>
    <row r="3524">
      <c r="A3524" s="23">
        <f>IFERROR(__xludf.DUMMYFUNCTION("""COMPUTED_VALUE"""),44842.69414251157)</f>
        <v>44842.69414</v>
      </c>
      <c r="B3524" s="24" t="str">
        <f>IFERROR(__xludf.DUMMYFUNCTION("""COMPUTED_VALUE"""),"Sara B. ")</f>
        <v>Sara B. </v>
      </c>
      <c r="C3524" s="24">
        <f>IFERROR(__xludf.DUMMYFUNCTION("""COMPUTED_VALUE"""),20.0)</f>
        <v>20</v>
      </c>
      <c r="D3524" s="24" t="str">
        <f>IFERROR(__xludf.DUMMYFUNCTION("""COMPUTED_VALUE"""),"Regular (up to 20lbs)")</f>
        <v>Regular (up to 20lbs)</v>
      </c>
      <c r="F3524" s="23">
        <f>IFERROR(__xludf.DUMMYFUNCTION("""COMPUTED_VALUE"""),44875.68837253472)</f>
        <v>44875.68837</v>
      </c>
      <c r="G3524" s="24" t="str">
        <f>IFERROR(__xludf.DUMMYFUNCTION("""COMPUTED_VALUE"""),"Claire ")</f>
        <v>Claire </v>
      </c>
      <c r="H3524" s="24">
        <f>IFERROR(__xludf.DUMMYFUNCTION("""COMPUTED_VALUE"""),294.0)</f>
        <v>294</v>
      </c>
      <c r="I3524" s="24" t="str">
        <f>IFERROR(__xludf.DUMMYFUNCTION("""COMPUTED_VALUE"""),"Produce")</f>
        <v>Produce</v>
      </c>
    </row>
    <row r="3525">
      <c r="A3525" s="23">
        <f>IFERROR(__xludf.DUMMYFUNCTION("""COMPUTED_VALUE"""),44842.69679135417)</f>
        <v>44842.69679</v>
      </c>
      <c r="B3525" s="24" t="str">
        <f>IFERROR(__xludf.DUMMYFUNCTION("""COMPUTED_VALUE"""),"Dean Chien")</f>
        <v>Dean Chien</v>
      </c>
      <c r="C3525" s="24">
        <f>IFERROR(__xludf.DUMMYFUNCTION("""COMPUTED_VALUE"""),17.0)</f>
        <v>17</v>
      </c>
      <c r="D3525" s="24" t="str">
        <f>IFERROR(__xludf.DUMMYFUNCTION("""COMPUTED_VALUE"""),"Regular (up to 20lbs)")</f>
        <v>Regular (up to 20lbs)</v>
      </c>
      <c r="F3525" s="23">
        <f>IFERROR(__xludf.DUMMYFUNCTION("""COMPUTED_VALUE"""),44875.68932631944)</f>
        <v>44875.68933</v>
      </c>
      <c r="G3525" s="24" t="str">
        <f>IFERROR(__xludf.DUMMYFUNCTION("""COMPUTED_VALUE"""),"Claire")</f>
        <v>Claire</v>
      </c>
      <c r="H3525" s="24">
        <f>IFERROR(__xludf.DUMMYFUNCTION("""COMPUTED_VALUE"""),-333.0)</f>
        <v>-333</v>
      </c>
      <c r="I3525" s="24" t="str">
        <f>IFERROR(__xludf.DUMMYFUNCTION("""COMPUTED_VALUE"""),"Produce")</f>
        <v>Produce</v>
      </c>
    </row>
    <row r="3526">
      <c r="A3526" s="23">
        <f>IFERROR(__xludf.DUMMYFUNCTION("""COMPUTED_VALUE"""),44842.6974028125)</f>
        <v>44842.6974</v>
      </c>
      <c r="B3526" s="24" t="str">
        <f>IFERROR(__xludf.DUMMYFUNCTION("""COMPUTED_VALUE"""),"Beverly Pinn")</f>
        <v>Beverly Pinn</v>
      </c>
      <c r="C3526" s="24">
        <f>IFERROR(__xludf.DUMMYFUNCTION("""COMPUTED_VALUE"""),16.0)</f>
        <v>16</v>
      </c>
      <c r="D3526" s="24" t="str">
        <f>IFERROR(__xludf.DUMMYFUNCTION("""COMPUTED_VALUE"""),"Regular (up to 20lbs)")</f>
        <v>Regular (up to 20lbs)</v>
      </c>
      <c r="F3526" s="23">
        <f>IFERROR(__xludf.DUMMYFUNCTION("""COMPUTED_VALUE"""),44875.68956060185)</f>
        <v>44875.68956</v>
      </c>
      <c r="G3526" s="24" t="str">
        <f>IFERROR(__xludf.DUMMYFUNCTION("""COMPUTED_VALUE"""),"Claire")</f>
        <v>Claire</v>
      </c>
      <c r="H3526" s="24">
        <f>IFERROR(__xludf.DUMMYFUNCTION("""COMPUTED_VALUE"""),-294.0)</f>
        <v>-294</v>
      </c>
      <c r="I3526" s="24" t="str">
        <f>IFERROR(__xludf.DUMMYFUNCTION("""COMPUTED_VALUE"""),"Produce")</f>
        <v>Produce</v>
      </c>
    </row>
    <row r="3527">
      <c r="A3527" s="23">
        <f>IFERROR(__xludf.DUMMYFUNCTION("""COMPUTED_VALUE"""),44842.69755660879)</f>
        <v>44842.69756</v>
      </c>
      <c r="B3527" s="24" t="str">
        <f>IFERROR(__xludf.DUMMYFUNCTION("""COMPUTED_VALUE"""),"Beverly Pinn")</f>
        <v>Beverly Pinn</v>
      </c>
      <c r="C3527" s="24">
        <f>IFERROR(__xludf.DUMMYFUNCTION("""COMPUTED_VALUE"""),45.0)</f>
        <v>45</v>
      </c>
      <c r="D3527" s="24" t="str">
        <f>IFERROR(__xludf.DUMMYFUNCTION("""COMPUTED_VALUE"""),"Damage/expired/extra")</f>
        <v>Damage/expired/extra</v>
      </c>
      <c r="F3527" s="23">
        <f>IFERROR(__xludf.DUMMYFUNCTION("""COMPUTED_VALUE"""),44875.69070283565)</f>
        <v>44875.6907</v>
      </c>
      <c r="G3527" s="24" t="str">
        <f>IFERROR(__xludf.DUMMYFUNCTION("""COMPUTED_VALUE"""),"Bertille")</f>
        <v>Bertille</v>
      </c>
      <c r="H3527" s="24">
        <f>IFERROR(__xludf.DUMMYFUNCTION("""COMPUTED_VALUE"""),15.0)</f>
        <v>15</v>
      </c>
      <c r="I3527" s="24" t="str">
        <f>IFERROR(__xludf.DUMMYFUNCTION("""COMPUTED_VALUE"""),"Regular (up to 20lbs)")</f>
        <v>Regular (up to 20lbs)</v>
      </c>
    </row>
    <row r="3528">
      <c r="A3528" s="23">
        <f>IFERROR(__xludf.DUMMYFUNCTION("""COMPUTED_VALUE"""),44843.668315289346)</f>
        <v>44843.66832</v>
      </c>
      <c r="B3528" s="24" t="str">
        <f>IFERROR(__xludf.DUMMYFUNCTION("""COMPUTED_VALUE"""),"Ladaisha Thompson")</f>
        <v>Ladaisha Thompson</v>
      </c>
      <c r="C3528" s="24">
        <f>IFERROR(__xludf.DUMMYFUNCTION("""COMPUTED_VALUE"""),17.0)</f>
        <v>17</v>
      </c>
      <c r="D3528" s="24" t="str">
        <f>IFERROR(__xludf.DUMMYFUNCTION("""COMPUTED_VALUE"""),"Regular (up to 20lbs)")</f>
        <v>Regular (up to 20lbs)</v>
      </c>
      <c r="F3528" s="23">
        <f>IFERROR(__xludf.DUMMYFUNCTION("""COMPUTED_VALUE"""),44875.69083298611)</f>
        <v>44875.69083</v>
      </c>
      <c r="G3528" s="24" t="str">
        <f>IFERROR(__xludf.DUMMYFUNCTION("""COMPUTED_VALUE"""),"Bertille")</f>
        <v>Bertille</v>
      </c>
      <c r="H3528" s="24">
        <f>IFERROR(__xludf.DUMMYFUNCTION("""COMPUTED_VALUE"""),3.0)</f>
        <v>3</v>
      </c>
      <c r="I3528" s="24" t="str">
        <f>IFERROR(__xludf.DUMMYFUNCTION("""COMPUTED_VALUE"""),"Damage/expired/extra")</f>
        <v>Damage/expired/extra</v>
      </c>
    </row>
    <row r="3529">
      <c r="A3529" s="23">
        <f>IFERROR(__xludf.DUMMYFUNCTION("""COMPUTED_VALUE"""),44843.66841604166)</f>
        <v>44843.66842</v>
      </c>
      <c r="B3529" s="24" t="str">
        <f>IFERROR(__xludf.DUMMYFUNCTION("""COMPUTED_VALUE"""),"Ladaisha Thompson")</f>
        <v>Ladaisha Thompson</v>
      </c>
      <c r="C3529" s="24">
        <f>IFERROR(__xludf.DUMMYFUNCTION("""COMPUTED_VALUE"""),1.0)</f>
        <v>1</v>
      </c>
      <c r="D3529" s="24" t="str">
        <f>IFERROR(__xludf.DUMMYFUNCTION("""COMPUTED_VALUE"""),"Damage/expired/extra")</f>
        <v>Damage/expired/extra</v>
      </c>
      <c r="F3529" s="23">
        <f>IFERROR(__xludf.DUMMYFUNCTION("""COMPUTED_VALUE"""),44875.695896331024)</f>
        <v>44875.6959</v>
      </c>
      <c r="G3529" s="24" t="str">
        <f>IFERROR(__xludf.DUMMYFUNCTION("""COMPUTED_VALUE"""),"Luke mayhew ")</f>
        <v>Luke mayhew </v>
      </c>
      <c r="H3529" s="24">
        <f>IFERROR(__xludf.DUMMYFUNCTION("""COMPUTED_VALUE"""),18.0)</f>
        <v>18</v>
      </c>
      <c r="I3529" s="24" t="str">
        <f>IFERROR(__xludf.DUMMYFUNCTION("""COMPUTED_VALUE"""),"Regular (up to 20lbs)")</f>
        <v>Regular (up to 20lbs)</v>
      </c>
    </row>
    <row r="3530">
      <c r="A3530" s="23">
        <f>IFERROR(__xludf.DUMMYFUNCTION("""COMPUTED_VALUE"""),44843.67509741898)</f>
        <v>44843.6751</v>
      </c>
      <c r="B3530" s="24" t="str">
        <f>IFERROR(__xludf.DUMMYFUNCTION("""COMPUTED_VALUE"""),"Kaneesha ")</f>
        <v>Kaneesha </v>
      </c>
      <c r="C3530" s="24">
        <f>IFERROR(__xludf.DUMMYFUNCTION("""COMPUTED_VALUE"""),20.0)</f>
        <v>20</v>
      </c>
      <c r="D3530" s="24" t="str">
        <f>IFERROR(__xludf.DUMMYFUNCTION("""COMPUTED_VALUE"""),"Regular (up to 20lbs)")</f>
        <v>Regular (up to 20lbs)</v>
      </c>
      <c r="F3530" s="23">
        <f>IFERROR(__xludf.DUMMYFUNCTION("""COMPUTED_VALUE"""),44875.69613040509)</f>
        <v>44875.69613</v>
      </c>
      <c r="G3530" s="24" t="str">
        <f>IFERROR(__xludf.DUMMYFUNCTION("""COMPUTED_VALUE"""),"Luke mayhew ")</f>
        <v>Luke mayhew </v>
      </c>
      <c r="H3530" s="24">
        <f>IFERROR(__xludf.DUMMYFUNCTION("""COMPUTED_VALUE"""),12.0)</f>
        <v>12</v>
      </c>
      <c r="I3530" s="24" t="str">
        <f>IFERROR(__xludf.DUMMYFUNCTION("""COMPUTED_VALUE"""),"Damage/expired/extra")</f>
        <v>Damage/expired/extra</v>
      </c>
    </row>
    <row r="3531">
      <c r="A3531" s="23">
        <f>IFERROR(__xludf.DUMMYFUNCTION("""COMPUTED_VALUE"""),44843.67519707176)</f>
        <v>44843.6752</v>
      </c>
      <c r="B3531" s="24" t="str">
        <f>IFERROR(__xludf.DUMMYFUNCTION("""COMPUTED_VALUE"""),"Dorja ")</f>
        <v>Dorja </v>
      </c>
      <c r="C3531" s="24">
        <f>IFERROR(__xludf.DUMMYFUNCTION("""COMPUTED_VALUE"""),22.0)</f>
        <v>22</v>
      </c>
      <c r="D3531" s="24" t="str">
        <f>IFERROR(__xludf.DUMMYFUNCTION("""COMPUTED_VALUE"""),"Regular (up to 20lbs)")</f>
        <v>Regular (up to 20lbs)</v>
      </c>
      <c r="F3531" s="23">
        <f>IFERROR(__xludf.DUMMYFUNCTION("""COMPUTED_VALUE"""),44875.69660538195)</f>
        <v>44875.69661</v>
      </c>
      <c r="G3531" s="24" t="str">
        <f>IFERROR(__xludf.DUMMYFUNCTION("""COMPUTED_VALUE"""),"Norma")</f>
        <v>Norma</v>
      </c>
      <c r="H3531" s="24">
        <f>IFERROR(__xludf.DUMMYFUNCTION("""COMPUTED_VALUE"""),15.0)</f>
        <v>15</v>
      </c>
      <c r="I3531" s="24" t="str">
        <f>IFERROR(__xludf.DUMMYFUNCTION("""COMPUTED_VALUE"""),"Regular (up to 20lbs)")</f>
        <v>Regular (up to 20lbs)</v>
      </c>
    </row>
    <row r="3532">
      <c r="A3532" s="23">
        <f>IFERROR(__xludf.DUMMYFUNCTION("""COMPUTED_VALUE"""),44843.675284826386)</f>
        <v>44843.67528</v>
      </c>
      <c r="B3532" s="24" t="str">
        <f>IFERROR(__xludf.DUMMYFUNCTION("""COMPUTED_VALUE"""),"Anita Bryant")</f>
        <v>Anita Bryant</v>
      </c>
      <c r="C3532" s="24">
        <f>IFERROR(__xludf.DUMMYFUNCTION("""COMPUTED_VALUE"""),18.0)</f>
        <v>18</v>
      </c>
      <c r="D3532" s="24" t="str">
        <f>IFERROR(__xludf.DUMMYFUNCTION("""COMPUTED_VALUE"""),"Regular (up to 20lbs)")</f>
        <v>Regular (up to 20lbs)</v>
      </c>
      <c r="F3532" s="23">
        <f>IFERROR(__xludf.DUMMYFUNCTION("""COMPUTED_VALUE"""),44875.70222677083)</f>
        <v>44875.70223</v>
      </c>
      <c r="G3532" s="24" t="str">
        <f>IFERROR(__xludf.DUMMYFUNCTION("""COMPUTED_VALUE"""),"Jean")</f>
        <v>Jean</v>
      </c>
      <c r="H3532" s="24">
        <f>IFERROR(__xludf.DUMMYFUNCTION("""COMPUTED_VALUE"""),32.0)</f>
        <v>32</v>
      </c>
      <c r="I3532" s="24" t="str">
        <f>IFERROR(__xludf.DUMMYFUNCTION("""COMPUTED_VALUE"""),"Regular (up to 20lbs)")</f>
        <v>Regular (up to 20lbs)</v>
      </c>
    </row>
    <row r="3533">
      <c r="A3533" s="23">
        <f>IFERROR(__xludf.DUMMYFUNCTION("""COMPUTED_VALUE"""),44843.67533398148)</f>
        <v>44843.67533</v>
      </c>
      <c r="B3533" s="24" t="str">
        <f>IFERROR(__xludf.DUMMYFUNCTION("""COMPUTED_VALUE"""),"Dorja ")</f>
        <v>Dorja </v>
      </c>
      <c r="C3533" s="24">
        <f>IFERROR(__xludf.DUMMYFUNCTION("""COMPUTED_VALUE"""),29.0)</f>
        <v>29</v>
      </c>
      <c r="D3533" s="24" t="str">
        <f>IFERROR(__xludf.DUMMYFUNCTION("""COMPUTED_VALUE"""),"Damage/expired/extra")</f>
        <v>Damage/expired/extra</v>
      </c>
      <c r="F3533" s="23">
        <f>IFERROR(__xludf.DUMMYFUNCTION("""COMPUTED_VALUE"""),44875.70259583333)</f>
        <v>44875.7026</v>
      </c>
      <c r="G3533" s="24" t="str">
        <f>IFERROR(__xludf.DUMMYFUNCTION("""COMPUTED_VALUE"""),"Jean")</f>
        <v>Jean</v>
      </c>
      <c r="H3533" s="24">
        <f>IFERROR(__xludf.DUMMYFUNCTION("""COMPUTED_VALUE"""),4.0)</f>
        <v>4</v>
      </c>
      <c r="I3533" s="24" t="str">
        <f>IFERROR(__xludf.DUMMYFUNCTION("""COMPUTED_VALUE"""),"Damage/expired/extra")</f>
        <v>Damage/expired/extra</v>
      </c>
    </row>
    <row r="3534">
      <c r="A3534" s="23">
        <f>IFERROR(__xludf.DUMMYFUNCTION("""COMPUTED_VALUE"""),44843.675351157406)</f>
        <v>44843.67535</v>
      </c>
      <c r="B3534" s="24" t="str">
        <f>IFERROR(__xludf.DUMMYFUNCTION("""COMPUTED_VALUE"""),"Kaneesha ")</f>
        <v>Kaneesha </v>
      </c>
      <c r="C3534" s="24">
        <f>IFERROR(__xludf.DUMMYFUNCTION("""COMPUTED_VALUE"""),23.0)</f>
        <v>23</v>
      </c>
      <c r="D3534" s="24" t="str">
        <f>IFERROR(__xludf.DUMMYFUNCTION("""COMPUTED_VALUE"""),"Damage/expired/extra")</f>
        <v>Damage/expired/extra</v>
      </c>
      <c r="F3534" s="23">
        <f>IFERROR(__xludf.DUMMYFUNCTION("""COMPUTED_VALUE"""),44875.83506936343)</f>
        <v>44875.83507</v>
      </c>
      <c r="G3534" s="24" t="str">
        <f>IFERROR(__xludf.DUMMYFUNCTION("""COMPUTED_VALUE"""),"Obinna Nwokoro")</f>
        <v>Obinna Nwokoro</v>
      </c>
      <c r="H3534" s="24">
        <f>IFERROR(__xludf.DUMMYFUNCTION("""COMPUTED_VALUE"""),19.0)</f>
        <v>19</v>
      </c>
      <c r="I3534" s="24" t="str">
        <f>IFERROR(__xludf.DUMMYFUNCTION("""COMPUTED_VALUE"""),"Regular (up to 20lbs)")</f>
        <v>Regular (up to 20lbs)</v>
      </c>
    </row>
    <row r="3535">
      <c r="A3535" s="23">
        <f>IFERROR(__xludf.DUMMYFUNCTION("""COMPUTED_VALUE"""),44843.675445381945)</f>
        <v>44843.67545</v>
      </c>
      <c r="B3535" s="24" t="str">
        <f>IFERROR(__xludf.DUMMYFUNCTION("""COMPUTED_VALUE"""),"Anita Bryant")</f>
        <v>Anita Bryant</v>
      </c>
      <c r="C3535" s="24">
        <f>IFERROR(__xludf.DUMMYFUNCTION("""COMPUTED_VALUE"""),15.0)</f>
        <v>15</v>
      </c>
      <c r="D3535" s="24" t="str">
        <f>IFERROR(__xludf.DUMMYFUNCTION("""COMPUTED_VALUE"""),"Damage/expired/extra")</f>
        <v>Damage/expired/extra</v>
      </c>
      <c r="F3535" s="23">
        <f>IFERROR(__xludf.DUMMYFUNCTION("""COMPUTED_VALUE"""),44875.83993986111)</f>
        <v>44875.83994</v>
      </c>
      <c r="G3535" s="24" t="str">
        <f>IFERROR(__xludf.DUMMYFUNCTION("""COMPUTED_VALUE"""),"adeola sulaiman")</f>
        <v>adeola sulaiman</v>
      </c>
      <c r="H3535" s="24">
        <f>IFERROR(__xludf.DUMMYFUNCTION("""COMPUTED_VALUE"""),20.0)</f>
        <v>20</v>
      </c>
      <c r="I3535" s="24" t="str">
        <f>IFERROR(__xludf.DUMMYFUNCTION("""COMPUTED_VALUE"""),"Regular (up to 20lbs)")</f>
        <v>Regular (up to 20lbs)</v>
      </c>
    </row>
    <row r="3536">
      <c r="A3536" s="23">
        <f>IFERROR(__xludf.DUMMYFUNCTION("""COMPUTED_VALUE"""),44843.677802997685)</f>
        <v>44843.6778</v>
      </c>
      <c r="B3536" s="24" t="str">
        <f>IFERROR(__xludf.DUMMYFUNCTION("""COMPUTED_VALUE"""),"Kate Weeks")</f>
        <v>Kate Weeks</v>
      </c>
      <c r="C3536" s="24">
        <f>IFERROR(__xludf.DUMMYFUNCTION("""COMPUTED_VALUE"""),20.0)</f>
        <v>20</v>
      </c>
      <c r="D3536" s="24" t="str">
        <f>IFERROR(__xludf.DUMMYFUNCTION("""COMPUTED_VALUE"""),"Regular (up to 20lbs)")</f>
        <v>Regular (up to 20lbs)</v>
      </c>
      <c r="F3536" s="23">
        <f>IFERROR(__xludf.DUMMYFUNCTION("""COMPUTED_VALUE"""),44876.0)</f>
        <v>44876</v>
      </c>
      <c r="G3536" s="24" t="str">
        <f>IFERROR(__xludf.DUMMYFUNCTION("""COMPUTED_VALUE"""),"Juanita Chandler ")</f>
        <v>Juanita Chandler </v>
      </c>
      <c r="H3536" s="24">
        <f>IFERROR(__xludf.DUMMYFUNCTION("""COMPUTED_VALUE"""),19.0)</f>
        <v>19</v>
      </c>
      <c r="I3536" s="24" t="str">
        <f>IFERROR(__xludf.DUMMYFUNCTION("""COMPUTED_VALUE"""),"Regular (up to 20lbs)")</f>
        <v>Regular (up to 20lbs)</v>
      </c>
    </row>
    <row r="3537">
      <c r="A3537" s="23">
        <f>IFERROR(__xludf.DUMMYFUNCTION("""COMPUTED_VALUE"""),44843.67798925926)</f>
        <v>44843.67799</v>
      </c>
      <c r="B3537" s="24" t="str">
        <f>IFERROR(__xludf.DUMMYFUNCTION("""COMPUTED_VALUE"""),"Kate Weeks")</f>
        <v>Kate Weeks</v>
      </c>
      <c r="C3537" s="24">
        <f>IFERROR(__xludf.DUMMYFUNCTION("""COMPUTED_VALUE"""),25.0)</f>
        <v>25</v>
      </c>
      <c r="D3537" s="24" t="str">
        <f>IFERROR(__xludf.DUMMYFUNCTION("""COMPUTED_VALUE"""),"Damage/expired/extra")</f>
        <v>Damage/expired/extra</v>
      </c>
      <c r="F3537" s="23">
        <f>IFERROR(__xludf.DUMMYFUNCTION("""COMPUTED_VALUE"""),44876.0)</f>
        <v>44876</v>
      </c>
      <c r="G3537" s="24" t="str">
        <f>IFERROR(__xludf.DUMMYFUNCTION("""COMPUTED_VALUE"""),"Juanita Chandler ")</f>
        <v>Juanita Chandler </v>
      </c>
      <c r="H3537" s="24">
        <f>IFERROR(__xludf.DUMMYFUNCTION("""COMPUTED_VALUE"""),12.0)</f>
        <v>12</v>
      </c>
      <c r="I3537" s="24" t="str">
        <f>IFERROR(__xludf.DUMMYFUNCTION("""COMPUTED_VALUE"""),"Damage/expired/extra")</f>
        <v>Damage/expired/extra</v>
      </c>
    </row>
    <row r="3538">
      <c r="A3538" s="23">
        <f>IFERROR(__xludf.DUMMYFUNCTION("""COMPUTED_VALUE"""),44845.0)</f>
        <v>44845</v>
      </c>
      <c r="B3538" s="24" t="str">
        <f>IFERROR(__xludf.DUMMYFUNCTION("""COMPUTED_VALUE"""),"Hong Xue")</f>
        <v>Hong Xue</v>
      </c>
      <c r="C3538" s="24">
        <f>IFERROR(__xludf.DUMMYFUNCTION("""COMPUTED_VALUE"""),19.0)</f>
        <v>19</v>
      </c>
      <c r="D3538" s="24" t="str">
        <f>IFERROR(__xludf.DUMMYFUNCTION("""COMPUTED_VALUE"""),"Regular (up to 20lbs)")</f>
        <v>Regular (up to 20lbs)</v>
      </c>
      <c r="F3538" s="23">
        <f>IFERROR(__xludf.DUMMYFUNCTION("""COMPUTED_VALUE"""),44876.0)</f>
        <v>44876</v>
      </c>
      <c r="G3538" s="24" t="str">
        <f>IFERROR(__xludf.DUMMYFUNCTION("""COMPUTED_VALUE"""),"Theresa Columbus")</f>
        <v>Theresa Columbus</v>
      </c>
      <c r="H3538" s="24">
        <f>IFERROR(__xludf.DUMMYFUNCTION("""COMPUTED_VALUE"""),18.0)</f>
        <v>18</v>
      </c>
      <c r="I3538" s="24" t="str">
        <f>IFERROR(__xludf.DUMMYFUNCTION("""COMPUTED_VALUE"""),"Regular (up to 20lbs)")</f>
        <v>Regular (up to 20lbs)</v>
      </c>
    </row>
    <row r="3539">
      <c r="A3539" s="23">
        <f>IFERROR(__xludf.DUMMYFUNCTION("""COMPUTED_VALUE"""),44845.0)</f>
        <v>44845</v>
      </c>
      <c r="B3539" s="24" t="str">
        <f>IFERROR(__xludf.DUMMYFUNCTION("""COMPUTED_VALUE"""),"Hong Xue")</f>
        <v>Hong Xue</v>
      </c>
      <c r="C3539" s="24">
        <f>IFERROR(__xludf.DUMMYFUNCTION("""COMPUTED_VALUE"""),14.0)</f>
        <v>14</v>
      </c>
      <c r="D3539" s="24" t="str">
        <f>IFERROR(__xludf.DUMMYFUNCTION("""COMPUTED_VALUE"""),"Damage/expired/extra")</f>
        <v>Damage/expired/extra</v>
      </c>
      <c r="F3539" s="23">
        <f>IFERROR(__xludf.DUMMYFUNCTION("""COMPUTED_VALUE"""),44876.0)</f>
        <v>44876</v>
      </c>
      <c r="G3539" s="24" t="str">
        <f>IFERROR(__xludf.DUMMYFUNCTION("""COMPUTED_VALUE"""),"Theresa Columbus")</f>
        <v>Theresa Columbus</v>
      </c>
      <c r="H3539" s="24">
        <f>IFERROR(__xludf.DUMMYFUNCTION("""COMPUTED_VALUE"""),17.0)</f>
        <v>17</v>
      </c>
      <c r="I3539" s="24" t="str">
        <f>IFERROR(__xludf.DUMMYFUNCTION("""COMPUTED_VALUE"""),"Damage/expired/extra")</f>
        <v>Damage/expired/extra</v>
      </c>
    </row>
    <row r="3540">
      <c r="A3540" s="23">
        <f>IFERROR(__xludf.DUMMYFUNCTION("""COMPUTED_VALUE"""),44845.662215034725)</f>
        <v>44845.66222</v>
      </c>
      <c r="B3540" s="24" t="str">
        <f>IFERROR(__xludf.DUMMYFUNCTION("""COMPUTED_VALUE"""),"Beverly  Graham ")</f>
        <v>Beverly  Graham </v>
      </c>
      <c r="C3540" s="24">
        <f>IFERROR(__xludf.DUMMYFUNCTION("""COMPUTED_VALUE"""),17.0)</f>
        <v>17</v>
      </c>
      <c r="D3540" s="24" t="str">
        <f>IFERROR(__xludf.DUMMYFUNCTION("""COMPUTED_VALUE"""),"Regular (up to 20lbs)")</f>
        <v>Regular (up to 20lbs)</v>
      </c>
      <c r="F3540" s="23">
        <f>IFERROR(__xludf.DUMMYFUNCTION("""COMPUTED_VALUE"""),44876.70177296296)</f>
        <v>44876.70177</v>
      </c>
      <c r="G3540" s="24" t="str">
        <f>IFERROR(__xludf.DUMMYFUNCTION("""COMPUTED_VALUE"""),"Sunita  pathik")</f>
        <v>Sunita  pathik</v>
      </c>
      <c r="H3540" s="24">
        <f>IFERROR(__xludf.DUMMYFUNCTION("""COMPUTED_VALUE"""),10.0)</f>
        <v>10</v>
      </c>
      <c r="I3540" s="24" t="str">
        <f>IFERROR(__xludf.DUMMYFUNCTION("""COMPUTED_VALUE"""),"Regular (up to 20lbs)")</f>
        <v>Regular (up to 20lbs)</v>
      </c>
    </row>
    <row r="3541">
      <c r="A3541" s="23">
        <f>IFERROR(__xludf.DUMMYFUNCTION("""COMPUTED_VALUE"""),44845.66273027778)</f>
        <v>44845.66273</v>
      </c>
      <c r="B3541" s="24" t="str">
        <f>IFERROR(__xludf.DUMMYFUNCTION("""COMPUTED_VALUE"""),"Beverly Graham ")</f>
        <v>Beverly Graham </v>
      </c>
      <c r="C3541" s="24">
        <f>IFERROR(__xludf.DUMMYFUNCTION("""COMPUTED_VALUE"""),2.0)</f>
        <v>2</v>
      </c>
      <c r="D3541" s="24" t="str">
        <f>IFERROR(__xludf.DUMMYFUNCTION("""COMPUTED_VALUE"""),"Damage/expired/extra")</f>
        <v>Damage/expired/extra</v>
      </c>
      <c r="F3541" s="23">
        <f>IFERROR(__xludf.DUMMYFUNCTION("""COMPUTED_VALUE"""),44876.70218270833)</f>
        <v>44876.70218</v>
      </c>
      <c r="G3541" s="24" t="str">
        <f>IFERROR(__xludf.DUMMYFUNCTION("""COMPUTED_VALUE"""),"Sunita pathik")</f>
        <v>Sunita pathik</v>
      </c>
      <c r="H3541" s="24">
        <f>IFERROR(__xludf.DUMMYFUNCTION("""COMPUTED_VALUE"""),200.0)</f>
        <v>200</v>
      </c>
      <c r="I3541" s="24" t="str">
        <f>IFERROR(__xludf.DUMMYFUNCTION("""COMPUTED_VALUE"""),"Assorted Fridge")</f>
        <v>Assorted Fridge</v>
      </c>
    </row>
    <row r="3542">
      <c r="A3542" s="23">
        <f>IFERROR(__xludf.DUMMYFUNCTION("""COMPUTED_VALUE"""),44845.663097094905)</f>
        <v>44845.6631</v>
      </c>
      <c r="B3542" s="24" t="str">
        <f>IFERROR(__xludf.DUMMYFUNCTION("""COMPUTED_VALUE"""),"Romaine Bouldin ")</f>
        <v>Romaine Bouldin </v>
      </c>
      <c r="C3542" s="24">
        <f>IFERROR(__xludf.DUMMYFUNCTION("""COMPUTED_VALUE"""),14.0)</f>
        <v>14</v>
      </c>
      <c r="D3542" s="24" t="str">
        <f>IFERROR(__xludf.DUMMYFUNCTION("""COMPUTED_VALUE"""),"Regular (up to 20lbs)")</f>
        <v>Regular (up to 20lbs)</v>
      </c>
      <c r="F3542" s="23">
        <f>IFERROR(__xludf.DUMMYFUNCTION("""COMPUTED_VALUE"""),44876.71169148148)</f>
        <v>44876.71169</v>
      </c>
      <c r="G3542" s="24" t="str">
        <f>IFERROR(__xludf.DUMMYFUNCTION("""COMPUTED_VALUE"""),"Maria Reyes ")</f>
        <v>Maria Reyes </v>
      </c>
      <c r="H3542" s="24">
        <f>IFERROR(__xludf.DUMMYFUNCTION("""COMPUTED_VALUE"""),7.0)</f>
        <v>7</v>
      </c>
      <c r="I3542" s="24" t="str">
        <f>IFERROR(__xludf.DUMMYFUNCTION("""COMPUTED_VALUE"""),"Regular (up to 20lbs)")</f>
        <v>Regular (up to 20lbs)</v>
      </c>
    </row>
    <row r="3543">
      <c r="A3543" s="23">
        <f>IFERROR(__xludf.DUMMYFUNCTION("""COMPUTED_VALUE"""),44845.66345028935)</f>
        <v>44845.66345</v>
      </c>
      <c r="B3543" s="24" t="str">
        <f>IFERROR(__xludf.DUMMYFUNCTION("""COMPUTED_VALUE"""),"Romaine Bouldin ")</f>
        <v>Romaine Bouldin </v>
      </c>
      <c r="C3543" s="24">
        <f>IFERROR(__xludf.DUMMYFUNCTION("""COMPUTED_VALUE"""),5.0)</f>
        <v>5</v>
      </c>
      <c r="D3543" s="24" t="str">
        <f>IFERROR(__xludf.DUMMYFUNCTION("""COMPUTED_VALUE"""),"Damage/expired/extra")</f>
        <v>Damage/expired/extra</v>
      </c>
      <c r="F3543" s="23">
        <f>IFERROR(__xludf.DUMMYFUNCTION("""COMPUTED_VALUE"""),44876.71180515046)</f>
        <v>44876.71181</v>
      </c>
      <c r="G3543" s="24" t="str">
        <f>IFERROR(__xludf.DUMMYFUNCTION("""COMPUTED_VALUE"""),"Maria Reyes ")</f>
        <v>Maria Reyes </v>
      </c>
      <c r="H3543" s="24">
        <f>IFERROR(__xludf.DUMMYFUNCTION("""COMPUTED_VALUE"""),11.0)</f>
        <v>11</v>
      </c>
      <c r="I3543" s="24" t="str">
        <f>IFERROR(__xludf.DUMMYFUNCTION("""COMPUTED_VALUE"""),"Damage/expired/extra")</f>
        <v>Damage/expired/extra</v>
      </c>
    </row>
    <row r="3544">
      <c r="A3544" s="23">
        <f>IFERROR(__xludf.DUMMYFUNCTION("""COMPUTED_VALUE"""),44845.66403636574)</f>
        <v>44845.66404</v>
      </c>
      <c r="B3544" s="24" t="str">
        <f>IFERROR(__xludf.DUMMYFUNCTION("""COMPUTED_VALUE"""),"Kaneesha")</f>
        <v>Kaneesha</v>
      </c>
      <c r="C3544" s="24">
        <f>IFERROR(__xludf.DUMMYFUNCTION("""COMPUTED_VALUE"""),20.0)</f>
        <v>20</v>
      </c>
      <c r="D3544" s="24" t="str">
        <f>IFERROR(__xludf.DUMMYFUNCTION("""COMPUTED_VALUE"""),"Regular (up to 20lbs)")</f>
        <v>Regular (up to 20lbs)</v>
      </c>
      <c r="F3544" s="23">
        <f>IFERROR(__xludf.DUMMYFUNCTION("""COMPUTED_VALUE"""),44877.0)</f>
        <v>44877</v>
      </c>
      <c r="G3544" s="24" t="str">
        <f>IFERROR(__xludf.DUMMYFUNCTION("""COMPUTED_VALUE"""),"Juanita Chandler ")</f>
        <v>Juanita Chandler </v>
      </c>
      <c r="H3544" s="24">
        <f>IFERROR(__xludf.DUMMYFUNCTION("""COMPUTED_VALUE"""),10.0)</f>
        <v>10</v>
      </c>
      <c r="I3544" s="24" t="str">
        <f>IFERROR(__xludf.DUMMYFUNCTION("""COMPUTED_VALUE"""),"Regular (up to 20lbs)")</f>
        <v>Regular (up to 20lbs)</v>
      </c>
    </row>
    <row r="3545">
      <c r="A3545" s="23">
        <f>IFERROR(__xludf.DUMMYFUNCTION("""COMPUTED_VALUE"""),44845.66424935185)</f>
        <v>44845.66425</v>
      </c>
      <c r="B3545" s="24" t="str">
        <f>IFERROR(__xludf.DUMMYFUNCTION("""COMPUTED_VALUE"""),"Kaneesha ")</f>
        <v>Kaneesha </v>
      </c>
      <c r="C3545" s="24">
        <f>IFERROR(__xludf.DUMMYFUNCTION("""COMPUTED_VALUE"""),11.0)</f>
        <v>11</v>
      </c>
      <c r="D3545" s="24" t="str">
        <f>IFERROR(__xludf.DUMMYFUNCTION("""COMPUTED_VALUE"""),"Damage/expired/extra")</f>
        <v>Damage/expired/extra</v>
      </c>
      <c r="F3545" s="23">
        <f>IFERROR(__xludf.DUMMYFUNCTION("""COMPUTED_VALUE"""),44877.0)</f>
        <v>44877</v>
      </c>
      <c r="G3545" s="24" t="str">
        <f>IFERROR(__xludf.DUMMYFUNCTION("""COMPUTED_VALUE"""),"Juanita Chandler ")</f>
        <v>Juanita Chandler </v>
      </c>
      <c r="H3545" s="24">
        <f>IFERROR(__xludf.DUMMYFUNCTION("""COMPUTED_VALUE"""),12.0)</f>
        <v>12</v>
      </c>
      <c r="I3545" s="24" t="str">
        <f>IFERROR(__xludf.DUMMYFUNCTION("""COMPUTED_VALUE"""),"Damage/expired/extra")</f>
        <v>Damage/expired/extra</v>
      </c>
    </row>
    <row r="3546">
      <c r="A3546" s="23">
        <f>IFERROR(__xludf.DUMMYFUNCTION("""COMPUTED_VALUE"""),44845.66509525463)</f>
        <v>44845.6651</v>
      </c>
      <c r="B3546" s="24" t="str">
        <f>IFERROR(__xludf.DUMMYFUNCTION("""COMPUTED_VALUE"""),"Anna West")</f>
        <v>Anna West</v>
      </c>
      <c r="C3546" s="24">
        <f>IFERROR(__xludf.DUMMYFUNCTION("""COMPUTED_VALUE"""),4.0)</f>
        <v>4</v>
      </c>
      <c r="D3546" s="24" t="str">
        <f>IFERROR(__xludf.DUMMYFUNCTION("""COMPUTED_VALUE"""),"Damage/expired/extra")</f>
        <v>Damage/expired/extra</v>
      </c>
      <c r="F3546" s="23">
        <f>IFERROR(__xludf.DUMMYFUNCTION("""COMPUTED_VALUE"""),44877.0)</f>
        <v>44877</v>
      </c>
      <c r="G3546" s="24" t="str">
        <f>IFERROR(__xludf.DUMMYFUNCTION("""COMPUTED_VALUE"""),"Janet Lomax")</f>
        <v>Janet Lomax</v>
      </c>
      <c r="H3546" s="24">
        <f>IFERROR(__xludf.DUMMYFUNCTION("""COMPUTED_VALUE"""),20.0)</f>
        <v>20</v>
      </c>
      <c r="I3546" s="24" t="str">
        <f>IFERROR(__xludf.DUMMYFUNCTION("""COMPUTED_VALUE"""),"Regular (up to 20lbs)")</f>
        <v>Regular (up to 20lbs)</v>
      </c>
    </row>
    <row r="3547">
      <c r="A3547" s="23">
        <f>IFERROR(__xludf.DUMMYFUNCTION("""COMPUTED_VALUE"""),44845.66709797453)</f>
        <v>44845.6671</v>
      </c>
      <c r="B3547" s="24" t="str">
        <f>IFERROR(__xludf.DUMMYFUNCTION("""COMPUTED_VALUE"""),"Beverly Pinn")</f>
        <v>Beverly Pinn</v>
      </c>
      <c r="C3547" s="24">
        <f>IFERROR(__xludf.DUMMYFUNCTION("""COMPUTED_VALUE"""),19.0)</f>
        <v>19</v>
      </c>
      <c r="D3547" s="24" t="str">
        <f>IFERROR(__xludf.DUMMYFUNCTION("""COMPUTED_VALUE"""),"Regular (up to 20lbs)")</f>
        <v>Regular (up to 20lbs)</v>
      </c>
      <c r="F3547" s="23">
        <f>IFERROR(__xludf.DUMMYFUNCTION("""COMPUTED_VALUE"""),44877.0)</f>
        <v>44877</v>
      </c>
      <c r="G3547" s="24" t="str">
        <f>IFERROR(__xludf.DUMMYFUNCTION("""COMPUTED_VALUE"""),"Sahmya Lake")</f>
        <v>Sahmya Lake</v>
      </c>
      <c r="H3547" s="24">
        <f>IFERROR(__xludf.DUMMYFUNCTION("""COMPUTED_VALUE"""),7.0)</f>
        <v>7</v>
      </c>
      <c r="I3547" s="24" t="str">
        <f>IFERROR(__xludf.DUMMYFUNCTION("""COMPUTED_VALUE"""),"Damage/expired/extra")</f>
        <v>Damage/expired/extra</v>
      </c>
    </row>
    <row r="3548">
      <c r="A3548" s="23">
        <f>IFERROR(__xludf.DUMMYFUNCTION("""COMPUTED_VALUE"""),44845.66724199074)</f>
        <v>44845.66724</v>
      </c>
      <c r="B3548" s="24" t="str">
        <f>IFERROR(__xludf.DUMMYFUNCTION("""COMPUTED_VALUE"""),"Beverly Pinn")</f>
        <v>Beverly Pinn</v>
      </c>
      <c r="C3548" s="24">
        <f>IFERROR(__xludf.DUMMYFUNCTION("""COMPUTED_VALUE"""),10.0)</f>
        <v>10</v>
      </c>
      <c r="D3548" s="24" t="str">
        <f>IFERROR(__xludf.DUMMYFUNCTION("""COMPUTED_VALUE"""),"Damage/expired/extra")</f>
        <v>Damage/expired/extra</v>
      </c>
      <c r="F3548" s="23">
        <f>IFERROR(__xludf.DUMMYFUNCTION("""COMPUTED_VALUE"""),44877.55682061343)</f>
        <v>44877.55682</v>
      </c>
      <c r="G3548" s="24" t="str">
        <f>IFERROR(__xludf.DUMMYFUNCTION("""COMPUTED_VALUE"""),"Juanita Chandler ")</f>
        <v>Juanita Chandler </v>
      </c>
      <c r="H3548" s="24">
        <f>IFERROR(__xludf.DUMMYFUNCTION("""COMPUTED_VALUE"""),429.0)</f>
        <v>429</v>
      </c>
      <c r="I3548" s="24" t="str">
        <f>IFERROR(__xludf.DUMMYFUNCTION("""COMPUTED_VALUE"""),"Frozen [Not Meat]")</f>
        <v>Frozen [Not Meat]</v>
      </c>
    </row>
    <row r="3549">
      <c r="A3549" s="23">
        <f>IFERROR(__xludf.DUMMYFUNCTION("""COMPUTED_VALUE"""),44845.66760583333)</f>
        <v>44845.66761</v>
      </c>
      <c r="B3549" s="24" t="str">
        <f>IFERROR(__xludf.DUMMYFUNCTION("""COMPUTED_VALUE"""),"Jean")</f>
        <v>Jean</v>
      </c>
      <c r="C3549" s="24">
        <f>IFERROR(__xludf.DUMMYFUNCTION("""COMPUTED_VALUE"""),14.0)</f>
        <v>14</v>
      </c>
      <c r="D3549" s="24" t="str">
        <f>IFERROR(__xludf.DUMMYFUNCTION("""COMPUTED_VALUE"""),"Regular (up to 20lbs)")</f>
        <v>Regular (up to 20lbs)</v>
      </c>
      <c r="F3549" s="23">
        <f>IFERROR(__xludf.DUMMYFUNCTION("""COMPUTED_VALUE"""),44877.55861148148)</f>
        <v>44877.55861</v>
      </c>
      <c r="G3549" s="24" t="str">
        <f>IFERROR(__xludf.DUMMYFUNCTION("""COMPUTED_VALUE"""),"Juanita Chandler ")</f>
        <v>Juanita Chandler </v>
      </c>
      <c r="H3549" s="24">
        <f>IFERROR(__xludf.DUMMYFUNCTION("""COMPUTED_VALUE"""),387.0)</f>
        <v>387</v>
      </c>
      <c r="I3549" s="24" t="str">
        <f>IFERROR(__xludf.DUMMYFUNCTION("""COMPUTED_VALUE"""),"Frozen [Not Meat]")</f>
        <v>Frozen [Not Meat]</v>
      </c>
    </row>
    <row r="3550">
      <c r="A3550" s="23">
        <f>IFERROR(__xludf.DUMMYFUNCTION("""COMPUTED_VALUE"""),44845.66807349538)</f>
        <v>44845.66807</v>
      </c>
      <c r="B3550" s="24" t="str">
        <f>IFERROR(__xludf.DUMMYFUNCTION("""COMPUTED_VALUE"""),"Jean")</f>
        <v>Jean</v>
      </c>
      <c r="C3550" s="24">
        <f>IFERROR(__xludf.DUMMYFUNCTION("""COMPUTED_VALUE"""),7.0)</f>
        <v>7</v>
      </c>
      <c r="D3550" s="24" t="str">
        <f>IFERROR(__xludf.DUMMYFUNCTION("""COMPUTED_VALUE"""),"Damage/expired/extra")</f>
        <v>Damage/expired/extra</v>
      </c>
      <c r="F3550" s="23">
        <f>IFERROR(__xludf.DUMMYFUNCTION("""COMPUTED_VALUE"""),44877.559554687505)</f>
        <v>44877.55955</v>
      </c>
      <c r="G3550" s="24" t="str">
        <f>IFERROR(__xludf.DUMMYFUNCTION("""COMPUTED_VALUE"""),"Juanita Chandler ")</f>
        <v>Juanita Chandler </v>
      </c>
      <c r="H3550" s="24">
        <f>IFERROR(__xludf.DUMMYFUNCTION("""COMPUTED_VALUE"""),416.0)</f>
        <v>416</v>
      </c>
      <c r="I3550" s="24" t="str">
        <f>IFERROR(__xludf.DUMMYFUNCTION("""COMPUTED_VALUE"""),"Frozen [Not Meat]")</f>
        <v>Frozen [Not Meat]</v>
      </c>
    </row>
    <row r="3551">
      <c r="A3551" s="23">
        <f>IFERROR(__xludf.DUMMYFUNCTION("""COMPUTED_VALUE"""),44845.668456817126)</f>
        <v>44845.66846</v>
      </c>
      <c r="B3551" s="24" t="str">
        <f>IFERROR(__xludf.DUMMYFUNCTION("""COMPUTED_VALUE"""),"Anna West")</f>
        <v>Anna West</v>
      </c>
      <c r="C3551" s="24">
        <f>IFERROR(__xludf.DUMMYFUNCTION("""COMPUTED_VALUE"""),18.0)</f>
        <v>18</v>
      </c>
      <c r="D3551" s="24" t="str">
        <f>IFERROR(__xludf.DUMMYFUNCTION("""COMPUTED_VALUE"""),"Regular (up to 20lbs)")</f>
        <v>Regular (up to 20lbs)</v>
      </c>
      <c r="F3551" s="23">
        <f>IFERROR(__xludf.DUMMYFUNCTION("""COMPUTED_VALUE"""),44877.56170927083)</f>
        <v>44877.56171</v>
      </c>
      <c r="G3551" s="24" t="str">
        <f>IFERROR(__xludf.DUMMYFUNCTION("""COMPUTED_VALUE"""),"Juanita Chandler ")</f>
        <v>Juanita Chandler </v>
      </c>
      <c r="H3551" s="24">
        <f>IFERROR(__xludf.DUMMYFUNCTION("""COMPUTED_VALUE"""),460.0)</f>
        <v>460</v>
      </c>
      <c r="I3551" s="24" t="str">
        <f>IFERROR(__xludf.DUMMYFUNCTION("""COMPUTED_VALUE"""),"Produce")</f>
        <v>Produce</v>
      </c>
    </row>
    <row r="3552">
      <c r="A3552" s="23">
        <f>IFERROR(__xludf.DUMMYFUNCTION("""COMPUTED_VALUE"""),44846.569894479166)</f>
        <v>44846.56989</v>
      </c>
      <c r="B3552" s="24" t="str">
        <f>IFERROR(__xludf.DUMMYFUNCTION("""COMPUTED_VALUE"""),"Bud-sisson st dpw drinks ")</f>
        <v>Bud-sisson st dpw drinks </v>
      </c>
      <c r="C3552" s="24">
        <f>IFERROR(__xludf.DUMMYFUNCTION("""COMPUTED_VALUE"""),9.0)</f>
        <v>9</v>
      </c>
      <c r="D3552" s="24" t="str">
        <f>IFERROR(__xludf.DUMMYFUNCTION("""COMPUTED_VALUE"""),"Regular (up to 20lbs)")</f>
        <v>Regular (up to 20lbs)</v>
      </c>
      <c r="F3552" s="23">
        <f>IFERROR(__xludf.DUMMYFUNCTION("""COMPUTED_VALUE"""),44877.56237665509)</f>
        <v>44877.56238</v>
      </c>
      <c r="G3552" s="24" t="str">
        <f>IFERROR(__xludf.DUMMYFUNCTION("""COMPUTED_VALUE"""),"Juanita Chandler ")</f>
        <v>Juanita Chandler </v>
      </c>
      <c r="H3552" s="24">
        <f>IFERROR(__xludf.DUMMYFUNCTION("""COMPUTED_VALUE"""),481.0)</f>
        <v>481</v>
      </c>
      <c r="I3552" s="24" t="str">
        <f>IFERROR(__xludf.DUMMYFUNCTION("""COMPUTED_VALUE"""),"Produce")</f>
        <v>Produce</v>
      </c>
    </row>
    <row r="3553">
      <c r="A3553" s="23">
        <f>IFERROR(__xludf.DUMMYFUNCTION("""COMPUTED_VALUE"""),44846.0)</f>
        <v>44846</v>
      </c>
      <c r="B3553" s="24" t="str">
        <f>IFERROR(__xludf.DUMMYFUNCTION("""COMPUTED_VALUE"""),"Doris Parker tuggle")</f>
        <v>Doris Parker tuggle</v>
      </c>
      <c r="C3553" s="24">
        <f>IFERROR(__xludf.DUMMYFUNCTION("""COMPUTED_VALUE"""),17.0)</f>
        <v>17</v>
      </c>
      <c r="D3553" s="24" t="str">
        <f>IFERROR(__xludf.DUMMYFUNCTION("""COMPUTED_VALUE"""),"Regular (up to 20lbs)")</f>
        <v>Regular (up to 20lbs)</v>
      </c>
      <c r="F3553" s="23">
        <f>IFERROR(__xludf.DUMMYFUNCTION("""COMPUTED_VALUE"""),44877.56277372685)</f>
        <v>44877.56277</v>
      </c>
      <c r="G3553" s="24" t="str">
        <f>IFERROR(__xludf.DUMMYFUNCTION("""COMPUTED_VALUE"""),"Juanita Chandler ")</f>
        <v>Juanita Chandler </v>
      </c>
      <c r="H3553" s="24">
        <f>IFERROR(__xludf.DUMMYFUNCTION("""COMPUTED_VALUE"""),449.0)</f>
        <v>449</v>
      </c>
      <c r="I3553" s="24" t="str">
        <f>IFERROR(__xludf.DUMMYFUNCTION("""COMPUTED_VALUE"""),"Produce")</f>
        <v>Produce</v>
      </c>
    </row>
    <row r="3554">
      <c r="A3554" s="23">
        <f>IFERROR(__xludf.DUMMYFUNCTION("""COMPUTED_VALUE"""),44846.0)</f>
        <v>44846</v>
      </c>
      <c r="B3554" s="24" t="str">
        <f>IFERROR(__xludf.DUMMYFUNCTION("""COMPUTED_VALUE"""),"Doris Parker tuggle")</f>
        <v>Doris Parker tuggle</v>
      </c>
      <c r="C3554" s="24">
        <f>IFERROR(__xludf.DUMMYFUNCTION("""COMPUTED_VALUE"""),9.0)</f>
        <v>9</v>
      </c>
      <c r="D3554" s="24" t="str">
        <f>IFERROR(__xludf.DUMMYFUNCTION("""COMPUTED_VALUE"""),"Damage/expired/extra")</f>
        <v>Damage/expired/extra</v>
      </c>
      <c r="F3554" s="23">
        <f>IFERROR(__xludf.DUMMYFUNCTION("""COMPUTED_VALUE"""),44877.608119780096)</f>
        <v>44877.60812</v>
      </c>
      <c r="G3554" s="24" t="str">
        <f>IFERROR(__xludf.DUMMYFUNCTION("""COMPUTED_VALUE"""),"JC")</f>
        <v>JC</v>
      </c>
      <c r="H3554" s="24">
        <f>IFERROR(__xludf.DUMMYFUNCTION("""COMPUTED_VALUE"""),53.0)</f>
        <v>53</v>
      </c>
      <c r="I3554" s="24" t="str">
        <f>IFERROR(__xludf.DUMMYFUNCTION("""COMPUTED_VALUE"""),"Snacks")</f>
        <v>Snacks</v>
      </c>
    </row>
    <row r="3555">
      <c r="A3555" s="23">
        <f>IFERROR(__xludf.DUMMYFUNCTION("""COMPUTED_VALUE"""),44846.0)</f>
        <v>44846</v>
      </c>
      <c r="B3555" s="24" t="str">
        <f>IFERROR(__xludf.DUMMYFUNCTION("""COMPUTED_VALUE"""),"Monah Perry")</f>
        <v>Monah Perry</v>
      </c>
      <c r="C3555" s="24">
        <f>IFERROR(__xludf.DUMMYFUNCTION("""COMPUTED_VALUE"""),13.0)</f>
        <v>13</v>
      </c>
      <c r="D3555" s="24" t="str">
        <f>IFERROR(__xludf.DUMMYFUNCTION("""COMPUTED_VALUE"""),"Regular (up to 20lbs)")</f>
        <v>Regular (up to 20lbs)</v>
      </c>
      <c r="F3555" s="23">
        <f>IFERROR(__xludf.DUMMYFUNCTION("""COMPUTED_VALUE"""),44877.617373229165)</f>
        <v>44877.61737</v>
      </c>
      <c r="G3555" s="24" t="str">
        <f>IFERROR(__xludf.DUMMYFUNCTION("""COMPUTED_VALUE"""),"Dean Chien")</f>
        <v>Dean Chien</v>
      </c>
      <c r="H3555" s="24">
        <f>IFERROR(__xludf.DUMMYFUNCTION("""COMPUTED_VALUE"""),184.0)</f>
        <v>184</v>
      </c>
      <c r="I3555" s="24" t="str">
        <f>IFERROR(__xludf.DUMMYFUNCTION("""COMPUTED_VALUE"""),"Meat [Raw]")</f>
        <v>Meat [Raw]</v>
      </c>
    </row>
    <row r="3556">
      <c r="A3556" s="23">
        <f>IFERROR(__xludf.DUMMYFUNCTION("""COMPUTED_VALUE"""),44846.0)</f>
        <v>44846</v>
      </c>
      <c r="B3556" s="24" t="str">
        <f>IFERROR(__xludf.DUMMYFUNCTION("""COMPUTED_VALUE"""),"Monah Perry")</f>
        <v>Monah Perry</v>
      </c>
      <c r="C3556" s="24">
        <f>IFERROR(__xludf.DUMMYFUNCTION("""COMPUTED_VALUE"""),4.0)</f>
        <v>4</v>
      </c>
      <c r="D3556" s="24" t="str">
        <f>IFERROR(__xludf.DUMMYFUNCTION("""COMPUTED_VALUE"""),"Damage/expired/extra")</f>
        <v>Damage/expired/extra</v>
      </c>
      <c r="F3556" s="23">
        <f>IFERROR(__xludf.DUMMYFUNCTION("""COMPUTED_VALUE"""),44877.66694070602)</f>
        <v>44877.66694</v>
      </c>
      <c r="G3556" s="24" t="str">
        <f>IFERROR(__xludf.DUMMYFUNCTION("""COMPUTED_VALUE"""),"Juanita Chandler ")</f>
        <v>Juanita Chandler </v>
      </c>
      <c r="H3556" s="24">
        <f>IFERROR(__xludf.DUMMYFUNCTION("""COMPUTED_VALUE"""),-275.0)</f>
        <v>-275</v>
      </c>
      <c r="I3556" s="24" t="str">
        <f>IFERROR(__xludf.DUMMYFUNCTION("""COMPUTED_VALUE"""),"Produce")</f>
        <v>Produce</v>
      </c>
    </row>
    <row r="3557">
      <c r="A3557" s="23">
        <f>IFERROR(__xludf.DUMMYFUNCTION("""COMPUTED_VALUE"""),44846.70847859953)</f>
        <v>44846.70848</v>
      </c>
      <c r="B3557" s="24" t="str">
        <f>IFERROR(__xludf.DUMMYFUNCTION("""COMPUTED_VALUE"""),"Juanita Chandler ")</f>
        <v>Juanita Chandler </v>
      </c>
      <c r="C3557" s="24">
        <f>IFERROR(__xludf.DUMMYFUNCTION("""COMPUTED_VALUE"""),16.0)</f>
        <v>16</v>
      </c>
      <c r="D3557" s="24" t="str">
        <f>IFERROR(__xludf.DUMMYFUNCTION("""COMPUTED_VALUE"""),"Regular (up to 20lbs)")</f>
        <v>Regular (up to 20lbs)</v>
      </c>
      <c r="F3557" s="23">
        <f>IFERROR(__xludf.DUMMYFUNCTION("""COMPUTED_VALUE"""),44877.66735390046)</f>
        <v>44877.66735</v>
      </c>
      <c r="G3557" s="24" t="str">
        <f>IFERROR(__xludf.DUMMYFUNCTION("""COMPUTED_VALUE"""),"Juanita Chandler ")</f>
        <v>Juanita Chandler </v>
      </c>
      <c r="H3557" s="24">
        <f>IFERROR(__xludf.DUMMYFUNCTION("""COMPUTED_VALUE"""),-180.0)</f>
        <v>-180</v>
      </c>
      <c r="I3557" s="24" t="str">
        <f>IFERROR(__xludf.DUMMYFUNCTION("""COMPUTED_VALUE"""),"Produce")</f>
        <v>Produce</v>
      </c>
    </row>
    <row r="3558">
      <c r="A3558" s="23">
        <f>IFERROR(__xludf.DUMMYFUNCTION("""COMPUTED_VALUE"""),44846.708971099535)</f>
        <v>44846.70897</v>
      </c>
      <c r="B3558" s="24" t="str">
        <f>IFERROR(__xludf.DUMMYFUNCTION("""COMPUTED_VALUE"""),"Juanita Chandler ")</f>
        <v>Juanita Chandler </v>
      </c>
      <c r="C3558" s="24">
        <f>IFERROR(__xludf.DUMMYFUNCTION("""COMPUTED_VALUE"""),9.0)</f>
        <v>9</v>
      </c>
      <c r="D3558" s="24" t="str">
        <f>IFERROR(__xludf.DUMMYFUNCTION("""COMPUTED_VALUE"""),"Damage/expired/extra")</f>
        <v>Damage/expired/extra</v>
      </c>
      <c r="F3558" s="23">
        <f>IFERROR(__xludf.DUMMYFUNCTION("""COMPUTED_VALUE"""),44877.67093918981)</f>
        <v>44877.67094</v>
      </c>
      <c r="G3558" s="24" t="str">
        <f>IFERROR(__xludf.DUMMYFUNCTION("""COMPUTED_VALUE"""),"Juanita Chandler ")</f>
        <v>Juanita Chandler </v>
      </c>
      <c r="H3558" s="24">
        <f>IFERROR(__xludf.DUMMYFUNCTION("""COMPUTED_VALUE"""),-138.0)</f>
        <v>-138</v>
      </c>
      <c r="I3558" s="24" t="str">
        <f>IFERROR(__xludf.DUMMYFUNCTION("""COMPUTED_VALUE"""),"Produce")</f>
        <v>Produce</v>
      </c>
    </row>
    <row r="3559">
      <c r="A3559" s="23">
        <f>IFERROR(__xludf.DUMMYFUNCTION("""COMPUTED_VALUE"""),44846.7330596412)</f>
        <v>44846.73306</v>
      </c>
      <c r="B3559" s="24" t="str">
        <f>IFERROR(__xludf.DUMMYFUNCTION("""COMPUTED_VALUE"""),"Juanita Chandler ")</f>
        <v>Juanita Chandler </v>
      </c>
      <c r="C3559" s="24">
        <f>IFERROR(__xludf.DUMMYFUNCTION("""COMPUTED_VALUE"""),11.0)</f>
        <v>11</v>
      </c>
      <c r="D3559" s="24" t="str">
        <f>IFERROR(__xludf.DUMMYFUNCTION("""COMPUTED_VALUE"""),"Damage/expired/extra")</f>
        <v>Damage/expired/extra</v>
      </c>
      <c r="F3559" s="23">
        <f>IFERROR(__xludf.DUMMYFUNCTION("""COMPUTED_VALUE"""),44877.671651006945)</f>
        <v>44877.67165</v>
      </c>
      <c r="G3559" s="24" t="str">
        <f>IFERROR(__xludf.DUMMYFUNCTION("""COMPUTED_VALUE"""),"Juanita Chandler ")</f>
        <v>Juanita Chandler </v>
      </c>
      <c r="H3559" s="24">
        <f>IFERROR(__xludf.DUMMYFUNCTION("""COMPUTED_VALUE"""),-791.0)</f>
        <v>-791</v>
      </c>
      <c r="I3559" s="24" t="str">
        <f>IFERROR(__xludf.DUMMYFUNCTION("""COMPUTED_VALUE"""),"Produce")</f>
        <v>Produce</v>
      </c>
    </row>
    <row r="3560">
      <c r="A3560" s="23">
        <f>IFERROR(__xludf.DUMMYFUNCTION("""COMPUTED_VALUE"""),44846.79261186343)</f>
        <v>44846.79261</v>
      </c>
      <c r="B3560" s="24" t="str">
        <f>IFERROR(__xludf.DUMMYFUNCTION("""COMPUTED_VALUE"""),"Lynnette c")</f>
        <v>Lynnette c</v>
      </c>
      <c r="C3560" s="24">
        <f>IFERROR(__xludf.DUMMYFUNCTION("""COMPUTED_VALUE"""),2.0)</f>
        <v>2</v>
      </c>
      <c r="D3560" s="24" t="str">
        <f>IFERROR(__xludf.DUMMYFUNCTION("""COMPUTED_VALUE"""),"Damage/expired/extra")</f>
        <v>Damage/expired/extra</v>
      </c>
      <c r="F3560" s="23">
        <f>IFERROR(__xludf.DUMMYFUNCTION("""COMPUTED_VALUE"""),44877.67312697917)</f>
        <v>44877.67313</v>
      </c>
      <c r="G3560" s="24" t="str">
        <f>IFERROR(__xludf.DUMMYFUNCTION("""COMPUTED_VALUE"""),"Juanita Chandler ")</f>
        <v>Juanita Chandler </v>
      </c>
      <c r="H3560" s="24">
        <f>IFERROR(__xludf.DUMMYFUNCTION("""COMPUTED_VALUE"""),-48.0)</f>
        <v>-48</v>
      </c>
      <c r="I3560" s="24" t="str">
        <f>IFERROR(__xludf.DUMMYFUNCTION("""COMPUTED_VALUE"""),"Snacks")</f>
        <v>Snacks</v>
      </c>
    </row>
    <row r="3561">
      <c r="A3561" s="23">
        <f>IFERROR(__xludf.DUMMYFUNCTION("""COMPUTED_VALUE"""),44846.79312978009)</f>
        <v>44846.79313</v>
      </c>
      <c r="B3561" s="24" t="str">
        <f>IFERROR(__xludf.DUMMYFUNCTION("""COMPUTED_VALUE"""),"Lynnette ")</f>
        <v>Lynnette </v>
      </c>
      <c r="C3561" s="24">
        <f>IFERROR(__xludf.DUMMYFUNCTION("""COMPUTED_VALUE"""),5.0)</f>
        <v>5</v>
      </c>
      <c r="D3561" s="24" t="str">
        <f>IFERROR(__xludf.DUMMYFUNCTION("""COMPUTED_VALUE"""),"Regular (up to 20lbs)")</f>
        <v>Regular (up to 20lbs)</v>
      </c>
      <c r="F3561" s="23">
        <f>IFERROR(__xludf.DUMMYFUNCTION("""COMPUTED_VALUE"""),44877.673589467595)</f>
        <v>44877.67359</v>
      </c>
      <c r="G3561" s="24" t="str">
        <f>IFERROR(__xludf.DUMMYFUNCTION("""COMPUTED_VALUE"""),"Juanita Chandler ")</f>
        <v>Juanita Chandler </v>
      </c>
      <c r="H3561" s="24">
        <f>IFERROR(__xludf.DUMMYFUNCTION("""COMPUTED_VALUE"""),-70.0)</f>
        <v>-70</v>
      </c>
      <c r="I3561" s="24" t="str">
        <f>IFERROR(__xludf.DUMMYFUNCTION("""COMPUTED_VALUE"""),"Produce")</f>
        <v>Produce</v>
      </c>
    </row>
    <row r="3562">
      <c r="A3562" s="23">
        <f>IFERROR(__xludf.DUMMYFUNCTION("""COMPUTED_VALUE"""),44846.85472612269)</f>
        <v>44846.85473</v>
      </c>
      <c r="B3562" s="24" t="str">
        <f>IFERROR(__xludf.DUMMYFUNCTION("""COMPUTED_VALUE"""),"Connor Gephart")</f>
        <v>Connor Gephart</v>
      </c>
      <c r="C3562" s="24">
        <f>IFERROR(__xludf.DUMMYFUNCTION("""COMPUTED_VALUE"""),19.0)</f>
        <v>19</v>
      </c>
      <c r="D3562" s="24" t="str">
        <f>IFERROR(__xludf.DUMMYFUNCTION("""COMPUTED_VALUE"""),"Regular (up to 20lbs)")</f>
        <v>Regular (up to 20lbs)</v>
      </c>
      <c r="F3562" s="23">
        <f>IFERROR(__xludf.DUMMYFUNCTION("""COMPUTED_VALUE"""),44877.67503289352)</f>
        <v>44877.67503</v>
      </c>
      <c r="G3562" s="24" t="str">
        <f>IFERROR(__xludf.DUMMYFUNCTION("""COMPUTED_VALUE"""),"Juanita Chandler ")</f>
        <v>Juanita Chandler </v>
      </c>
      <c r="H3562" s="24">
        <f>IFERROR(__xludf.DUMMYFUNCTION("""COMPUTED_VALUE"""),-334.0)</f>
        <v>-334</v>
      </c>
      <c r="I3562" s="24" t="str">
        <f>IFERROR(__xludf.DUMMYFUNCTION("""COMPUTED_VALUE"""),"Dole Fruit Cup ")</f>
        <v>Dole Fruit Cup </v>
      </c>
    </row>
    <row r="3563">
      <c r="A3563" s="23">
        <f>IFERROR(__xludf.DUMMYFUNCTION("""COMPUTED_VALUE"""),44846.861423773145)</f>
        <v>44846.86142</v>
      </c>
      <c r="B3563" s="24" t="str">
        <f>IFERROR(__xludf.DUMMYFUNCTION("""COMPUTED_VALUE"""),"Luke mayhew")</f>
        <v>Luke mayhew</v>
      </c>
      <c r="C3563" s="24">
        <f>IFERROR(__xludf.DUMMYFUNCTION("""COMPUTED_VALUE"""),20.0)</f>
        <v>20</v>
      </c>
      <c r="D3563" s="24" t="str">
        <f>IFERROR(__xludf.DUMMYFUNCTION("""COMPUTED_VALUE"""),"Regular (up to 20lbs)")</f>
        <v>Regular (up to 20lbs)</v>
      </c>
      <c r="F3563" s="23">
        <f>IFERROR(__xludf.DUMMYFUNCTION("""COMPUTED_VALUE"""),44877.6778175)</f>
        <v>44877.67782</v>
      </c>
      <c r="G3563" s="24" t="str">
        <f>IFERROR(__xludf.DUMMYFUNCTION("""COMPUTED_VALUE"""),"Juanita Chandler ")</f>
        <v>Juanita Chandler </v>
      </c>
      <c r="H3563" s="24">
        <f>IFERROR(__xludf.DUMMYFUNCTION("""COMPUTED_VALUE"""),-390.0)</f>
        <v>-390</v>
      </c>
      <c r="I3563" s="24" t="str">
        <f>IFERROR(__xludf.DUMMYFUNCTION("""COMPUTED_VALUE"""),"Dole fruit cup ")</f>
        <v>Dole fruit cup </v>
      </c>
    </row>
    <row r="3564">
      <c r="A3564" s="23">
        <f>IFERROR(__xludf.DUMMYFUNCTION("""COMPUTED_VALUE"""),44846.86349905093)</f>
        <v>44846.8635</v>
      </c>
      <c r="B3564" s="24" t="str">
        <f>IFERROR(__xludf.DUMMYFUNCTION("""COMPUTED_VALUE"""),"Dee Satterfield Richards")</f>
        <v>Dee Satterfield Richards</v>
      </c>
      <c r="C3564" s="24">
        <f>IFERROR(__xludf.DUMMYFUNCTION("""COMPUTED_VALUE"""),20.0)</f>
        <v>20</v>
      </c>
      <c r="D3564" s="24" t="str">
        <f>IFERROR(__xludf.DUMMYFUNCTION("""COMPUTED_VALUE"""),"Regular (up to 20lbs)")</f>
        <v>Regular (up to 20lbs)</v>
      </c>
      <c r="F3564" s="23">
        <f>IFERROR(__xludf.DUMMYFUNCTION("""COMPUTED_VALUE"""),44877.68047829861)</f>
        <v>44877.68048</v>
      </c>
      <c r="G3564" s="24"/>
      <c r="H3564" s="24">
        <f>IFERROR(__xludf.DUMMYFUNCTION("""COMPUTED_VALUE"""),-146.0)</f>
        <v>-146</v>
      </c>
      <c r="I3564" s="24" t="str">
        <f>IFERROR(__xludf.DUMMYFUNCTION("""COMPUTED_VALUE"""),"Snacks")</f>
        <v>Snacks</v>
      </c>
    </row>
    <row r="3565">
      <c r="A3565" s="23">
        <f>IFERROR(__xludf.DUMMYFUNCTION("""COMPUTED_VALUE"""),44846.86383216435)</f>
        <v>44846.86383</v>
      </c>
      <c r="B3565" s="24" t="str">
        <f>IFERROR(__xludf.DUMMYFUNCTION("""COMPUTED_VALUE""")," Dee Satterfield Richards")</f>
        <v> Dee Satterfield Richards</v>
      </c>
      <c r="C3565" s="24">
        <f>IFERROR(__xludf.DUMMYFUNCTION("""COMPUTED_VALUE"""),15.0)</f>
        <v>15</v>
      </c>
      <c r="D3565" s="24" t="str">
        <f>IFERROR(__xludf.DUMMYFUNCTION("""COMPUTED_VALUE"""),"Damage/expired/extra")</f>
        <v>Damage/expired/extra</v>
      </c>
      <c r="F3565" s="23">
        <f>IFERROR(__xludf.DUMMYFUNCTION("""COMPUTED_VALUE"""),44877.69207113426)</f>
        <v>44877.69207</v>
      </c>
      <c r="G3565" s="24" t="str">
        <f>IFERROR(__xludf.DUMMYFUNCTION("""COMPUTED_VALUE"""),"Nicolle diaz ")</f>
        <v>Nicolle diaz </v>
      </c>
      <c r="H3565" s="24">
        <f>IFERROR(__xludf.DUMMYFUNCTION("""COMPUTED_VALUE"""),20.0)</f>
        <v>20</v>
      </c>
      <c r="I3565" s="24" t="str">
        <f>IFERROR(__xludf.DUMMYFUNCTION("""COMPUTED_VALUE"""),"Regular (up to 20lbs)")</f>
        <v>Regular (up to 20lbs)</v>
      </c>
    </row>
    <row r="3566">
      <c r="A3566" s="23">
        <f>IFERROR(__xludf.DUMMYFUNCTION("""COMPUTED_VALUE"""),44846.872638773144)</f>
        <v>44846.87264</v>
      </c>
      <c r="B3566" s="24" t="str">
        <f>IFERROR(__xludf.DUMMYFUNCTION("""COMPUTED_VALUE"""),"Luke mayhew ")</f>
        <v>Luke mayhew </v>
      </c>
      <c r="C3566" s="24">
        <f>IFERROR(__xludf.DUMMYFUNCTION("""COMPUTED_VALUE"""),10.0)</f>
        <v>10</v>
      </c>
      <c r="D3566" s="24" t="str">
        <f>IFERROR(__xludf.DUMMYFUNCTION("""COMPUTED_VALUE"""),"Damage/expired/extra")</f>
        <v>Damage/expired/extra</v>
      </c>
      <c r="F3566" s="23">
        <f>IFERROR(__xludf.DUMMYFUNCTION("""COMPUTED_VALUE"""),44877.69610643518)</f>
        <v>44877.69611</v>
      </c>
      <c r="G3566" s="24" t="str">
        <f>IFERROR(__xludf.DUMMYFUNCTION("""COMPUTED_VALUE"""),"Diego Trafton")</f>
        <v>Diego Trafton</v>
      </c>
      <c r="H3566" s="24">
        <f>IFERROR(__xludf.DUMMYFUNCTION("""COMPUTED_VALUE"""),8.0)</f>
        <v>8</v>
      </c>
      <c r="I3566" s="24" t="str">
        <f>IFERROR(__xludf.DUMMYFUNCTION("""COMPUTED_VALUE"""),"Regular (up to 20lbs)")</f>
        <v>Regular (up to 20lbs)</v>
      </c>
    </row>
    <row r="3567">
      <c r="A3567" s="23">
        <f>IFERROR(__xludf.DUMMYFUNCTION("""COMPUTED_VALUE"""),44846.0)</f>
        <v>44846</v>
      </c>
      <c r="B3567" s="24" t="str">
        <f>IFERROR(__xludf.DUMMYFUNCTION("""COMPUTED_VALUE"""),"Barbara Jordan")</f>
        <v>Barbara Jordan</v>
      </c>
      <c r="C3567" s="24">
        <f>IFERROR(__xludf.DUMMYFUNCTION("""COMPUTED_VALUE"""),12.0)</f>
        <v>12</v>
      </c>
      <c r="D3567" s="24" t="str">
        <f>IFERROR(__xludf.DUMMYFUNCTION("""COMPUTED_VALUE"""),"Regular (up to 20lbs)")</f>
        <v>Regular (up to 20lbs)</v>
      </c>
      <c r="F3567" s="23">
        <f>IFERROR(__xludf.DUMMYFUNCTION("""COMPUTED_VALUE"""),44877.69657121528)</f>
        <v>44877.69657</v>
      </c>
      <c r="G3567" s="24" t="str">
        <f>IFERROR(__xludf.DUMMYFUNCTION("""COMPUTED_VALUE"""),"Rawan Elshobaky ")</f>
        <v>Rawan Elshobaky </v>
      </c>
      <c r="H3567" s="24">
        <f>IFERROR(__xludf.DUMMYFUNCTION("""COMPUTED_VALUE"""),8.0)</f>
        <v>8</v>
      </c>
      <c r="I3567" s="24" t="str">
        <f>IFERROR(__xludf.DUMMYFUNCTION("""COMPUTED_VALUE"""),"Regular (up to 20lbs)")</f>
        <v>Regular (up to 20lbs)</v>
      </c>
    </row>
    <row r="3568">
      <c r="A3568" s="23">
        <f>IFERROR(__xludf.DUMMYFUNCTION("""COMPUTED_VALUE"""),44846.0)</f>
        <v>44846</v>
      </c>
      <c r="B3568" s="24" t="str">
        <f>IFERROR(__xludf.DUMMYFUNCTION("""COMPUTED_VALUE"""),"Jean")</f>
        <v>Jean</v>
      </c>
      <c r="C3568" s="24">
        <f>IFERROR(__xludf.DUMMYFUNCTION("""COMPUTED_VALUE"""),14.0)</f>
        <v>14</v>
      </c>
      <c r="D3568" s="24" t="str">
        <f>IFERROR(__xludf.DUMMYFUNCTION("""COMPUTED_VALUE"""),"Regular (up to 20lbs)")</f>
        <v>Regular (up to 20lbs)</v>
      </c>
      <c r="F3568" s="23">
        <f>IFERROR(__xludf.DUMMYFUNCTION("""COMPUTED_VALUE"""),44877.6974578125)</f>
        <v>44877.69746</v>
      </c>
      <c r="G3568" s="24" t="str">
        <f>IFERROR(__xludf.DUMMYFUNCTION("""COMPUTED_VALUE"""),"Justin Zhong")</f>
        <v>Justin Zhong</v>
      </c>
      <c r="H3568" s="24">
        <f>IFERROR(__xludf.DUMMYFUNCTION("""COMPUTED_VALUE"""),8.0)</f>
        <v>8</v>
      </c>
      <c r="I3568" s="24" t="str">
        <f>IFERROR(__xludf.DUMMYFUNCTION("""COMPUTED_VALUE"""),"Regular (up to 20lbs)")</f>
        <v>Regular (up to 20lbs)</v>
      </c>
    </row>
    <row r="3569">
      <c r="A3569" s="23">
        <f>IFERROR(__xludf.DUMMYFUNCTION("""COMPUTED_VALUE"""),44846.0)</f>
        <v>44846</v>
      </c>
      <c r="B3569" s="24" t="str">
        <f>IFERROR(__xludf.DUMMYFUNCTION("""COMPUTED_VALUE"""),"Jean")</f>
        <v>Jean</v>
      </c>
      <c r="C3569" s="24">
        <f>IFERROR(__xludf.DUMMYFUNCTION("""COMPUTED_VALUE"""),14.0)</f>
        <v>14</v>
      </c>
      <c r="D3569" s="24" t="str">
        <f>IFERROR(__xludf.DUMMYFUNCTION("""COMPUTED_VALUE"""),"Regular (up to 20lbs)")</f>
        <v>Regular (up to 20lbs)</v>
      </c>
      <c r="F3569" s="23">
        <f>IFERROR(__xludf.DUMMYFUNCTION("""COMPUTED_VALUE"""),44877.69830832176)</f>
        <v>44877.69831</v>
      </c>
      <c r="G3569" s="24" t="str">
        <f>IFERROR(__xludf.DUMMYFUNCTION("""COMPUTED_VALUE"""),"Emily Ma")</f>
        <v>Emily Ma</v>
      </c>
      <c r="H3569" s="24">
        <f>IFERROR(__xludf.DUMMYFUNCTION("""COMPUTED_VALUE"""),8.0)</f>
        <v>8</v>
      </c>
      <c r="I3569" s="24" t="str">
        <f>IFERROR(__xludf.DUMMYFUNCTION("""COMPUTED_VALUE"""),"Regular (up to 20lbs)")</f>
        <v>Regular (up to 20lbs)</v>
      </c>
    </row>
    <row r="3570">
      <c r="A3570" s="23">
        <f>IFERROR(__xludf.DUMMYFUNCTION("""COMPUTED_VALUE"""),44846.0)</f>
        <v>44846</v>
      </c>
      <c r="B3570" s="24" t="str">
        <f>IFERROR(__xludf.DUMMYFUNCTION("""COMPUTED_VALUE"""),"Hong Xue")</f>
        <v>Hong Xue</v>
      </c>
      <c r="C3570" s="24">
        <f>IFERROR(__xludf.DUMMYFUNCTION("""COMPUTED_VALUE"""),17.0)</f>
        <v>17</v>
      </c>
      <c r="D3570" s="24" t="str">
        <f>IFERROR(__xludf.DUMMYFUNCTION("""COMPUTED_VALUE"""),"Regular (up to 20lbs)")</f>
        <v>Regular (up to 20lbs)</v>
      </c>
      <c r="F3570" s="23">
        <f>IFERROR(__xludf.DUMMYFUNCTION("""COMPUTED_VALUE"""),44877.69843686343)</f>
        <v>44877.69844</v>
      </c>
      <c r="G3570" s="24" t="str">
        <f>IFERROR(__xludf.DUMMYFUNCTION("""COMPUTED_VALUE"""),"Emily Ma")</f>
        <v>Emily Ma</v>
      </c>
      <c r="H3570" s="24">
        <f>IFERROR(__xludf.DUMMYFUNCTION("""COMPUTED_VALUE"""),6.0)</f>
        <v>6</v>
      </c>
      <c r="I3570" s="24" t="str">
        <f>IFERROR(__xludf.DUMMYFUNCTION("""COMPUTED_VALUE"""),"Damage/expired/extra")</f>
        <v>Damage/expired/extra</v>
      </c>
    </row>
    <row r="3571">
      <c r="A3571" s="23">
        <f>IFERROR(__xludf.DUMMYFUNCTION("""COMPUTED_VALUE"""),44846.0)</f>
        <v>44846</v>
      </c>
      <c r="B3571" s="24" t="str">
        <f>IFERROR(__xludf.DUMMYFUNCTION("""COMPUTED_VALUE"""),"Hong Xue")</f>
        <v>Hong Xue</v>
      </c>
      <c r="C3571" s="24">
        <f>IFERROR(__xludf.DUMMYFUNCTION("""COMPUTED_VALUE"""),23.0)</f>
        <v>23</v>
      </c>
      <c r="D3571" s="24" t="str">
        <f>IFERROR(__xludf.DUMMYFUNCTION("""COMPUTED_VALUE"""),"Damage/expired/extra")</f>
        <v>Damage/expired/extra</v>
      </c>
      <c r="F3571" s="23">
        <f>IFERROR(__xludf.DUMMYFUNCTION("""COMPUTED_VALUE"""),44877.6988264699)</f>
        <v>44877.69883</v>
      </c>
      <c r="G3571" s="24" t="str">
        <f>IFERROR(__xludf.DUMMYFUNCTION("""COMPUTED_VALUE"""),"nathan so")</f>
        <v>nathan so</v>
      </c>
      <c r="H3571" s="24">
        <f>IFERROR(__xludf.DUMMYFUNCTION("""COMPUTED_VALUE"""),12.0)</f>
        <v>12</v>
      </c>
      <c r="I3571" s="24" t="str">
        <f>IFERROR(__xludf.DUMMYFUNCTION("""COMPUTED_VALUE"""),"Regular (up to 20lbs)")</f>
        <v>Regular (up to 20lbs)</v>
      </c>
    </row>
    <row r="3572">
      <c r="A3572" s="23">
        <f>IFERROR(__xludf.DUMMYFUNCTION("""COMPUTED_VALUE"""),44847.6929562963)</f>
        <v>44847.69296</v>
      </c>
      <c r="B3572" s="24" t="str">
        <f>IFERROR(__xludf.DUMMYFUNCTION("""COMPUTED_VALUE"""),"Bertille")</f>
        <v>Bertille</v>
      </c>
      <c r="C3572" s="24">
        <f>IFERROR(__xludf.DUMMYFUNCTION("""COMPUTED_VALUE"""),10.0)</f>
        <v>10</v>
      </c>
      <c r="D3572" s="24" t="str">
        <f>IFERROR(__xludf.DUMMYFUNCTION("""COMPUTED_VALUE"""),"Regular (up to 20lbs)")</f>
        <v>Regular (up to 20lbs)</v>
      </c>
      <c r="F3572" s="23">
        <f>IFERROR(__xludf.DUMMYFUNCTION("""COMPUTED_VALUE"""),44877.69918768519)</f>
        <v>44877.69919</v>
      </c>
      <c r="G3572" s="24" t="str">
        <f>IFERROR(__xludf.DUMMYFUNCTION("""COMPUTED_VALUE"""),"Tiffany Jiang")</f>
        <v>Tiffany Jiang</v>
      </c>
      <c r="H3572" s="24">
        <f>IFERROR(__xludf.DUMMYFUNCTION("""COMPUTED_VALUE"""),10.0)</f>
        <v>10</v>
      </c>
      <c r="I3572" s="24" t="str">
        <f>IFERROR(__xludf.DUMMYFUNCTION("""COMPUTED_VALUE"""),"Regular (up to 20lbs)")</f>
        <v>Regular (up to 20lbs)</v>
      </c>
    </row>
    <row r="3573">
      <c r="A3573" s="23">
        <f>IFERROR(__xludf.DUMMYFUNCTION("""COMPUTED_VALUE"""),44847.69345210648)</f>
        <v>44847.69345</v>
      </c>
      <c r="B3573" s="24" t="str">
        <f>IFERROR(__xludf.DUMMYFUNCTION("""COMPUTED_VALUE"""),"Bertille")</f>
        <v>Bertille</v>
      </c>
      <c r="C3573" s="24">
        <f>IFERROR(__xludf.DUMMYFUNCTION("""COMPUTED_VALUE"""),4.0)</f>
        <v>4</v>
      </c>
      <c r="D3573" s="24" t="str">
        <f>IFERROR(__xludf.DUMMYFUNCTION("""COMPUTED_VALUE"""),"Damage/expired/extra")</f>
        <v>Damage/expired/extra</v>
      </c>
      <c r="F3573" s="23">
        <f>IFERROR(__xludf.DUMMYFUNCTION("""COMPUTED_VALUE"""),44877.699824537034)</f>
        <v>44877.69982</v>
      </c>
      <c r="G3573" s="24" t="str">
        <f>IFERROR(__xludf.DUMMYFUNCTION("""COMPUTED_VALUE"""),"Sahmya Lake")</f>
        <v>Sahmya Lake</v>
      </c>
      <c r="H3573" s="24">
        <f>IFERROR(__xludf.DUMMYFUNCTION("""COMPUTED_VALUE"""),12.0)</f>
        <v>12</v>
      </c>
      <c r="I3573" s="24" t="str">
        <f>IFERROR(__xludf.DUMMYFUNCTION("""COMPUTED_VALUE"""),"Regular (up to 20lbs)")</f>
        <v>Regular (up to 20lbs)</v>
      </c>
    </row>
    <row r="3574">
      <c r="A3574" s="23">
        <f>IFERROR(__xludf.DUMMYFUNCTION("""COMPUTED_VALUE"""),44847.69435827546)</f>
        <v>44847.69436</v>
      </c>
      <c r="B3574" s="24" t="str">
        <f>IFERROR(__xludf.DUMMYFUNCTION("""COMPUTED_VALUE"""),"Norma")</f>
        <v>Norma</v>
      </c>
      <c r="C3574" s="24">
        <f>IFERROR(__xludf.DUMMYFUNCTION("""COMPUTED_VALUE"""),17.0)</f>
        <v>17</v>
      </c>
      <c r="D3574" s="24" t="str">
        <f>IFERROR(__xludf.DUMMYFUNCTION("""COMPUTED_VALUE"""),"Regular (up to 20lbs)")</f>
        <v>Regular (up to 20lbs)</v>
      </c>
      <c r="F3574" s="23">
        <f>IFERROR(__xludf.DUMMYFUNCTION("""COMPUTED_VALUE"""),44877.70077726852)</f>
        <v>44877.70078</v>
      </c>
      <c r="G3574" s="24" t="str">
        <f>IFERROR(__xludf.DUMMYFUNCTION("""COMPUTED_VALUE"""),"Shuwonjah Jeffrey ")</f>
        <v>Shuwonjah Jeffrey </v>
      </c>
      <c r="H3574" s="24">
        <f>IFERROR(__xludf.DUMMYFUNCTION("""COMPUTED_VALUE"""),35.0)</f>
        <v>35</v>
      </c>
      <c r="I3574" s="24" t="str">
        <f>IFERROR(__xludf.DUMMYFUNCTION("""COMPUTED_VALUE"""),"Regular (up to 20lbs)")</f>
        <v>Regular (up to 20lbs)</v>
      </c>
    </row>
    <row r="3575">
      <c r="A3575" s="23">
        <f>IFERROR(__xludf.DUMMYFUNCTION("""COMPUTED_VALUE"""),44847.694678125)</f>
        <v>44847.69468</v>
      </c>
      <c r="B3575" s="24" t="str">
        <f>IFERROR(__xludf.DUMMYFUNCTION("""COMPUTED_VALUE"""),"Norma")</f>
        <v>Norma</v>
      </c>
      <c r="C3575" s="24">
        <f>IFERROR(__xludf.DUMMYFUNCTION("""COMPUTED_VALUE"""),4.0)</f>
        <v>4</v>
      </c>
      <c r="D3575" s="24" t="str">
        <f>IFERROR(__xludf.DUMMYFUNCTION("""COMPUTED_VALUE"""),"Damage/expired/extra")</f>
        <v>Damage/expired/extra</v>
      </c>
      <c r="F3575" s="23">
        <f>IFERROR(__xludf.DUMMYFUNCTION("""COMPUTED_VALUE"""),44877.70157765046)</f>
        <v>44877.70158</v>
      </c>
      <c r="G3575" s="24" t="str">
        <f>IFERROR(__xludf.DUMMYFUNCTION("""COMPUTED_VALUE"""),"Thomas aloisi")</f>
        <v>Thomas aloisi</v>
      </c>
      <c r="H3575" s="24">
        <f>IFERROR(__xludf.DUMMYFUNCTION("""COMPUTED_VALUE"""),16.0)</f>
        <v>16</v>
      </c>
      <c r="I3575" s="24" t="str">
        <f>IFERROR(__xludf.DUMMYFUNCTION("""COMPUTED_VALUE"""),"Regular (up to 20lbs)")</f>
        <v>Regular (up to 20lbs)</v>
      </c>
    </row>
    <row r="3576">
      <c r="A3576" s="23">
        <f>IFERROR(__xludf.DUMMYFUNCTION("""COMPUTED_VALUE"""),44847.0)</f>
        <v>44847</v>
      </c>
      <c r="B3576" s="24" t="str">
        <f>IFERROR(__xludf.DUMMYFUNCTION("""COMPUTED_VALUE"""),"Melissa Thomas")</f>
        <v>Melissa Thomas</v>
      </c>
      <c r="C3576" s="24">
        <f>IFERROR(__xludf.DUMMYFUNCTION("""COMPUTED_VALUE"""),20.0)</f>
        <v>20</v>
      </c>
      <c r="D3576" s="24" t="str">
        <f>IFERROR(__xludf.DUMMYFUNCTION("""COMPUTED_VALUE"""),"Regular (up to 20lbs)")</f>
        <v>Regular (up to 20lbs)</v>
      </c>
      <c r="F3576" s="23">
        <f>IFERROR(__xludf.DUMMYFUNCTION("""COMPUTED_VALUE"""),44877.701861898146)</f>
        <v>44877.70186</v>
      </c>
      <c r="G3576" s="24" t="str">
        <f>IFERROR(__xludf.DUMMYFUNCTION("""COMPUTED_VALUE"""),"Thomas aloisi")</f>
        <v>Thomas aloisi</v>
      </c>
      <c r="H3576" s="24">
        <f>IFERROR(__xludf.DUMMYFUNCTION("""COMPUTED_VALUE"""),3.0)</f>
        <v>3</v>
      </c>
      <c r="I3576" s="24" t="str">
        <f>IFERROR(__xludf.DUMMYFUNCTION("""COMPUTED_VALUE"""),"Damage/expired/extra")</f>
        <v>Damage/expired/extra</v>
      </c>
    </row>
    <row r="3577">
      <c r="A3577" s="23">
        <f>IFERROR(__xludf.DUMMYFUNCTION("""COMPUTED_VALUE"""),44847.0)</f>
        <v>44847</v>
      </c>
      <c r="B3577" s="24" t="str">
        <f>IFERROR(__xludf.DUMMYFUNCTION("""COMPUTED_VALUE"""),"Melissa Thomas")</f>
        <v>Melissa Thomas</v>
      </c>
      <c r="C3577" s="24">
        <f>IFERROR(__xludf.DUMMYFUNCTION("""COMPUTED_VALUE"""),20.0)</f>
        <v>20</v>
      </c>
      <c r="D3577" s="24" t="str">
        <f>IFERROR(__xludf.DUMMYFUNCTION("""COMPUTED_VALUE"""),"Damage/expired/extra")</f>
        <v>Damage/expired/extra</v>
      </c>
      <c r="F3577" s="23">
        <f>IFERROR(__xludf.DUMMYFUNCTION("""COMPUTED_VALUE"""),44877.70212226852)</f>
        <v>44877.70212</v>
      </c>
      <c r="G3577" s="24" t="str">
        <f>IFERROR(__xludf.DUMMYFUNCTION("""COMPUTED_VALUE"""),"Nakia Bailey")</f>
        <v>Nakia Bailey</v>
      </c>
      <c r="H3577" s="24">
        <f>IFERROR(__xludf.DUMMYFUNCTION("""COMPUTED_VALUE"""),20.0)</f>
        <v>20</v>
      </c>
      <c r="I3577" s="24" t="str">
        <f>IFERROR(__xludf.DUMMYFUNCTION("""COMPUTED_VALUE"""),"Regular (up to 20lbs)")</f>
        <v>Regular (up to 20lbs)</v>
      </c>
    </row>
    <row r="3578">
      <c r="A3578" s="23">
        <f>IFERROR(__xludf.DUMMYFUNCTION("""COMPUTED_VALUE"""),44846.0)</f>
        <v>44846</v>
      </c>
      <c r="B3578" s="24" t="str">
        <f>IFERROR(__xludf.DUMMYFUNCTION("""COMPUTED_VALUE"""),"Julia Buckson")</f>
        <v>Julia Buckson</v>
      </c>
      <c r="C3578" s="24">
        <f>IFERROR(__xludf.DUMMYFUNCTION("""COMPUTED_VALUE"""),20.0)</f>
        <v>20</v>
      </c>
      <c r="D3578" s="24" t="str">
        <f>IFERROR(__xludf.DUMMYFUNCTION("""COMPUTED_VALUE"""),"Regular (up to 20lbs)")</f>
        <v>Regular (up to 20lbs)</v>
      </c>
      <c r="F3578" s="23">
        <f>IFERROR(__xludf.DUMMYFUNCTION("""COMPUTED_VALUE"""),44877.70231541667)</f>
        <v>44877.70232</v>
      </c>
      <c r="G3578" s="24" t="str">
        <f>IFERROR(__xludf.DUMMYFUNCTION("""COMPUTED_VALUE"""),"Kevin mischka")</f>
        <v>Kevin mischka</v>
      </c>
      <c r="H3578" s="24">
        <f>IFERROR(__xludf.DUMMYFUNCTION("""COMPUTED_VALUE"""),20.0)</f>
        <v>20</v>
      </c>
      <c r="I3578" s="24" t="str">
        <f>IFERROR(__xludf.DUMMYFUNCTION("""COMPUTED_VALUE"""),"Regular (up to 20lbs)")</f>
        <v>Regular (up to 20lbs)</v>
      </c>
    </row>
    <row r="3579">
      <c r="A3579" s="23">
        <f>IFERROR(__xludf.DUMMYFUNCTION("""COMPUTED_VALUE"""),44846.0)</f>
        <v>44846</v>
      </c>
      <c r="B3579" s="24" t="str">
        <f>IFERROR(__xludf.DUMMYFUNCTION("""COMPUTED_VALUE"""),"Julia Buckson")</f>
        <v>Julia Buckson</v>
      </c>
      <c r="C3579" s="24">
        <f>IFERROR(__xludf.DUMMYFUNCTION("""COMPUTED_VALUE"""),7.0)</f>
        <v>7</v>
      </c>
      <c r="D3579" s="24" t="str">
        <f>IFERROR(__xludf.DUMMYFUNCTION("""COMPUTED_VALUE"""),"Damage/expired/extra")</f>
        <v>Damage/expired/extra</v>
      </c>
      <c r="F3579" s="23">
        <f>IFERROR(__xludf.DUMMYFUNCTION("""COMPUTED_VALUE"""),44877.70235097222)</f>
        <v>44877.70235</v>
      </c>
      <c r="G3579" s="24" t="str">
        <f>IFERROR(__xludf.DUMMYFUNCTION("""COMPUTED_VALUE"""),"Nakia Bailey")</f>
        <v>Nakia Bailey</v>
      </c>
      <c r="H3579" s="24">
        <f>IFERROR(__xludf.DUMMYFUNCTION("""COMPUTED_VALUE"""),11.0)</f>
        <v>11</v>
      </c>
      <c r="I3579" s="24" t="str">
        <f>IFERROR(__xludf.DUMMYFUNCTION("""COMPUTED_VALUE"""),"Damage/expired/extra")</f>
        <v>Damage/expired/extra</v>
      </c>
    </row>
    <row r="3580">
      <c r="A3580" s="23">
        <f>IFERROR(__xludf.DUMMYFUNCTION("""COMPUTED_VALUE"""),44847.0)</f>
        <v>44847</v>
      </c>
      <c r="B3580" s="24" t="str">
        <f>IFERROR(__xludf.DUMMYFUNCTION("""COMPUTED_VALUE"""),"Nathaniel McClean")</f>
        <v>Nathaniel McClean</v>
      </c>
      <c r="C3580" s="24">
        <f>IFERROR(__xludf.DUMMYFUNCTION("""COMPUTED_VALUE"""),19.0)</f>
        <v>19</v>
      </c>
      <c r="D3580" s="24" t="str">
        <f>IFERROR(__xludf.DUMMYFUNCTION("""COMPUTED_VALUE"""),"Regular (up to 20lbs)")</f>
        <v>Regular (up to 20lbs)</v>
      </c>
      <c r="F3580" s="23">
        <f>IFERROR(__xludf.DUMMYFUNCTION("""COMPUTED_VALUE"""),44877.70258856481)</f>
        <v>44877.70259</v>
      </c>
      <c r="G3580" s="24" t="str">
        <f>IFERROR(__xludf.DUMMYFUNCTION("""COMPUTED_VALUE"""),"Kevin Mischka")</f>
        <v>Kevin Mischka</v>
      </c>
      <c r="H3580" s="24">
        <f>IFERROR(__xludf.DUMMYFUNCTION("""COMPUTED_VALUE"""),6.0)</f>
        <v>6</v>
      </c>
      <c r="I3580" s="24" t="str">
        <f>IFERROR(__xludf.DUMMYFUNCTION("""COMPUTED_VALUE"""),"Damage/expired/extra")</f>
        <v>Damage/expired/extra</v>
      </c>
    </row>
    <row r="3581">
      <c r="A3581" s="23">
        <f>IFERROR(__xludf.DUMMYFUNCTION("""COMPUTED_VALUE"""),44847.0)</f>
        <v>44847</v>
      </c>
      <c r="B3581" s="24" t="str">
        <f>IFERROR(__xludf.DUMMYFUNCTION("""COMPUTED_VALUE"""),"Nathaniel McClean")</f>
        <v>Nathaniel McClean</v>
      </c>
      <c r="C3581" s="24">
        <f>IFERROR(__xludf.DUMMYFUNCTION("""COMPUTED_VALUE"""),5.0)</f>
        <v>5</v>
      </c>
      <c r="D3581" s="24" t="str">
        <f>IFERROR(__xludf.DUMMYFUNCTION("""COMPUTED_VALUE"""),"Damage/expired/extra")</f>
        <v>Damage/expired/extra</v>
      </c>
      <c r="F3581" s="23">
        <f>IFERROR(__xludf.DUMMYFUNCTION("""COMPUTED_VALUE"""),44877.705036666666)</f>
        <v>44877.70504</v>
      </c>
      <c r="G3581" s="24" t="str">
        <f>IFERROR(__xludf.DUMMYFUNCTION("""COMPUTED_VALUE"""),"Nevaeh Christy ")</f>
        <v>Nevaeh Christy </v>
      </c>
      <c r="H3581" s="24">
        <f>IFERROR(__xludf.DUMMYFUNCTION("""COMPUTED_VALUE"""),20.0)</f>
        <v>20</v>
      </c>
      <c r="I3581" s="24" t="str">
        <f>IFERROR(__xludf.DUMMYFUNCTION("""COMPUTED_VALUE"""),"Regular (up to 20lbs)")</f>
        <v>Regular (up to 20lbs)</v>
      </c>
    </row>
    <row r="3582">
      <c r="A3582" s="23">
        <f>IFERROR(__xludf.DUMMYFUNCTION("""COMPUTED_VALUE"""),44847.83851945602)</f>
        <v>44847.83852</v>
      </c>
      <c r="B3582" s="24" t="str">
        <f>IFERROR(__xludf.DUMMYFUNCTION("""COMPUTED_VALUE"""),"Adeola Sulaiman ")</f>
        <v>Adeola Sulaiman </v>
      </c>
      <c r="C3582" s="24">
        <f>IFERROR(__xludf.DUMMYFUNCTION("""COMPUTED_VALUE"""),20.0)</f>
        <v>20</v>
      </c>
      <c r="D3582" s="24" t="str">
        <f>IFERROR(__xludf.DUMMYFUNCTION("""COMPUTED_VALUE"""),"Regular (up to 20lbs)")</f>
        <v>Regular (up to 20lbs)</v>
      </c>
      <c r="F3582" s="23">
        <f>IFERROR(__xludf.DUMMYFUNCTION("""COMPUTED_VALUE"""),44877.70565780093)</f>
        <v>44877.70566</v>
      </c>
      <c r="G3582" s="24" t="str">
        <f>IFERROR(__xludf.DUMMYFUNCTION("""COMPUTED_VALUE"""),"Sanaa Beck")</f>
        <v>Sanaa Beck</v>
      </c>
      <c r="H3582" s="24">
        <f>IFERROR(__xludf.DUMMYFUNCTION("""COMPUTED_VALUE"""),20.0)</f>
        <v>20</v>
      </c>
      <c r="I3582" s="24" t="str">
        <f>IFERROR(__xludf.DUMMYFUNCTION("""COMPUTED_VALUE"""),"Regular (up to 20lbs)")</f>
        <v>Regular (up to 20lbs)</v>
      </c>
    </row>
    <row r="3583">
      <c r="A3583" s="23">
        <f>IFERROR(__xludf.DUMMYFUNCTION("""COMPUTED_VALUE"""),44847.83867498842)</f>
        <v>44847.83867</v>
      </c>
      <c r="B3583" s="24" t="str">
        <f>IFERROR(__xludf.DUMMYFUNCTION("""COMPUTED_VALUE"""),"adeola sulaiman")</f>
        <v>adeola sulaiman</v>
      </c>
      <c r="C3583" s="24">
        <f>IFERROR(__xludf.DUMMYFUNCTION("""COMPUTED_VALUE"""),3.0)</f>
        <v>3</v>
      </c>
      <c r="D3583" s="24" t="str">
        <f>IFERROR(__xludf.DUMMYFUNCTION("""COMPUTED_VALUE"""),"Damage/expired/extra")</f>
        <v>Damage/expired/extra</v>
      </c>
      <c r="F3583" s="23">
        <f>IFERROR(__xludf.DUMMYFUNCTION("""COMPUTED_VALUE"""),44877.70591278935)</f>
        <v>44877.70591</v>
      </c>
      <c r="G3583" s="24" t="str">
        <f>IFERROR(__xludf.DUMMYFUNCTION("""COMPUTED_VALUE"""),"Nevaeh Christy ")</f>
        <v>Nevaeh Christy </v>
      </c>
      <c r="H3583" s="24">
        <f>IFERROR(__xludf.DUMMYFUNCTION("""COMPUTED_VALUE"""),3.0)</f>
        <v>3</v>
      </c>
      <c r="I3583" s="24" t="str">
        <f>IFERROR(__xludf.DUMMYFUNCTION("""COMPUTED_VALUE"""),"Damage/expired/extra")</f>
        <v>Damage/expired/extra</v>
      </c>
    </row>
    <row r="3584">
      <c r="A3584" s="23">
        <f>IFERROR(__xludf.DUMMYFUNCTION("""COMPUTED_VALUE"""),44847.84021746528)</f>
        <v>44847.84022</v>
      </c>
      <c r="B3584" s="24" t="str">
        <f>IFERROR(__xludf.DUMMYFUNCTION("""COMPUTED_VALUE"""),"Sheneil")</f>
        <v>Sheneil</v>
      </c>
      <c r="C3584" s="24">
        <f>IFERROR(__xludf.DUMMYFUNCTION("""COMPUTED_VALUE"""),19.0)</f>
        <v>19</v>
      </c>
      <c r="D3584" s="24" t="str">
        <f>IFERROR(__xludf.DUMMYFUNCTION("""COMPUTED_VALUE"""),"Regular (up to 20lbs)")</f>
        <v>Regular (up to 20lbs)</v>
      </c>
      <c r="F3584" s="23">
        <f>IFERROR(__xludf.DUMMYFUNCTION("""COMPUTED_VALUE"""),44877.70592934028)</f>
        <v>44877.70593</v>
      </c>
      <c r="G3584" s="24" t="str">
        <f>IFERROR(__xludf.DUMMYFUNCTION("""COMPUTED_VALUE"""),"Sanaa Bec")</f>
        <v>Sanaa Bec</v>
      </c>
      <c r="H3584" s="24">
        <f>IFERROR(__xludf.DUMMYFUNCTION("""COMPUTED_VALUE"""),4.0)</f>
        <v>4</v>
      </c>
      <c r="I3584" s="24" t="str">
        <f>IFERROR(__xludf.DUMMYFUNCTION("""COMPUTED_VALUE"""),"Damage/expired/extra")</f>
        <v>Damage/expired/extra</v>
      </c>
    </row>
    <row r="3585">
      <c r="A3585" s="23">
        <f>IFERROR(__xludf.DUMMYFUNCTION("""COMPUTED_VALUE"""),44847.84032633102)</f>
        <v>44847.84033</v>
      </c>
      <c r="B3585" s="24" t="str">
        <f>IFERROR(__xludf.DUMMYFUNCTION("""COMPUTED_VALUE"""),"Sheneil")</f>
        <v>Sheneil</v>
      </c>
      <c r="C3585" s="24">
        <f>IFERROR(__xludf.DUMMYFUNCTION("""COMPUTED_VALUE"""),4.0)</f>
        <v>4</v>
      </c>
      <c r="D3585" s="24" t="str">
        <f>IFERROR(__xludf.DUMMYFUNCTION("""COMPUTED_VALUE"""),"Damage/expired/extra")</f>
        <v>Damage/expired/extra</v>
      </c>
      <c r="F3585" s="23">
        <f>IFERROR(__xludf.DUMMYFUNCTION("""COMPUTED_VALUE"""),44877.70624633102)</f>
        <v>44877.70625</v>
      </c>
      <c r="G3585" s="24" t="str">
        <f>IFERROR(__xludf.DUMMYFUNCTION("""COMPUTED_VALUE"""),"Emily Stucke")</f>
        <v>Emily Stucke</v>
      </c>
      <c r="H3585" s="24">
        <f>IFERROR(__xludf.DUMMYFUNCTION("""COMPUTED_VALUE"""),12.0)</f>
        <v>12</v>
      </c>
      <c r="I3585" s="24" t="str">
        <f>IFERROR(__xludf.DUMMYFUNCTION("""COMPUTED_VALUE"""),"Regular (up to 20lbs)")</f>
        <v>Regular (up to 20lbs)</v>
      </c>
    </row>
    <row r="3586">
      <c r="A3586" s="23">
        <f>IFERROR(__xludf.DUMMYFUNCTION("""COMPUTED_VALUE"""),44848.0)</f>
        <v>44848</v>
      </c>
      <c r="B3586" s="24" t="str">
        <f>IFERROR(__xludf.DUMMYFUNCTION("""COMPUTED_VALUE"""),"Theresa Columbus")</f>
        <v>Theresa Columbus</v>
      </c>
      <c r="C3586" s="24">
        <f>IFERROR(__xludf.DUMMYFUNCTION("""COMPUTED_VALUE"""),20.0)</f>
        <v>20</v>
      </c>
      <c r="D3586" s="24" t="str">
        <f>IFERROR(__xludf.DUMMYFUNCTION("""COMPUTED_VALUE"""),"Regular (up to 20lbs)")</f>
        <v>Regular (up to 20lbs)</v>
      </c>
      <c r="F3586" s="23">
        <f>IFERROR(__xludf.DUMMYFUNCTION("""COMPUTED_VALUE"""),44877.70738142361)</f>
        <v>44877.70738</v>
      </c>
      <c r="G3586" s="24" t="str">
        <f>IFERROR(__xludf.DUMMYFUNCTION("""COMPUTED_VALUE"""),"Cheryl A Utsey")</f>
        <v>Cheryl A Utsey</v>
      </c>
      <c r="H3586" s="24">
        <f>IFERROR(__xludf.DUMMYFUNCTION("""COMPUTED_VALUE"""),20.0)</f>
        <v>20</v>
      </c>
      <c r="I3586" s="24" t="str">
        <f>IFERROR(__xludf.DUMMYFUNCTION("""COMPUTED_VALUE"""),"Regular (up to 20lbs)")</f>
        <v>Regular (up to 20lbs)</v>
      </c>
    </row>
    <row r="3587">
      <c r="A3587" s="23">
        <f>IFERROR(__xludf.DUMMYFUNCTION("""COMPUTED_VALUE"""),44848.0)</f>
        <v>44848</v>
      </c>
      <c r="B3587" s="24" t="str">
        <f>IFERROR(__xludf.DUMMYFUNCTION("""COMPUTED_VALUE"""),"Theresa Columbus")</f>
        <v>Theresa Columbus</v>
      </c>
      <c r="C3587" s="24">
        <f>IFERROR(__xludf.DUMMYFUNCTION("""COMPUTED_VALUE"""),8.0)</f>
        <v>8</v>
      </c>
      <c r="D3587" s="24" t="str">
        <f>IFERROR(__xludf.DUMMYFUNCTION("""COMPUTED_VALUE"""),"Damage/expired/extra")</f>
        <v>Damage/expired/extra</v>
      </c>
      <c r="F3587" s="23">
        <f>IFERROR(__xludf.DUMMYFUNCTION("""COMPUTED_VALUE"""),44877.70791189815)</f>
        <v>44877.70791</v>
      </c>
      <c r="G3587" s="24" t="str">
        <f>IFERROR(__xludf.DUMMYFUNCTION("""COMPUTED_VALUE"""),"Dean Chien")</f>
        <v>Dean Chien</v>
      </c>
      <c r="H3587" s="24">
        <f>IFERROR(__xludf.DUMMYFUNCTION("""COMPUTED_VALUE"""),5.0)</f>
        <v>5</v>
      </c>
      <c r="I3587" s="24" t="str">
        <f>IFERROR(__xludf.DUMMYFUNCTION("""COMPUTED_VALUE"""),"Regular (up to 20lbs)")</f>
        <v>Regular (up to 20lbs)</v>
      </c>
    </row>
    <row r="3588">
      <c r="A3588" s="23">
        <f>IFERROR(__xludf.DUMMYFUNCTION("""COMPUTED_VALUE"""),44848.703199930555)</f>
        <v>44848.7032</v>
      </c>
      <c r="B3588" s="24" t="str">
        <f>IFERROR(__xludf.DUMMYFUNCTION("""COMPUTED_VALUE"""),"Sunita pathik")</f>
        <v>Sunita pathik</v>
      </c>
      <c r="C3588" s="24">
        <f>IFERROR(__xludf.DUMMYFUNCTION("""COMPUTED_VALUE"""),5.0)</f>
        <v>5</v>
      </c>
      <c r="D3588" s="24" t="str">
        <f>IFERROR(__xludf.DUMMYFUNCTION("""COMPUTED_VALUE"""),"Regular (up to 20lbs)")</f>
        <v>Regular (up to 20lbs)</v>
      </c>
      <c r="F3588" s="23">
        <f>IFERROR(__xludf.DUMMYFUNCTION("""COMPUTED_VALUE"""),44877.70801054398)</f>
        <v>44877.70801</v>
      </c>
      <c r="G3588" s="24" t="str">
        <f>IFERROR(__xludf.DUMMYFUNCTION("""COMPUTED_VALUE"""),"Dean Chien")</f>
        <v>Dean Chien</v>
      </c>
      <c r="H3588" s="24">
        <f>IFERROR(__xludf.DUMMYFUNCTION("""COMPUTED_VALUE"""),1.0)</f>
        <v>1</v>
      </c>
      <c r="I3588" s="24" t="str">
        <f>IFERROR(__xludf.DUMMYFUNCTION("""COMPUTED_VALUE"""),"Damage/expired/extra")</f>
        <v>Damage/expired/extra</v>
      </c>
    </row>
    <row r="3589">
      <c r="A3589" s="23">
        <f>IFERROR(__xludf.DUMMYFUNCTION("""COMPUTED_VALUE"""),44848.70708361111)</f>
        <v>44848.70708</v>
      </c>
      <c r="B3589" s="24" t="str">
        <f>IFERROR(__xludf.DUMMYFUNCTION("""COMPUTED_VALUE"""),"Beth Torres")</f>
        <v>Beth Torres</v>
      </c>
      <c r="C3589" s="24">
        <f>IFERROR(__xludf.DUMMYFUNCTION("""COMPUTED_VALUE"""),8.0)</f>
        <v>8</v>
      </c>
      <c r="D3589" s="24" t="str">
        <f>IFERROR(__xludf.DUMMYFUNCTION("""COMPUTED_VALUE"""),"Regular (up to 20lbs)")</f>
        <v>Regular (up to 20lbs)</v>
      </c>
      <c r="F3589" s="23">
        <f>IFERROR(__xludf.DUMMYFUNCTION("""COMPUTED_VALUE"""),44877.735577650456)</f>
        <v>44877.73558</v>
      </c>
      <c r="G3589" s="24" t="str">
        <f>IFERROR(__xludf.DUMMYFUNCTION("""COMPUTED_VALUE"""),"Lynnette c")</f>
        <v>Lynnette c</v>
      </c>
      <c r="H3589" s="24">
        <f>IFERROR(__xludf.DUMMYFUNCTION("""COMPUTED_VALUE"""),20.0)</f>
        <v>20</v>
      </c>
      <c r="I3589" s="24" t="str">
        <f>IFERROR(__xludf.DUMMYFUNCTION("""COMPUTED_VALUE"""),"Regular (up to 20lbs)")</f>
        <v>Regular (up to 20lbs)</v>
      </c>
    </row>
    <row r="3590">
      <c r="A3590" s="23">
        <f>IFERROR(__xludf.DUMMYFUNCTION("""COMPUTED_VALUE"""),44848.70723965278)</f>
        <v>44848.70724</v>
      </c>
      <c r="B3590" s="24" t="str">
        <f>IFERROR(__xludf.DUMMYFUNCTION("""COMPUTED_VALUE"""),"Beth Torres")</f>
        <v>Beth Torres</v>
      </c>
      <c r="C3590" s="24">
        <f>IFERROR(__xludf.DUMMYFUNCTION("""COMPUTED_VALUE"""),12.0)</f>
        <v>12</v>
      </c>
      <c r="D3590" s="24" t="str">
        <f>IFERROR(__xludf.DUMMYFUNCTION("""COMPUTED_VALUE"""),"Damage/expired/extra")</f>
        <v>Damage/expired/extra</v>
      </c>
      <c r="F3590" s="23">
        <f>IFERROR(__xludf.DUMMYFUNCTION("""COMPUTED_VALUE"""),44877.73663616898)</f>
        <v>44877.73664</v>
      </c>
      <c r="G3590" s="24" t="str">
        <f>IFERROR(__xludf.DUMMYFUNCTION("""COMPUTED_VALUE"""),"Lynnette ")</f>
        <v>Lynnette </v>
      </c>
      <c r="H3590" s="24">
        <f>IFERROR(__xludf.DUMMYFUNCTION("""COMPUTED_VALUE"""),6.0)</f>
        <v>6</v>
      </c>
      <c r="I3590" s="24" t="str">
        <f>IFERROR(__xludf.DUMMYFUNCTION("""COMPUTED_VALUE"""),"Damage/expired/extra")</f>
        <v>Damage/expired/extra</v>
      </c>
    </row>
    <row r="3591">
      <c r="A3591" s="23">
        <f>IFERROR(__xludf.DUMMYFUNCTION("""COMPUTED_VALUE"""),44848.70936296296)</f>
        <v>44848.70936</v>
      </c>
      <c r="B3591" s="24" t="str">
        <f>IFERROR(__xludf.DUMMYFUNCTION("""COMPUTED_VALUE"""),"Juanita Chandler ")</f>
        <v>Juanita Chandler </v>
      </c>
      <c r="C3591" s="24">
        <f>IFERROR(__xludf.DUMMYFUNCTION("""COMPUTED_VALUE"""),21.0)</f>
        <v>21</v>
      </c>
      <c r="D3591" s="24" t="str">
        <f>IFERROR(__xludf.DUMMYFUNCTION("""COMPUTED_VALUE"""),"Regular (up to 20lbs)")</f>
        <v>Regular (up to 20lbs)</v>
      </c>
      <c r="F3591" s="23">
        <f>IFERROR(__xludf.DUMMYFUNCTION("""COMPUTED_VALUE"""),44878.0)</f>
        <v>44878</v>
      </c>
      <c r="G3591" s="24" t="str">
        <f>IFERROR(__xludf.DUMMYFUNCTION("""COMPUTED_VALUE"""),"Claire")</f>
        <v>Claire</v>
      </c>
      <c r="H3591" s="24">
        <f>IFERROR(__xludf.DUMMYFUNCTION("""COMPUTED_VALUE"""),322.0)</f>
        <v>322</v>
      </c>
      <c r="I3591" s="24" t="str">
        <f>IFERROR(__xludf.DUMMYFUNCTION("""COMPUTED_VALUE"""),"Assorted Dry")</f>
        <v>Assorted Dry</v>
      </c>
    </row>
    <row r="3592">
      <c r="A3592" s="23">
        <f>IFERROR(__xludf.DUMMYFUNCTION("""COMPUTED_VALUE"""),44848.70965431713)</f>
        <v>44848.70965</v>
      </c>
      <c r="B3592" s="24" t="str">
        <f>IFERROR(__xludf.DUMMYFUNCTION("""COMPUTED_VALUE"""),"Juanita Chandler ")</f>
        <v>Juanita Chandler </v>
      </c>
      <c r="C3592" s="24">
        <f>IFERROR(__xludf.DUMMYFUNCTION("""COMPUTED_VALUE"""),5.0)</f>
        <v>5</v>
      </c>
      <c r="D3592" s="24" t="str">
        <f>IFERROR(__xludf.DUMMYFUNCTION("""COMPUTED_VALUE"""),"Damage/expired/extra")</f>
        <v>Damage/expired/extra</v>
      </c>
      <c r="F3592" s="23">
        <f>IFERROR(__xludf.DUMMYFUNCTION("""COMPUTED_VALUE"""),44878.0)</f>
        <v>44878</v>
      </c>
      <c r="G3592" s="24" t="str">
        <f>IFERROR(__xludf.DUMMYFUNCTION("""COMPUTED_VALUE"""),"Claire")</f>
        <v>Claire</v>
      </c>
      <c r="H3592" s="24">
        <f>IFERROR(__xludf.DUMMYFUNCTION("""COMPUTED_VALUE"""),160.0)</f>
        <v>160</v>
      </c>
      <c r="I3592" s="24" t="str">
        <f>IFERROR(__xludf.DUMMYFUNCTION("""COMPUTED_VALUE"""),"Dairy")</f>
        <v>Dairy</v>
      </c>
    </row>
    <row r="3593">
      <c r="A3593" s="23">
        <f>IFERROR(__xludf.DUMMYFUNCTION("""COMPUTED_VALUE"""),44849.689516157414)</f>
        <v>44849.68952</v>
      </c>
      <c r="B3593" s="24" t="str">
        <f>IFERROR(__xludf.DUMMYFUNCTION("""COMPUTED_VALUE"""),"ryan jedlicka")</f>
        <v>ryan jedlicka</v>
      </c>
      <c r="C3593" s="24">
        <f>IFERROR(__xludf.DUMMYFUNCTION("""COMPUTED_VALUE"""),20.0)</f>
        <v>20</v>
      </c>
      <c r="D3593" s="24" t="str">
        <f>IFERROR(__xludf.DUMMYFUNCTION("""COMPUTED_VALUE"""),"Regular (up to 20lbs)")</f>
        <v>Regular (up to 20lbs)</v>
      </c>
      <c r="F3593" s="23">
        <f>IFERROR(__xludf.DUMMYFUNCTION("""COMPUTED_VALUE"""),44878.0)</f>
        <v>44878</v>
      </c>
      <c r="G3593" s="24" t="str">
        <f>IFERROR(__xludf.DUMMYFUNCTION("""COMPUTED_VALUE"""),"Claire")</f>
        <v>Claire</v>
      </c>
      <c r="H3593" s="24">
        <f>IFERROR(__xludf.DUMMYFUNCTION("""COMPUTED_VALUE"""),74.0)</f>
        <v>74</v>
      </c>
      <c r="I3593" s="24" t="str">
        <f>IFERROR(__xludf.DUMMYFUNCTION("""COMPUTED_VALUE"""),"Snacks")</f>
        <v>Snacks</v>
      </c>
    </row>
    <row r="3594">
      <c r="A3594" s="23">
        <f>IFERROR(__xludf.DUMMYFUNCTION("""COMPUTED_VALUE"""),44849.69089521991)</f>
        <v>44849.6909</v>
      </c>
      <c r="B3594" s="24" t="str">
        <f>IFERROR(__xludf.DUMMYFUNCTION("""COMPUTED_VALUE"""),"Emily Stucke")</f>
        <v>Emily Stucke</v>
      </c>
      <c r="C3594" s="24">
        <f>IFERROR(__xludf.DUMMYFUNCTION("""COMPUTED_VALUE"""),4.0)</f>
        <v>4</v>
      </c>
      <c r="D3594" s="24" t="str">
        <f>IFERROR(__xludf.DUMMYFUNCTION("""COMPUTED_VALUE"""),"Regular (up to 20lbs)")</f>
        <v>Regular (up to 20lbs)</v>
      </c>
      <c r="F3594" s="23">
        <f>IFERROR(__xludf.DUMMYFUNCTION("""COMPUTED_VALUE"""),44878.0)</f>
        <v>44878</v>
      </c>
      <c r="G3594" s="24" t="str">
        <f>IFERROR(__xludf.DUMMYFUNCTION("""COMPUTED_VALUE"""),"Claire")</f>
        <v>Claire</v>
      </c>
      <c r="H3594" s="24">
        <f>IFERROR(__xludf.DUMMYFUNCTION("""COMPUTED_VALUE"""),148.0)</f>
        <v>148</v>
      </c>
      <c r="I3594" s="24" t="str">
        <f>IFERROR(__xludf.DUMMYFUNCTION("""COMPUTED_VALUE"""),"Dairy")</f>
        <v>Dairy</v>
      </c>
    </row>
    <row r="3595">
      <c r="A3595" s="23">
        <f>IFERROR(__xludf.DUMMYFUNCTION("""COMPUTED_VALUE"""),44849.691054409726)</f>
        <v>44849.69105</v>
      </c>
      <c r="B3595" s="24" t="str">
        <f>IFERROR(__xludf.DUMMYFUNCTION("""COMPUTED_VALUE"""),"Emily Stucke")</f>
        <v>Emily Stucke</v>
      </c>
      <c r="C3595" s="24">
        <f>IFERROR(__xludf.DUMMYFUNCTION("""COMPUTED_VALUE"""),2.0)</f>
        <v>2</v>
      </c>
      <c r="D3595" s="24" t="str">
        <f>IFERROR(__xludf.DUMMYFUNCTION("""COMPUTED_VALUE"""),"Damage/expired/extra")</f>
        <v>Damage/expired/extra</v>
      </c>
      <c r="F3595" s="23">
        <f>IFERROR(__xludf.DUMMYFUNCTION("""COMPUTED_VALUE"""),44878.0)</f>
        <v>44878</v>
      </c>
      <c r="G3595" s="24" t="str">
        <f>IFERROR(__xludf.DUMMYFUNCTION("""COMPUTED_VALUE"""),"Claire")</f>
        <v>Claire</v>
      </c>
      <c r="H3595" s="24">
        <f>IFERROR(__xludf.DUMMYFUNCTION("""COMPUTED_VALUE"""),86.0)</f>
        <v>86</v>
      </c>
      <c r="I3595" s="24" t="str">
        <f>IFERROR(__xludf.DUMMYFUNCTION("""COMPUTED_VALUE"""),"Assorted Dry")</f>
        <v>Assorted Dry</v>
      </c>
    </row>
    <row r="3596">
      <c r="A3596" s="23">
        <f>IFERROR(__xludf.DUMMYFUNCTION("""COMPUTED_VALUE"""),44849.69133190972)</f>
        <v>44849.69133</v>
      </c>
      <c r="B3596" s="24" t="str">
        <f>IFERROR(__xludf.DUMMYFUNCTION("""COMPUTED_VALUE"""),"Beverly Pinn")</f>
        <v>Beverly Pinn</v>
      </c>
      <c r="C3596" s="24">
        <f>IFERROR(__xludf.DUMMYFUNCTION("""COMPUTED_VALUE"""),10.0)</f>
        <v>10</v>
      </c>
      <c r="D3596" s="24" t="str">
        <f>IFERROR(__xludf.DUMMYFUNCTION("""COMPUTED_VALUE"""),"Regular (up to 20lbs)")</f>
        <v>Regular (up to 20lbs)</v>
      </c>
      <c r="F3596" s="23">
        <f>IFERROR(__xludf.DUMMYFUNCTION("""COMPUTED_VALUE"""),44878.0)</f>
        <v>44878</v>
      </c>
      <c r="G3596" s="24" t="str">
        <f>IFERROR(__xludf.DUMMYFUNCTION("""COMPUTED_VALUE"""),"Claire")</f>
        <v>Claire</v>
      </c>
      <c r="H3596" s="24">
        <f>IFERROR(__xludf.DUMMYFUNCTION("""COMPUTED_VALUE"""),42.0)</f>
        <v>42</v>
      </c>
      <c r="I3596" s="24" t="str">
        <f>IFERROR(__xludf.DUMMYFUNCTION("""COMPUTED_VALUE"""),"Pet Supplies")</f>
        <v>Pet Supplies</v>
      </c>
    </row>
    <row r="3597">
      <c r="A3597" s="23">
        <f>IFERROR(__xludf.DUMMYFUNCTION("""COMPUTED_VALUE"""),44849.69145324074)</f>
        <v>44849.69145</v>
      </c>
      <c r="B3597" s="24" t="str">
        <f>IFERROR(__xludf.DUMMYFUNCTION("""COMPUTED_VALUE"""),"Beverly Pinn")</f>
        <v>Beverly Pinn</v>
      </c>
      <c r="C3597" s="24">
        <f>IFERROR(__xludf.DUMMYFUNCTION("""COMPUTED_VALUE"""),3.0)</f>
        <v>3</v>
      </c>
      <c r="D3597" s="24" t="str">
        <f>IFERROR(__xludf.DUMMYFUNCTION("""COMPUTED_VALUE"""),"Damage/expired/extra")</f>
        <v>Damage/expired/extra</v>
      </c>
      <c r="F3597" s="23">
        <f>IFERROR(__xludf.DUMMYFUNCTION("""COMPUTED_VALUE"""),44878.0)</f>
        <v>44878</v>
      </c>
      <c r="G3597" s="24" t="str">
        <f>IFERROR(__xludf.DUMMYFUNCTION("""COMPUTED_VALUE"""),"Alex Wang")</f>
        <v>Alex Wang</v>
      </c>
      <c r="H3597" s="24">
        <f>IFERROR(__xludf.DUMMYFUNCTION("""COMPUTED_VALUE"""),19.0)</f>
        <v>19</v>
      </c>
      <c r="I3597" s="24" t="str">
        <f>IFERROR(__xludf.DUMMYFUNCTION("""COMPUTED_VALUE"""),"Regular (up to 20lbs)")</f>
        <v>Regular (up to 20lbs)</v>
      </c>
    </row>
    <row r="3598">
      <c r="A3598" s="23">
        <f>IFERROR(__xludf.DUMMYFUNCTION("""COMPUTED_VALUE"""),44849.691540057865)</f>
        <v>44849.69154</v>
      </c>
      <c r="B3598" s="24" t="str">
        <f>IFERROR(__xludf.DUMMYFUNCTION("""COMPUTED_VALUE"""),"ryan jedlicka")</f>
        <v>ryan jedlicka</v>
      </c>
      <c r="C3598" s="24">
        <f>IFERROR(__xludf.DUMMYFUNCTION("""COMPUTED_VALUE"""),6.0)</f>
        <v>6</v>
      </c>
      <c r="D3598" s="24" t="str">
        <f>IFERROR(__xludf.DUMMYFUNCTION("""COMPUTED_VALUE"""),"Damage/expired/extra")</f>
        <v>Damage/expired/extra</v>
      </c>
      <c r="F3598" s="23">
        <f>IFERROR(__xludf.DUMMYFUNCTION("""COMPUTED_VALUE"""),44878.0)</f>
        <v>44878</v>
      </c>
      <c r="G3598" s="24" t="str">
        <f>IFERROR(__xludf.DUMMYFUNCTION("""COMPUTED_VALUE"""),"Marci")</f>
        <v>Marci</v>
      </c>
      <c r="H3598" s="24">
        <f>IFERROR(__xludf.DUMMYFUNCTION("""COMPUTED_VALUE"""),19.0)</f>
        <v>19</v>
      </c>
      <c r="I3598" s="24" t="str">
        <f>IFERROR(__xludf.DUMMYFUNCTION("""COMPUTED_VALUE"""),"Regular (up to 20lbs)")</f>
        <v>Regular (up to 20lbs)</v>
      </c>
    </row>
    <row r="3599">
      <c r="A3599" s="23">
        <f>IFERROR(__xludf.DUMMYFUNCTION("""COMPUTED_VALUE"""),44849.704293553244)</f>
        <v>44849.70429</v>
      </c>
      <c r="B3599" s="24" t="str">
        <f>IFERROR(__xludf.DUMMYFUNCTION("""COMPUTED_VALUE"""),"Juanita Chandler ")</f>
        <v>Juanita Chandler </v>
      </c>
      <c r="C3599" s="24">
        <f>IFERROR(__xludf.DUMMYFUNCTION("""COMPUTED_VALUE"""),6.0)</f>
        <v>6</v>
      </c>
      <c r="D3599" s="24" t="str">
        <f>IFERROR(__xludf.DUMMYFUNCTION("""COMPUTED_VALUE"""),"Regular (up to 20lbs)")</f>
        <v>Regular (up to 20lbs)</v>
      </c>
      <c r="F3599" s="23">
        <f>IFERROR(__xludf.DUMMYFUNCTION("""COMPUTED_VALUE"""),44878.0)</f>
        <v>44878</v>
      </c>
      <c r="G3599" s="24" t="str">
        <f>IFERROR(__xludf.DUMMYFUNCTION("""COMPUTED_VALUE"""),"Marci")</f>
        <v>Marci</v>
      </c>
      <c r="H3599" s="24">
        <f>IFERROR(__xludf.DUMMYFUNCTION("""COMPUTED_VALUE"""),42.0)</f>
        <v>42</v>
      </c>
      <c r="I3599" s="24" t="str">
        <f>IFERROR(__xludf.DUMMYFUNCTION("""COMPUTED_VALUE"""),"Damage/expired/extra")</f>
        <v>Damage/expired/extra</v>
      </c>
    </row>
    <row r="3600">
      <c r="A3600" s="23">
        <f>IFERROR(__xludf.DUMMYFUNCTION("""COMPUTED_VALUE"""),44850.619519629625)</f>
        <v>44850.61952</v>
      </c>
      <c r="B3600" s="24" t="str">
        <f>IFERROR(__xludf.DUMMYFUNCTION("""COMPUTED_VALUE"""),"Carla")</f>
        <v>Carla</v>
      </c>
      <c r="C3600" s="24">
        <f>IFERROR(__xludf.DUMMYFUNCTION("""COMPUTED_VALUE"""),14.0)</f>
        <v>14</v>
      </c>
      <c r="D3600" s="24" t="str">
        <f>IFERROR(__xludf.DUMMYFUNCTION("""COMPUTED_VALUE"""),"Regular (up to 20lbs)")</f>
        <v>Regular (up to 20lbs)</v>
      </c>
      <c r="F3600" s="23">
        <f>IFERROR(__xludf.DUMMYFUNCTION("""COMPUTED_VALUE"""),44878.0)</f>
        <v>44878</v>
      </c>
      <c r="G3600" s="24" t="str">
        <f>IFERROR(__xludf.DUMMYFUNCTION("""COMPUTED_VALUE"""),"kids/linda arce")</f>
        <v>kids/linda arce</v>
      </c>
      <c r="H3600" s="24">
        <f>IFERROR(__xludf.DUMMYFUNCTION("""COMPUTED_VALUE"""),9.0)</f>
        <v>9</v>
      </c>
      <c r="I3600" s="24" t="str">
        <f>IFERROR(__xludf.DUMMYFUNCTION("""COMPUTED_VALUE"""),"Regular (up to 20lbs)")</f>
        <v>Regular (up to 20lbs)</v>
      </c>
    </row>
    <row r="3601">
      <c r="A3601" s="23">
        <f>IFERROR(__xludf.DUMMYFUNCTION("""COMPUTED_VALUE"""),44850.65384052083)</f>
        <v>44850.65384</v>
      </c>
      <c r="B3601" s="24" t="str">
        <f>IFERROR(__xludf.DUMMYFUNCTION("""COMPUTED_VALUE"""),"Dorja")</f>
        <v>Dorja</v>
      </c>
      <c r="C3601" s="24">
        <f>IFERROR(__xludf.DUMMYFUNCTION("""COMPUTED_VALUE"""),32.0)</f>
        <v>32</v>
      </c>
      <c r="D3601" s="24" t="str">
        <f>IFERROR(__xludf.DUMMYFUNCTION("""COMPUTED_VALUE"""),"Damage/expired/extra")</f>
        <v>Damage/expired/extra</v>
      </c>
      <c r="F3601" s="23">
        <f>IFERROR(__xludf.DUMMYFUNCTION("""COMPUTED_VALUE"""),44878.0)</f>
        <v>44878</v>
      </c>
      <c r="G3601" s="24" t="str">
        <f>IFERROR(__xludf.DUMMYFUNCTION("""COMPUTED_VALUE"""),"Kaneesha ")</f>
        <v>Kaneesha </v>
      </c>
      <c r="H3601" s="24">
        <f>IFERROR(__xludf.DUMMYFUNCTION("""COMPUTED_VALUE"""),20.0)</f>
        <v>20</v>
      </c>
      <c r="I3601" s="24" t="str">
        <f>IFERROR(__xludf.DUMMYFUNCTION("""COMPUTED_VALUE"""),"Regular (up to 20lbs)")</f>
        <v>Regular (up to 20lbs)</v>
      </c>
    </row>
    <row r="3602">
      <c r="A3602" s="23">
        <f>IFERROR(__xludf.DUMMYFUNCTION("""COMPUTED_VALUE"""),44850.0)</f>
        <v>44850</v>
      </c>
      <c r="B3602" s="24" t="str">
        <f>IFERROR(__xludf.DUMMYFUNCTION("""COMPUTED_VALUE"""),"Dorja")</f>
        <v>Dorja</v>
      </c>
      <c r="C3602" s="24">
        <f>IFERROR(__xludf.DUMMYFUNCTION("""COMPUTED_VALUE"""),17.0)</f>
        <v>17</v>
      </c>
      <c r="D3602" s="24" t="str">
        <f>IFERROR(__xludf.DUMMYFUNCTION("""COMPUTED_VALUE"""),"Regular (up to 20lbs)")</f>
        <v>Regular (up to 20lbs)</v>
      </c>
      <c r="F3602" s="23">
        <f>IFERROR(__xludf.DUMMYFUNCTION("""COMPUTED_VALUE"""),44878.515730115745)</f>
        <v>44878.51573</v>
      </c>
      <c r="G3602" s="24" t="str">
        <f>IFERROR(__xludf.DUMMYFUNCTION("""COMPUTED_VALUE"""),"Dorja ")</f>
        <v>Dorja </v>
      </c>
      <c r="H3602" s="24">
        <f>IFERROR(__xludf.DUMMYFUNCTION("""COMPUTED_VALUE"""),466.0)</f>
        <v>466</v>
      </c>
      <c r="I3602" s="24" t="str">
        <f>IFERROR(__xludf.DUMMYFUNCTION("""COMPUTED_VALUE"""),"Dole fruit cups")</f>
        <v>Dole fruit cups</v>
      </c>
    </row>
    <row r="3603">
      <c r="A3603" s="23">
        <f>IFERROR(__xludf.DUMMYFUNCTION("""COMPUTED_VALUE"""),44850.67151299769)</f>
        <v>44850.67151</v>
      </c>
      <c r="B3603" s="24" t="str">
        <f>IFERROR(__xludf.DUMMYFUNCTION("""COMPUTED_VALUE"""),"Kate Weeks")</f>
        <v>Kate Weeks</v>
      </c>
      <c r="C3603" s="24">
        <f>IFERROR(__xludf.DUMMYFUNCTION("""COMPUTED_VALUE"""),20.0)</f>
        <v>20</v>
      </c>
      <c r="D3603" s="24" t="str">
        <f>IFERROR(__xludf.DUMMYFUNCTION("""COMPUTED_VALUE"""),"Regular (up to 20lbs)")</f>
        <v>Regular (up to 20lbs)</v>
      </c>
      <c r="F3603" s="23">
        <f>IFERROR(__xludf.DUMMYFUNCTION("""COMPUTED_VALUE"""),44878.5163746875)</f>
        <v>44878.51637</v>
      </c>
      <c r="G3603" s="24" t="str">
        <f>IFERROR(__xludf.DUMMYFUNCTION("""COMPUTED_VALUE"""),"Dorja")</f>
        <v>Dorja</v>
      </c>
      <c r="H3603" s="24">
        <f>IFERROR(__xludf.DUMMYFUNCTION("""COMPUTED_VALUE"""),48.0)</f>
        <v>48</v>
      </c>
      <c r="I3603" s="24" t="str">
        <f>IFERROR(__xludf.DUMMYFUNCTION("""COMPUTED_VALUE"""),"Snacks")</f>
        <v>Snacks</v>
      </c>
    </row>
    <row r="3604">
      <c r="A3604" s="23">
        <f>IFERROR(__xludf.DUMMYFUNCTION("""COMPUTED_VALUE"""),44850.672194976854)</f>
        <v>44850.67219</v>
      </c>
      <c r="B3604" s="24" t="str">
        <f>IFERROR(__xludf.DUMMYFUNCTION("""COMPUTED_VALUE"""),"Kate Weeks ")</f>
        <v>Kate Weeks </v>
      </c>
      <c r="C3604" s="24">
        <f>IFERROR(__xludf.DUMMYFUNCTION("""COMPUTED_VALUE"""),28.0)</f>
        <v>28</v>
      </c>
      <c r="D3604" s="24" t="str">
        <f>IFERROR(__xludf.DUMMYFUNCTION("""COMPUTED_VALUE"""),"Damage/expired/extra")</f>
        <v>Damage/expired/extra</v>
      </c>
      <c r="F3604" s="23">
        <f>IFERROR(__xludf.DUMMYFUNCTION("""COMPUTED_VALUE"""),44878.51852767361)</f>
        <v>44878.51853</v>
      </c>
      <c r="G3604" s="24" t="str">
        <f>IFERROR(__xludf.DUMMYFUNCTION("""COMPUTED_VALUE"""),"Dorja")</f>
        <v>Dorja</v>
      </c>
      <c r="H3604" s="24">
        <f>IFERROR(__xludf.DUMMYFUNCTION("""COMPUTED_VALUE"""),548.0)</f>
        <v>548</v>
      </c>
      <c r="I3604" s="24" t="str">
        <f>IFERROR(__xludf.DUMMYFUNCTION("""COMPUTED_VALUE"""),"Amazon")</f>
        <v>Amazon</v>
      </c>
    </row>
    <row r="3605">
      <c r="A3605" s="23">
        <f>IFERROR(__xludf.DUMMYFUNCTION("""COMPUTED_VALUE"""),44850.672247951385)</f>
        <v>44850.67225</v>
      </c>
      <c r="B3605" s="24" t="str">
        <f>IFERROR(__xludf.DUMMYFUNCTION("""COMPUTED_VALUE"""),"Denise Rivers")</f>
        <v>Denise Rivers</v>
      </c>
      <c r="C3605" s="24">
        <f>IFERROR(__xludf.DUMMYFUNCTION("""COMPUTED_VALUE"""),17.0)</f>
        <v>17</v>
      </c>
      <c r="D3605" s="24" t="str">
        <f>IFERROR(__xludf.DUMMYFUNCTION("""COMPUTED_VALUE"""),"Regular (up to 20lbs)")</f>
        <v>Regular (up to 20lbs)</v>
      </c>
      <c r="F3605" s="23">
        <f>IFERROR(__xludf.DUMMYFUNCTION("""COMPUTED_VALUE"""),44878.51994850694)</f>
        <v>44878.51995</v>
      </c>
      <c r="G3605" s="24" t="str">
        <f>IFERROR(__xludf.DUMMYFUNCTION("""COMPUTED_VALUE"""),"Dorja ")</f>
        <v>Dorja </v>
      </c>
      <c r="H3605" s="24">
        <f>IFERROR(__xludf.DUMMYFUNCTION("""COMPUTED_VALUE"""),299.0)</f>
        <v>299</v>
      </c>
      <c r="I3605" s="24" t="str">
        <f>IFERROR(__xludf.DUMMYFUNCTION("""COMPUTED_VALUE"""),"Amazon")</f>
        <v>Amazon</v>
      </c>
    </row>
    <row r="3606">
      <c r="A3606" s="23">
        <f>IFERROR(__xludf.DUMMYFUNCTION("""COMPUTED_VALUE"""),44850.6739112963)</f>
        <v>44850.67391</v>
      </c>
      <c r="B3606" s="24" t="str">
        <f>IFERROR(__xludf.DUMMYFUNCTION("""COMPUTED_VALUE"""),"Denise Rivers")</f>
        <v>Denise Rivers</v>
      </c>
      <c r="C3606" s="24">
        <f>IFERROR(__xludf.DUMMYFUNCTION("""COMPUTED_VALUE"""),22.0)</f>
        <v>22</v>
      </c>
      <c r="D3606" s="24" t="str">
        <f>IFERROR(__xludf.DUMMYFUNCTION("""COMPUTED_VALUE"""),"Damage/expired/extra")</f>
        <v>Damage/expired/extra</v>
      </c>
      <c r="F3606" s="23">
        <f>IFERROR(__xludf.DUMMYFUNCTION("""COMPUTED_VALUE"""),44878.523037743056)</f>
        <v>44878.52304</v>
      </c>
      <c r="G3606" s="24" t="str">
        <f>IFERROR(__xludf.DUMMYFUNCTION("""COMPUTED_VALUE"""),"Dorja")</f>
        <v>Dorja</v>
      </c>
      <c r="H3606" s="24">
        <f>IFERROR(__xludf.DUMMYFUNCTION("""COMPUTED_VALUE"""),81.0)</f>
        <v>81</v>
      </c>
      <c r="I3606" s="24" t="str">
        <f>IFERROR(__xludf.DUMMYFUNCTION("""COMPUTED_VALUE"""),"Produce")</f>
        <v>Produce</v>
      </c>
    </row>
    <row r="3607">
      <c r="A3607" s="23">
        <f>IFERROR(__xludf.DUMMYFUNCTION("""COMPUTED_VALUE"""),44850.680235081025)</f>
        <v>44850.68024</v>
      </c>
      <c r="B3607" s="24" t="str">
        <f>IFERROR(__xludf.DUMMYFUNCTION("""COMPUTED_VALUE"""),"Opeyemi ")</f>
        <v>Opeyemi </v>
      </c>
      <c r="C3607" s="24">
        <f>IFERROR(__xludf.DUMMYFUNCTION("""COMPUTED_VALUE"""),6.0)</f>
        <v>6</v>
      </c>
      <c r="D3607" s="24" t="str">
        <f>IFERROR(__xludf.DUMMYFUNCTION("""COMPUTED_VALUE"""),"Regular (up to 20lbs)")</f>
        <v>Regular (up to 20lbs)</v>
      </c>
      <c r="F3607" s="23">
        <f>IFERROR(__xludf.DUMMYFUNCTION("""COMPUTED_VALUE"""),44878.52697568287)</f>
        <v>44878.52698</v>
      </c>
      <c r="G3607" s="24" t="str">
        <f>IFERROR(__xludf.DUMMYFUNCTION("""COMPUTED_VALUE"""),"Dorja ")</f>
        <v>Dorja </v>
      </c>
      <c r="H3607" s="24">
        <f>IFERROR(__xludf.DUMMYFUNCTION("""COMPUTED_VALUE"""),922.0)</f>
        <v>922</v>
      </c>
      <c r="I3607" s="24" t="str">
        <f>IFERROR(__xludf.DUMMYFUNCTION("""COMPUTED_VALUE"""),"Amazon")</f>
        <v>Amazon</v>
      </c>
    </row>
    <row r="3608">
      <c r="A3608" s="23">
        <f>IFERROR(__xludf.DUMMYFUNCTION("""COMPUTED_VALUE"""),44850.68075998843)</f>
        <v>44850.68076</v>
      </c>
      <c r="B3608" s="24" t="str">
        <f>IFERROR(__xludf.DUMMYFUNCTION("""COMPUTED_VALUE"""),"Zoe")</f>
        <v>Zoe</v>
      </c>
      <c r="C3608" s="24">
        <f>IFERROR(__xludf.DUMMYFUNCTION("""COMPUTED_VALUE"""),17.0)</f>
        <v>17</v>
      </c>
      <c r="D3608" s="24" t="str">
        <f>IFERROR(__xludf.DUMMYFUNCTION("""COMPUTED_VALUE"""),"Regular (up to 20lbs)")</f>
        <v>Regular (up to 20lbs)</v>
      </c>
      <c r="F3608" s="23">
        <f>IFERROR(__xludf.DUMMYFUNCTION("""COMPUTED_VALUE"""),44878.53207317129)</f>
        <v>44878.53207</v>
      </c>
      <c r="G3608" s="24" t="str">
        <f>IFERROR(__xludf.DUMMYFUNCTION("""COMPUTED_VALUE"""),"Dorja ")</f>
        <v>Dorja </v>
      </c>
      <c r="H3608" s="24">
        <f>IFERROR(__xludf.DUMMYFUNCTION("""COMPUTED_VALUE"""),537.0)</f>
        <v>537</v>
      </c>
      <c r="I3608" s="24" t="str">
        <f>IFERROR(__xludf.DUMMYFUNCTION("""COMPUTED_VALUE"""),"Amazon")</f>
        <v>Amazon</v>
      </c>
    </row>
    <row r="3609">
      <c r="A3609" s="23">
        <f>IFERROR(__xludf.DUMMYFUNCTION("""COMPUTED_VALUE"""),44852.0)</f>
        <v>44852</v>
      </c>
      <c r="B3609" s="24" t="str">
        <f>IFERROR(__xludf.DUMMYFUNCTION("""COMPUTED_VALUE"""),"Hong Xue")</f>
        <v>Hong Xue</v>
      </c>
      <c r="C3609" s="24">
        <f>IFERROR(__xludf.DUMMYFUNCTION("""COMPUTED_VALUE"""),20.0)</f>
        <v>20</v>
      </c>
      <c r="D3609" s="24" t="str">
        <f>IFERROR(__xludf.DUMMYFUNCTION("""COMPUTED_VALUE"""),"Regular (up to 20lbs)")</f>
        <v>Regular (up to 20lbs)</v>
      </c>
      <c r="F3609" s="23">
        <f>IFERROR(__xludf.DUMMYFUNCTION("""COMPUTED_VALUE"""),44878.53748445602)</f>
        <v>44878.53748</v>
      </c>
      <c r="G3609" s="24" t="str">
        <f>IFERROR(__xludf.DUMMYFUNCTION("""COMPUTED_VALUE"""),"Dorja ")</f>
        <v>Dorja </v>
      </c>
      <c r="H3609" s="24">
        <f>IFERROR(__xludf.DUMMYFUNCTION("""COMPUTED_VALUE"""),689.0)</f>
        <v>689</v>
      </c>
      <c r="I3609" s="24" t="str">
        <f>IFERROR(__xludf.DUMMYFUNCTION("""COMPUTED_VALUE"""),"Amazon")</f>
        <v>Amazon</v>
      </c>
    </row>
    <row r="3610">
      <c r="A3610" s="23">
        <f>IFERROR(__xludf.DUMMYFUNCTION("""COMPUTED_VALUE"""),44852.0)</f>
        <v>44852</v>
      </c>
      <c r="B3610" s="24" t="str">
        <f>IFERROR(__xludf.DUMMYFUNCTION("""COMPUTED_VALUE"""),"Hong Xue")</f>
        <v>Hong Xue</v>
      </c>
      <c r="C3610" s="24">
        <f>IFERROR(__xludf.DUMMYFUNCTION("""COMPUTED_VALUE"""),9.0)</f>
        <v>9</v>
      </c>
      <c r="D3610" s="24" t="str">
        <f>IFERROR(__xludf.DUMMYFUNCTION("""COMPUTED_VALUE"""),"Damage/expired/extra")</f>
        <v>Damage/expired/extra</v>
      </c>
      <c r="F3610" s="23">
        <f>IFERROR(__xludf.DUMMYFUNCTION("""COMPUTED_VALUE"""),44878.589511585655)</f>
        <v>44878.58951</v>
      </c>
      <c r="G3610" s="24" t="str">
        <f>IFERROR(__xludf.DUMMYFUNCTION("""COMPUTED_VALUE"""),"Dorja ")</f>
        <v>Dorja </v>
      </c>
      <c r="H3610" s="24">
        <f>IFERROR(__xludf.DUMMYFUNCTION("""COMPUTED_VALUE"""),466.0)</f>
        <v>466</v>
      </c>
      <c r="I3610" s="24" t="str">
        <f>IFERROR(__xludf.DUMMYFUNCTION("""COMPUTED_VALUE"""),"Amazon")</f>
        <v>Amazon</v>
      </c>
    </row>
    <row r="3611">
      <c r="A3611" s="23">
        <f>IFERROR(__xludf.DUMMYFUNCTION("""COMPUTED_VALUE"""),44852.0)</f>
        <v>44852</v>
      </c>
      <c r="B3611" s="24" t="str">
        <f>IFERROR(__xludf.DUMMYFUNCTION("""COMPUTED_VALUE"""),"Marci")</f>
        <v>Marci</v>
      </c>
      <c r="C3611" s="24">
        <f>IFERROR(__xludf.DUMMYFUNCTION("""COMPUTED_VALUE"""),18.0)</f>
        <v>18</v>
      </c>
      <c r="D3611" s="24" t="str">
        <f>IFERROR(__xludf.DUMMYFUNCTION("""COMPUTED_VALUE"""),"Regular (up to 20lbs)")</f>
        <v>Regular (up to 20lbs)</v>
      </c>
      <c r="F3611" s="23">
        <f>IFERROR(__xludf.DUMMYFUNCTION("""COMPUTED_VALUE"""),44878.62510449074)</f>
        <v>44878.6251</v>
      </c>
      <c r="G3611" s="24" t="str">
        <f>IFERROR(__xludf.DUMMYFUNCTION("""COMPUTED_VALUE"""),"Carla")</f>
        <v>Carla</v>
      </c>
      <c r="H3611" s="24">
        <f>IFERROR(__xludf.DUMMYFUNCTION("""COMPUTED_VALUE"""),18.0)</f>
        <v>18</v>
      </c>
      <c r="I3611" s="24" t="str">
        <f>IFERROR(__xludf.DUMMYFUNCTION("""COMPUTED_VALUE"""),"Regular (up to 20lbs)")</f>
        <v>Regular (up to 20lbs)</v>
      </c>
    </row>
    <row r="3612">
      <c r="A3612" s="23">
        <f>IFERROR(__xludf.DUMMYFUNCTION("""COMPUTED_VALUE"""),44852.0)</f>
        <v>44852</v>
      </c>
      <c r="B3612" s="24" t="str">
        <f>IFERROR(__xludf.DUMMYFUNCTION("""COMPUTED_VALUE"""),"Marci")</f>
        <v>Marci</v>
      </c>
      <c r="C3612" s="24">
        <f>IFERROR(__xludf.DUMMYFUNCTION("""COMPUTED_VALUE"""),52.0)</f>
        <v>52</v>
      </c>
      <c r="D3612" s="24" t="str">
        <f>IFERROR(__xludf.DUMMYFUNCTION("""COMPUTED_VALUE"""),"Damage/expired/extra")</f>
        <v>Damage/expired/extra</v>
      </c>
      <c r="F3612" s="23">
        <f>IFERROR(__xludf.DUMMYFUNCTION("""COMPUTED_VALUE"""),44878.64057277778)</f>
        <v>44878.64057</v>
      </c>
      <c r="G3612" s="24" t="str">
        <f>IFERROR(__xludf.DUMMYFUNCTION("""COMPUTED_VALUE"""),"Kate weeks ")</f>
        <v>Kate weeks </v>
      </c>
      <c r="H3612" s="24">
        <f>IFERROR(__xludf.DUMMYFUNCTION("""COMPUTED_VALUE"""),20.0)</f>
        <v>20</v>
      </c>
      <c r="I3612" s="24" t="str">
        <f>IFERROR(__xludf.DUMMYFUNCTION("""COMPUTED_VALUE"""),"Regular (up to 20lbs)")</f>
        <v>Regular (up to 20lbs)</v>
      </c>
    </row>
    <row r="3613">
      <c r="A3613" s="23">
        <f>IFERROR(__xludf.DUMMYFUNCTION("""COMPUTED_VALUE"""),44852.70148350695)</f>
        <v>44852.70148</v>
      </c>
      <c r="B3613" s="24" t="str">
        <f>IFERROR(__xludf.DUMMYFUNCTION("""COMPUTED_VALUE"""),"Romaine Bouldin ")</f>
        <v>Romaine Bouldin </v>
      </c>
      <c r="C3613" s="24">
        <f>IFERROR(__xludf.DUMMYFUNCTION("""COMPUTED_VALUE"""),15.0)</f>
        <v>15</v>
      </c>
      <c r="D3613" s="24" t="str">
        <f>IFERROR(__xludf.DUMMYFUNCTION("""COMPUTED_VALUE"""),"Regular (up to 20lbs)")</f>
        <v>Regular (up to 20lbs)</v>
      </c>
      <c r="F3613" s="23">
        <f>IFERROR(__xludf.DUMMYFUNCTION("""COMPUTED_VALUE"""),44878.64082400462)</f>
        <v>44878.64082</v>
      </c>
      <c r="G3613" s="24" t="str">
        <f>IFERROR(__xludf.DUMMYFUNCTION("""COMPUTED_VALUE"""),"Kate weeks ")</f>
        <v>Kate weeks </v>
      </c>
      <c r="H3613" s="24">
        <f>IFERROR(__xludf.DUMMYFUNCTION("""COMPUTED_VALUE"""),14.0)</f>
        <v>14</v>
      </c>
      <c r="I3613" s="24" t="str">
        <f>IFERROR(__xludf.DUMMYFUNCTION("""COMPUTED_VALUE"""),"Damage/expired/extra")</f>
        <v>Damage/expired/extra</v>
      </c>
    </row>
    <row r="3614">
      <c r="A3614" s="23">
        <f>IFERROR(__xludf.DUMMYFUNCTION("""COMPUTED_VALUE"""),44852.70173565972)</f>
        <v>44852.70174</v>
      </c>
      <c r="B3614" s="24" t="str">
        <f>IFERROR(__xludf.DUMMYFUNCTION("""COMPUTED_VALUE"""),"Romaine Bouldin ")</f>
        <v>Romaine Bouldin </v>
      </c>
      <c r="C3614" s="24">
        <f>IFERROR(__xludf.DUMMYFUNCTION("""COMPUTED_VALUE"""),3.0)</f>
        <v>3</v>
      </c>
      <c r="D3614" s="24" t="str">
        <f>IFERROR(__xludf.DUMMYFUNCTION("""COMPUTED_VALUE"""),"Damage/expired/extra")</f>
        <v>Damage/expired/extra</v>
      </c>
      <c r="F3614" s="23">
        <f>IFERROR(__xludf.DUMMYFUNCTION("""COMPUTED_VALUE"""),44878.64495065972)</f>
        <v>44878.64495</v>
      </c>
      <c r="G3614" s="24" t="str">
        <f>IFERROR(__xludf.DUMMYFUNCTION("""COMPUTED_VALUE"""),"Opeyemi ")</f>
        <v>Opeyemi </v>
      </c>
      <c r="H3614" s="24">
        <f>IFERROR(__xludf.DUMMYFUNCTION("""COMPUTED_VALUE"""),12.0)</f>
        <v>12</v>
      </c>
      <c r="I3614" s="24" t="str">
        <f>IFERROR(__xludf.DUMMYFUNCTION("""COMPUTED_VALUE"""),"Regular (up to 20lbs)")</f>
        <v>Regular (up to 20lbs)</v>
      </c>
    </row>
    <row r="3615">
      <c r="A3615" s="23">
        <f>IFERROR(__xludf.DUMMYFUNCTION("""COMPUTED_VALUE"""),44852.7075037963)</f>
        <v>44852.7075</v>
      </c>
      <c r="B3615" s="24" t="str">
        <f>IFERROR(__xludf.DUMMYFUNCTION("""COMPUTED_VALUE"""),"Anna West")</f>
        <v>Anna West</v>
      </c>
      <c r="C3615" s="24">
        <f>IFERROR(__xludf.DUMMYFUNCTION("""COMPUTED_VALUE"""),20.0)</f>
        <v>20</v>
      </c>
      <c r="D3615" s="24" t="str">
        <f>IFERROR(__xludf.DUMMYFUNCTION("""COMPUTED_VALUE"""),"Regular (up to 20lbs)")</f>
        <v>Regular (up to 20lbs)</v>
      </c>
      <c r="F3615" s="23">
        <f>IFERROR(__xludf.DUMMYFUNCTION("""COMPUTED_VALUE"""),44878.647435474544)</f>
        <v>44878.64744</v>
      </c>
      <c r="G3615" s="24" t="str">
        <f>IFERROR(__xludf.DUMMYFUNCTION("""COMPUTED_VALUE"""),"Anita Bryant")</f>
        <v>Anita Bryant</v>
      </c>
      <c r="H3615" s="24">
        <f>IFERROR(__xludf.DUMMYFUNCTION("""COMPUTED_VALUE"""),20.0)</f>
        <v>20</v>
      </c>
      <c r="I3615" s="24" t="str">
        <f>IFERROR(__xludf.DUMMYFUNCTION("""COMPUTED_VALUE"""),"Regular (up to 20lbs)")</f>
        <v>Regular (up to 20lbs)</v>
      </c>
    </row>
    <row r="3616">
      <c r="A3616" s="23">
        <f>IFERROR(__xludf.DUMMYFUNCTION("""COMPUTED_VALUE"""),44852.70763524305)</f>
        <v>44852.70764</v>
      </c>
      <c r="B3616" s="24" t="str">
        <f>IFERROR(__xludf.DUMMYFUNCTION("""COMPUTED_VALUE"""),"Anna West")</f>
        <v>Anna West</v>
      </c>
      <c r="C3616" s="24">
        <f>IFERROR(__xludf.DUMMYFUNCTION("""COMPUTED_VALUE"""),12.0)</f>
        <v>12</v>
      </c>
      <c r="D3616" s="24" t="str">
        <f>IFERROR(__xludf.DUMMYFUNCTION("""COMPUTED_VALUE"""),"Damage/expired/extra")</f>
        <v>Damage/expired/extra</v>
      </c>
      <c r="F3616" s="23">
        <f>IFERROR(__xludf.DUMMYFUNCTION("""COMPUTED_VALUE"""),44878.64759855324)</f>
        <v>44878.6476</v>
      </c>
      <c r="G3616" s="24" t="str">
        <f>IFERROR(__xludf.DUMMYFUNCTION("""COMPUTED_VALUE"""),"Anita Bryant")</f>
        <v>Anita Bryant</v>
      </c>
      <c r="H3616" s="24">
        <f>IFERROR(__xludf.DUMMYFUNCTION("""COMPUTED_VALUE"""),18.0)</f>
        <v>18</v>
      </c>
      <c r="I3616" s="24" t="str">
        <f>IFERROR(__xludf.DUMMYFUNCTION("""COMPUTED_VALUE"""),"Damage/expired/extra")</f>
        <v>Damage/expired/extra</v>
      </c>
    </row>
    <row r="3617">
      <c r="A3617" s="23">
        <f>IFERROR(__xludf.DUMMYFUNCTION("""COMPUTED_VALUE"""),44852.707771851856)</f>
        <v>44852.70777</v>
      </c>
      <c r="B3617" s="24" t="str">
        <f>IFERROR(__xludf.DUMMYFUNCTION("""COMPUTED_VALUE"""),"Dorja ")</f>
        <v>Dorja </v>
      </c>
      <c r="C3617" s="24">
        <f>IFERROR(__xludf.DUMMYFUNCTION("""COMPUTED_VALUE"""),14.0)</f>
        <v>14</v>
      </c>
      <c r="D3617" s="24" t="str">
        <f>IFERROR(__xludf.DUMMYFUNCTION("""COMPUTED_VALUE"""),"Regular (up to 20lbs)")</f>
        <v>Regular (up to 20lbs)</v>
      </c>
      <c r="F3617" s="23">
        <f>IFERROR(__xludf.DUMMYFUNCTION("""COMPUTED_VALUE"""),44878.6504749537)</f>
        <v>44878.65047</v>
      </c>
      <c r="G3617" s="24" t="str">
        <f>IFERROR(__xludf.DUMMYFUNCTION("""COMPUTED_VALUE"""),"Kaneesha ")</f>
        <v>Kaneesha </v>
      </c>
      <c r="H3617" s="24">
        <f>IFERROR(__xludf.DUMMYFUNCTION("""COMPUTED_VALUE"""),20.0)</f>
        <v>20</v>
      </c>
      <c r="I3617" s="24" t="str">
        <f>IFERROR(__xludf.DUMMYFUNCTION("""COMPUTED_VALUE"""),"Regular (up to 20lbs)")</f>
        <v>Regular (up to 20lbs)</v>
      </c>
    </row>
    <row r="3618">
      <c r="A3618" s="23">
        <f>IFERROR(__xludf.DUMMYFUNCTION("""COMPUTED_VALUE"""),44852.70791971065)</f>
        <v>44852.70792</v>
      </c>
      <c r="B3618" s="24" t="str">
        <f>IFERROR(__xludf.DUMMYFUNCTION("""COMPUTED_VALUE"""),"Dorja ")</f>
        <v>Dorja </v>
      </c>
      <c r="C3618" s="24">
        <f>IFERROR(__xludf.DUMMYFUNCTION("""COMPUTED_VALUE"""),18.0)</f>
        <v>18</v>
      </c>
      <c r="D3618" s="24" t="str">
        <f>IFERROR(__xludf.DUMMYFUNCTION("""COMPUTED_VALUE"""),"Damage/expired/extra")</f>
        <v>Damage/expired/extra</v>
      </c>
      <c r="F3618" s="23">
        <f>IFERROR(__xludf.DUMMYFUNCTION("""COMPUTED_VALUE"""),44878.65107166666)</f>
        <v>44878.65107</v>
      </c>
      <c r="G3618" s="24" t="str">
        <f>IFERROR(__xludf.DUMMYFUNCTION("""COMPUTED_VALUE"""),"Dorja ")</f>
        <v>Dorja </v>
      </c>
      <c r="H3618" s="24">
        <f>IFERROR(__xludf.DUMMYFUNCTION("""COMPUTED_VALUE"""),22.0)</f>
        <v>22</v>
      </c>
      <c r="I3618" s="24" t="str">
        <f>IFERROR(__xludf.DUMMYFUNCTION("""COMPUTED_VALUE"""),"Regular (up to 20lbs)")</f>
        <v>Regular (up to 20lbs)</v>
      </c>
    </row>
    <row r="3619">
      <c r="A3619" s="23">
        <f>IFERROR(__xludf.DUMMYFUNCTION("""COMPUTED_VALUE"""),44852.70816274305)</f>
        <v>44852.70816</v>
      </c>
      <c r="B3619" s="24" t="str">
        <f>IFERROR(__xludf.DUMMYFUNCTION("""COMPUTED_VALUE"""),"Kaneesha ")</f>
        <v>Kaneesha </v>
      </c>
      <c r="C3619" s="24">
        <f>IFERROR(__xludf.DUMMYFUNCTION("""COMPUTED_VALUE"""),20.0)</f>
        <v>20</v>
      </c>
      <c r="D3619" s="24" t="str">
        <f>IFERROR(__xludf.DUMMYFUNCTION("""COMPUTED_VALUE"""),"Regular (up to 20lbs)")</f>
        <v>Regular (up to 20lbs)</v>
      </c>
      <c r="F3619" s="23">
        <f>IFERROR(__xludf.DUMMYFUNCTION("""COMPUTED_VALUE"""),44878.651173715276)</f>
        <v>44878.65117</v>
      </c>
      <c r="G3619" s="24" t="str">
        <f>IFERROR(__xludf.DUMMYFUNCTION("""COMPUTED_VALUE"""),"Dorja ")</f>
        <v>Dorja </v>
      </c>
      <c r="H3619" s="24">
        <f>IFERROR(__xludf.DUMMYFUNCTION("""COMPUTED_VALUE"""),32.0)</f>
        <v>32</v>
      </c>
      <c r="I3619" s="24" t="str">
        <f>IFERROR(__xludf.DUMMYFUNCTION("""COMPUTED_VALUE"""),"Damage/expired/extra")</f>
        <v>Damage/expired/extra</v>
      </c>
    </row>
    <row r="3620">
      <c r="A3620" s="23">
        <f>IFERROR(__xludf.DUMMYFUNCTION("""COMPUTED_VALUE"""),44852.70833578703)</f>
        <v>44852.70834</v>
      </c>
      <c r="B3620" s="24" t="str">
        <f>IFERROR(__xludf.DUMMYFUNCTION("""COMPUTED_VALUE"""),"Kaneesha")</f>
        <v>Kaneesha</v>
      </c>
      <c r="C3620" s="24">
        <f>IFERROR(__xludf.DUMMYFUNCTION("""COMPUTED_VALUE"""),17.0)</f>
        <v>17</v>
      </c>
      <c r="D3620" s="24" t="str">
        <f>IFERROR(__xludf.DUMMYFUNCTION("""COMPUTED_VALUE"""),"Damage/expired/extra")</f>
        <v>Damage/expired/extra</v>
      </c>
      <c r="F3620" s="23">
        <f>IFERROR(__xludf.DUMMYFUNCTION("""COMPUTED_VALUE"""),44878.65129785879)</f>
        <v>44878.6513</v>
      </c>
      <c r="G3620" s="24" t="str">
        <f>IFERROR(__xludf.DUMMYFUNCTION("""COMPUTED_VALUE"""),"Kaneesha ")</f>
        <v>Kaneesha </v>
      </c>
      <c r="H3620" s="24">
        <f>IFERROR(__xludf.DUMMYFUNCTION("""COMPUTED_VALUE"""),30.0)</f>
        <v>30</v>
      </c>
      <c r="I3620" s="24" t="str">
        <f>IFERROR(__xludf.DUMMYFUNCTION("""COMPUTED_VALUE"""),"Damage/expired/extra")</f>
        <v>Damage/expired/extra</v>
      </c>
    </row>
    <row r="3621">
      <c r="A3621" s="23">
        <f>IFERROR(__xludf.DUMMYFUNCTION("""COMPUTED_VALUE"""),44852.709509155095)</f>
        <v>44852.70951</v>
      </c>
      <c r="B3621" s="24" t="str">
        <f>IFERROR(__xludf.DUMMYFUNCTION("""COMPUTED_VALUE"""),"Beverly Pinn")</f>
        <v>Beverly Pinn</v>
      </c>
      <c r="C3621" s="24">
        <f>IFERROR(__xludf.DUMMYFUNCTION("""COMPUTED_VALUE"""),18.0)</f>
        <v>18</v>
      </c>
      <c r="D3621" s="24" t="str">
        <f>IFERROR(__xludf.DUMMYFUNCTION("""COMPUTED_VALUE"""),"Regular (up to 20lbs)")</f>
        <v>Regular (up to 20lbs)</v>
      </c>
      <c r="F3621" s="23">
        <f>IFERROR(__xludf.DUMMYFUNCTION("""COMPUTED_VALUE"""),44878.655165219905)</f>
        <v>44878.65517</v>
      </c>
      <c r="G3621" s="24" t="str">
        <f>IFERROR(__xludf.DUMMYFUNCTION("""COMPUTED_VALUE"""),"Opeyemi ")</f>
        <v>Opeyemi </v>
      </c>
      <c r="H3621" s="24">
        <f>IFERROR(__xludf.DUMMYFUNCTION("""COMPUTED_VALUE"""),1159.0)</f>
        <v>1159</v>
      </c>
      <c r="I3621" s="24" t="str">
        <f>IFERROR(__xludf.DUMMYFUNCTION("""COMPUTED_VALUE"""),"Assorted Dry")</f>
        <v>Assorted Dry</v>
      </c>
    </row>
    <row r="3622">
      <c r="A3622" s="23">
        <f>IFERROR(__xludf.DUMMYFUNCTION("""COMPUTED_VALUE"""),44852.70968515047)</f>
        <v>44852.70969</v>
      </c>
      <c r="B3622" s="24" t="str">
        <f>IFERROR(__xludf.DUMMYFUNCTION("""COMPUTED_VALUE"""),"Beverly Pinn")</f>
        <v>Beverly Pinn</v>
      </c>
      <c r="C3622" s="24">
        <f>IFERROR(__xludf.DUMMYFUNCTION("""COMPUTED_VALUE"""),26.0)</f>
        <v>26</v>
      </c>
      <c r="D3622" s="24" t="str">
        <f>IFERROR(__xludf.DUMMYFUNCTION("""COMPUTED_VALUE"""),"Damage/expired/extra")</f>
        <v>Damage/expired/extra</v>
      </c>
      <c r="F3622" s="23">
        <f>IFERROR(__xludf.DUMMYFUNCTION("""COMPUTED_VALUE"""),44878.65725576389)</f>
        <v>44878.65726</v>
      </c>
      <c r="G3622" s="24" t="str">
        <f>IFERROR(__xludf.DUMMYFUNCTION("""COMPUTED_VALUE"""),"Zoe")</f>
        <v>Zoe</v>
      </c>
      <c r="H3622" s="24">
        <f>IFERROR(__xludf.DUMMYFUNCTION("""COMPUTED_VALUE"""),14.0)</f>
        <v>14</v>
      </c>
      <c r="I3622" s="24" t="str">
        <f>IFERROR(__xludf.DUMMYFUNCTION("""COMPUTED_VALUE"""),"Regular (up to 20lbs)")</f>
        <v>Regular (up to 20lbs)</v>
      </c>
    </row>
    <row r="3623">
      <c r="A3623" s="23">
        <f>IFERROR(__xludf.DUMMYFUNCTION("""COMPUTED_VALUE"""),44852.711289733794)</f>
        <v>44852.71129</v>
      </c>
      <c r="B3623" s="24" t="str">
        <f>IFERROR(__xludf.DUMMYFUNCTION("""COMPUTED_VALUE"""),"Beverly Graham ")</f>
        <v>Beverly Graham </v>
      </c>
      <c r="C3623" s="24">
        <f>IFERROR(__xludf.DUMMYFUNCTION("""COMPUTED_VALUE"""),13.0)</f>
        <v>13</v>
      </c>
      <c r="D3623" s="24" t="str">
        <f>IFERROR(__xludf.DUMMYFUNCTION("""COMPUTED_VALUE"""),"Regular (up to 20lbs)")</f>
        <v>Regular (up to 20lbs)</v>
      </c>
      <c r="F3623" s="23">
        <f>IFERROR(__xludf.DUMMYFUNCTION("""COMPUTED_VALUE"""),44880.0)</f>
        <v>44880</v>
      </c>
      <c r="G3623" s="24" t="str">
        <f>IFERROR(__xludf.DUMMYFUNCTION("""COMPUTED_VALUE"""),"Rosemary Hendricks")</f>
        <v>Rosemary Hendricks</v>
      </c>
      <c r="H3623" s="24">
        <f>IFERROR(__xludf.DUMMYFUNCTION("""COMPUTED_VALUE"""),16.0)</f>
        <v>16</v>
      </c>
      <c r="I3623" s="24" t="str">
        <f>IFERROR(__xludf.DUMMYFUNCTION("""COMPUTED_VALUE"""),"Regular (up to 20lbs)")</f>
        <v>Regular (up to 20lbs)</v>
      </c>
    </row>
    <row r="3624">
      <c r="A3624" s="23">
        <f>IFERROR(__xludf.DUMMYFUNCTION("""COMPUTED_VALUE"""),44852.71236328704)</f>
        <v>44852.71236</v>
      </c>
      <c r="B3624" s="24" t="str">
        <f>IFERROR(__xludf.DUMMYFUNCTION("""COMPUTED_VALUE"""),"Beverly  Graham ")</f>
        <v>Beverly  Graham </v>
      </c>
      <c r="C3624" s="24">
        <f>IFERROR(__xludf.DUMMYFUNCTION("""COMPUTED_VALUE"""),6.0)</f>
        <v>6</v>
      </c>
      <c r="D3624" s="24" t="str">
        <f>IFERROR(__xludf.DUMMYFUNCTION("""COMPUTED_VALUE"""),"Damage/expired/extra")</f>
        <v>Damage/expired/extra</v>
      </c>
      <c r="F3624" s="23">
        <f>IFERROR(__xludf.DUMMYFUNCTION("""COMPUTED_VALUE"""),44880.0)</f>
        <v>44880</v>
      </c>
      <c r="G3624" s="24" t="str">
        <f>IFERROR(__xludf.DUMMYFUNCTION("""COMPUTED_VALUE"""),"Rosemary Hendricks")</f>
        <v>Rosemary Hendricks</v>
      </c>
      <c r="H3624" s="24">
        <f>IFERROR(__xludf.DUMMYFUNCTION("""COMPUTED_VALUE"""),6.0)</f>
        <v>6</v>
      </c>
      <c r="I3624" s="24" t="str">
        <f>IFERROR(__xludf.DUMMYFUNCTION("""COMPUTED_VALUE"""),"Damage/expired/extra")</f>
        <v>Damage/expired/extra</v>
      </c>
    </row>
    <row r="3625">
      <c r="A3625" s="23">
        <f>IFERROR(__xludf.DUMMYFUNCTION("""COMPUTED_VALUE"""),44852.71623857639)</f>
        <v>44852.71624</v>
      </c>
      <c r="B3625" s="24" t="str">
        <f>IFERROR(__xludf.DUMMYFUNCTION("""COMPUTED_VALUE"""),"Jean")</f>
        <v>Jean</v>
      </c>
      <c r="C3625" s="24">
        <f>IFERROR(__xludf.DUMMYFUNCTION("""COMPUTED_VALUE"""),15.0)</f>
        <v>15</v>
      </c>
      <c r="D3625" s="24" t="str">
        <f>IFERROR(__xludf.DUMMYFUNCTION("""COMPUTED_VALUE"""),"Regular (up to 20lbs)")</f>
        <v>Regular (up to 20lbs)</v>
      </c>
      <c r="F3625" s="23">
        <f>IFERROR(__xludf.DUMMYFUNCTION("""COMPUTED_VALUE"""),44880.0)</f>
        <v>44880</v>
      </c>
      <c r="G3625" s="24" t="str">
        <f>IFERROR(__xludf.DUMMYFUNCTION("""COMPUTED_VALUE"""),"Marci")</f>
        <v>Marci</v>
      </c>
      <c r="H3625" s="24">
        <f>IFERROR(__xludf.DUMMYFUNCTION("""COMPUTED_VALUE"""),20.0)</f>
        <v>20</v>
      </c>
      <c r="I3625" s="24" t="str">
        <f>IFERROR(__xludf.DUMMYFUNCTION("""COMPUTED_VALUE"""),"Regular (up to 20lbs)")</f>
        <v>Regular (up to 20lbs)</v>
      </c>
    </row>
    <row r="3626">
      <c r="A3626" s="23">
        <f>IFERROR(__xludf.DUMMYFUNCTION("""COMPUTED_VALUE"""),44852.71652303241)</f>
        <v>44852.71652</v>
      </c>
      <c r="B3626" s="24" t="str">
        <f>IFERROR(__xludf.DUMMYFUNCTION("""COMPUTED_VALUE"""),"Jean")</f>
        <v>Jean</v>
      </c>
      <c r="C3626" s="24">
        <f>IFERROR(__xludf.DUMMYFUNCTION("""COMPUTED_VALUE"""),28.0)</f>
        <v>28</v>
      </c>
      <c r="D3626" s="24" t="str">
        <f>IFERROR(__xludf.DUMMYFUNCTION("""COMPUTED_VALUE"""),"Damage/expired/extra")</f>
        <v>Damage/expired/extra</v>
      </c>
      <c r="F3626" s="23">
        <f>IFERROR(__xludf.DUMMYFUNCTION("""COMPUTED_VALUE"""),44880.0)</f>
        <v>44880</v>
      </c>
      <c r="G3626" s="24" t="str">
        <f>IFERROR(__xludf.DUMMYFUNCTION("""COMPUTED_VALUE"""),"Marci")</f>
        <v>Marci</v>
      </c>
      <c r="H3626" s="24">
        <f>IFERROR(__xludf.DUMMYFUNCTION("""COMPUTED_VALUE"""),18.0)</f>
        <v>18</v>
      </c>
      <c r="I3626" s="24" t="str">
        <f>IFERROR(__xludf.DUMMYFUNCTION("""COMPUTED_VALUE"""),"Damage/expired/extra")</f>
        <v>Damage/expired/extra</v>
      </c>
    </row>
    <row r="3627">
      <c r="A3627" s="23">
        <f>IFERROR(__xludf.DUMMYFUNCTION("""COMPUTED_VALUE"""),44853.0)</f>
        <v>44853</v>
      </c>
      <c r="B3627" s="24" t="str">
        <f>IFERROR(__xludf.DUMMYFUNCTION("""COMPUTED_VALUE"""),"Dee")</f>
        <v>Dee</v>
      </c>
      <c r="C3627" s="24">
        <f>IFERROR(__xludf.DUMMYFUNCTION("""COMPUTED_VALUE"""),20.0)</f>
        <v>20</v>
      </c>
      <c r="D3627" s="24" t="str">
        <f>IFERROR(__xludf.DUMMYFUNCTION("""COMPUTED_VALUE"""),"Regular (up to 20lbs)")</f>
        <v>Regular (up to 20lbs)</v>
      </c>
      <c r="F3627" s="23">
        <f>IFERROR(__xludf.DUMMYFUNCTION("""COMPUTED_VALUE"""),44880.62410982639)</f>
        <v>44880.62411</v>
      </c>
      <c r="G3627" s="24" t="str">
        <f>IFERROR(__xludf.DUMMYFUNCTION("""COMPUTED_VALUE"""),"Lynnette ")</f>
        <v>Lynnette </v>
      </c>
      <c r="H3627" s="24">
        <f>IFERROR(__xludf.DUMMYFUNCTION("""COMPUTED_VALUE"""),8.0)</f>
        <v>8</v>
      </c>
      <c r="I3627" s="24" t="str">
        <f>IFERROR(__xludf.DUMMYFUNCTION("""COMPUTED_VALUE"""),"Regular (up to 20lbs)")</f>
        <v>Regular (up to 20lbs)</v>
      </c>
    </row>
    <row r="3628">
      <c r="A3628" s="23">
        <f>IFERROR(__xludf.DUMMYFUNCTION("""COMPUTED_VALUE"""),44853.0)</f>
        <v>44853</v>
      </c>
      <c r="B3628" s="24" t="str">
        <f>IFERROR(__xludf.DUMMYFUNCTION("""COMPUTED_VALUE"""),"Dee")</f>
        <v>Dee</v>
      </c>
      <c r="C3628" s="24">
        <f>IFERROR(__xludf.DUMMYFUNCTION("""COMPUTED_VALUE"""),17.0)</f>
        <v>17</v>
      </c>
      <c r="D3628" s="24" t="str">
        <f>IFERROR(__xludf.DUMMYFUNCTION("""COMPUTED_VALUE"""),"Damage/expired/extra")</f>
        <v>Damage/expired/extra</v>
      </c>
      <c r="F3628" s="23">
        <f>IFERROR(__xludf.DUMMYFUNCTION("""COMPUTED_VALUE"""),44880.62434568287)</f>
        <v>44880.62435</v>
      </c>
      <c r="G3628" s="24" t="str">
        <f>IFERROR(__xludf.DUMMYFUNCTION("""COMPUTED_VALUE"""),"Lynnette ")</f>
        <v>Lynnette </v>
      </c>
      <c r="H3628" s="24">
        <f>IFERROR(__xludf.DUMMYFUNCTION("""COMPUTED_VALUE"""),3.0)</f>
        <v>3</v>
      </c>
      <c r="I3628" s="24" t="str">
        <f>IFERROR(__xludf.DUMMYFUNCTION("""COMPUTED_VALUE"""),"Damage/expired/extra")</f>
        <v>Damage/expired/extra</v>
      </c>
    </row>
    <row r="3629">
      <c r="A3629" s="23">
        <f>IFERROR(__xludf.DUMMYFUNCTION("""COMPUTED_VALUE"""),44853.0)</f>
        <v>44853</v>
      </c>
      <c r="B3629" s="24" t="str">
        <f>IFERROR(__xludf.DUMMYFUNCTION("""COMPUTED_VALUE"""),"Sharron")</f>
        <v>Sharron</v>
      </c>
      <c r="C3629" s="24">
        <f>IFERROR(__xludf.DUMMYFUNCTION("""COMPUTED_VALUE"""),16.0)</f>
        <v>16</v>
      </c>
      <c r="D3629" s="24" t="str">
        <f>IFERROR(__xludf.DUMMYFUNCTION("""COMPUTED_VALUE"""),"Regular (up to 20lbs)")</f>
        <v>Regular (up to 20lbs)</v>
      </c>
      <c r="F3629" s="23">
        <f>IFERROR(__xludf.DUMMYFUNCTION("""COMPUTED_VALUE"""),44880.62486859953)</f>
        <v>44880.62487</v>
      </c>
      <c r="G3629" s="24" t="str">
        <f>IFERROR(__xludf.DUMMYFUNCTION("""COMPUTED_VALUE"""),"Beverly Pinn")</f>
        <v>Beverly Pinn</v>
      </c>
      <c r="H3629" s="24">
        <f>IFERROR(__xludf.DUMMYFUNCTION("""COMPUTED_VALUE"""),1490.0)</f>
        <v>1490</v>
      </c>
      <c r="I3629" s="24" t="str">
        <f>IFERROR(__xludf.DUMMYFUNCTION("""COMPUTED_VALUE"""),"Health &amp; Beauty Products")</f>
        <v>Health &amp; Beauty Products</v>
      </c>
    </row>
    <row r="3630">
      <c r="A3630" s="23">
        <f>IFERROR(__xludf.DUMMYFUNCTION("""COMPUTED_VALUE"""),44853.0)</f>
        <v>44853</v>
      </c>
      <c r="B3630" s="24" t="str">
        <f>IFERROR(__xludf.DUMMYFUNCTION("""COMPUTED_VALUE"""),"Sharron")</f>
        <v>Sharron</v>
      </c>
      <c r="C3630" s="24">
        <f>IFERROR(__xludf.DUMMYFUNCTION("""COMPUTED_VALUE"""),2.0)</f>
        <v>2</v>
      </c>
      <c r="D3630" s="24" t="str">
        <f>IFERROR(__xludf.DUMMYFUNCTION("""COMPUTED_VALUE"""),"Damage/expired/extra")</f>
        <v>Damage/expired/extra</v>
      </c>
      <c r="F3630" s="23">
        <f>IFERROR(__xludf.DUMMYFUNCTION("""COMPUTED_VALUE"""),44880.655125185185)</f>
        <v>44880.65513</v>
      </c>
      <c r="G3630" s="24" t="str">
        <f>IFERROR(__xludf.DUMMYFUNCTION("""COMPUTED_VALUE"""),"Beverly Pinn")</f>
        <v>Beverly Pinn</v>
      </c>
      <c r="H3630" s="24">
        <f>IFERROR(__xludf.DUMMYFUNCTION("""COMPUTED_VALUE"""),1033.0)</f>
        <v>1033</v>
      </c>
      <c r="I3630" s="24" t="str">
        <f>IFERROR(__xludf.DUMMYFUNCTION("""COMPUTED_VALUE"""),"Dole")</f>
        <v>Dole</v>
      </c>
    </row>
    <row r="3631">
      <c r="A3631" s="23">
        <f>IFERROR(__xludf.DUMMYFUNCTION("""COMPUTED_VALUE"""),44853.0)</f>
        <v>44853</v>
      </c>
      <c r="B3631" s="24" t="str">
        <f>IFERROR(__xludf.DUMMYFUNCTION("""COMPUTED_VALUE"""),"Powerful")</f>
        <v>Powerful</v>
      </c>
      <c r="C3631" s="24">
        <f>IFERROR(__xludf.DUMMYFUNCTION("""COMPUTED_VALUE"""),18.0)</f>
        <v>18</v>
      </c>
      <c r="D3631" s="24" t="str">
        <f>IFERROR(__xludf.DUMMYFUNCTION("""COMPUTED_VALUE"""),"Regular (up to 20lbs)")</f>
        <v>Regular (up to 20lbs)</v>
      </c>
      <c r="F3631" s="23">
        <f>IFERROR(__xludf.DUMMYFUNCTION("""COMPUTED_VALUE"""),44880.65559672454)</f>
        <v>44880.6556</v>
      </c>
      <c r="G3631" s="24" t="str">
        <f>IFERROR(__xludf.DUMMYFUNCTION("""COMPUTED_VALUE"""),"Beverly Pinn")</f>
        <v>Beverly Pinn</v>
      </c>
      <c r="H3631" s="24">
        <f>IFERROR(__xludf.DUMMYFUNCTION("""COMPUTED_VALUE"""),1049.0)</f>
        <v>1049</v>
      </c>
      <c r="I3631" s="24" t="str">
        <f>IFERROR(__xludf.DUMMYFUNCTION("""COMPUTED_VALUE"""),"Dole")</f>
        <v>Dole</v>
      </c>
    </row>
    <row r="3632">
      <c r="A3632" s="23">
        <f>IFERROR(__xludf.DUMMYFUNCTION("""COMPUTED_VALUE"""),44853.0)</f>
        <v>44853</v>
      </c>
      <c r="B3632" s="24" t="str">
        <f>IFERROR(__xludf.DUMMYFUNCTION("""COMPUTED_VALUE"""),"Powerful")</f>
        <v>Powerful</v>
      </c>
      <c r="C3632" s="24">
        <f>IFERROR(__xludf.DUMMYFUNCTION("""COMPUTED_VALUE"""),2.0)</f>
        <v>2</v>
      </c>
      <c r="D3632" s="24" t="str">
        <f>IFERROR(__xludf.DUMMYFUNCTION("""COMPUTED_VALUE"""),"Damage/expired/extra")</f>
        <v>Damage/expired/extra</v>
      </c>
      <c r="F3632" s="23">
        <f>IFERROR(__xludf.DUMMYFUNCTION("""COMPUTED_VALUE"""),44880.65603532407)</f>
        <v>44880.65604</v>
      </c>
      <c r="G3632" s="24" t="str">
        <f>IFERROR(__xludf.DUMMYFUNCTION("""COMPUTED_VALUE"""),"Beverly Pinn")</f>
        <v>Beverly Pinn</v>
      </c>
      <c r="H3632" s="24">
        <f>IFERROR(__xludf.DUMMYFUNCTION("""COMPUTED_VALUE"""),936.0)</f>
        <v>936</v>
      </c>
      <c r="I3632" s="24" t="str">
        <f>IFERROR(__xludf.DUMMYFUNCTION("""COMPUTED_VALUE"""),"Dole")</f>
        <v>Dole</v>
      </c>
    </row>
    <row r="3633">
      <c r="A3633" s="23">
        <f>IFERROR(__xludf.DUMMYFUNCTION("""COMPUTED_VALUE"""),44853.58478452546)</f>
        <v>44853.58478</v>
      </c>
      <c r="B3633" s="24" t="str">
        <f>IFERROR(__xludf.DUMMYFUNCTION("""COMPUTED_VALUE"""),"Bud - Sisson st dpw drinks ")</f>
        <v>Bud - Sisson st dpw drinks </v>
      </c>
      <c r="C3633" s="24">
        <f>IFERROR(__xludf.DUMMYFUNCTION("""COMPUTED_VALUE"""),11.0)</f>
        <v>11</v>
      </c>
      <c r="D3633" s="24" t="str">
        <f>IFERROR(__xludf.DUMMYFUNCTION("""COMPUTED_VALUE"""),"Regular (up to 20lbs)")</f>
        <v>Regular (up to 20lbs)</v>
      </c>
      <c r="F3633" s="23">
        <f>IFERROR(__xludf.DUMMYFUNCTION("""COMPUTED_VALUE"""),44880.65667665509)</f>
        <v>44880.65668</v>
      </c>
      <c r="G3633" s="24" t="str">
        <f>IFERROR(__xludf.DUMMYFUNCTION("""COMPUTED_VALUE"""),"Beverly Pinn")</f>
        <v>Beverly Pinn</v>
      </c>
      <c r="H3633" s="24">
        <f>IFERROR(__xludf.DUMMYFUNCTION("""COMPUTED_VALUE"""),1130.0)</f>
        <v>1130</v>
      </c>
      <c r="I3633" s="24" t="str">
        <f>IFERROR(__xludf.DUMMYFUNCTION("""COMPUTED_VALUE"""),"Dole")</f>
        <v>Dole</v>
      </c>
    </row>
    <row r="3634">
      <c r="A3634" s="23">
        <f>IFERROR(__xludf.DUMMYFUNCTION("""COMPUTED_VALUE"""),44853.584981354164)</f>
        <v>44853.58498</v>
      </c>
      <c r="B3634" s="24" t="str">
        <f>IFERROR(__xludf.DUMMYFUNCTION("""COMPUTED_VALUE"""),"Bud Stracker - personal ")</f>
        <v>Bud Stracker - personal </v>
      </c>
      <c r="C3634" s="24">
        <f>IFERROR(__xludf.DUMMYFUNCTION("""COMPUTED_VALUE"""),1.0)</f>
        <v>1</v>
      </c>
      <c r="D3634" s="24" t="str">
        <f>IFERROR(__xludf.DUMMYFUNCTION("""COMPUTED_VALUE"""),"Regular (up to 20lbs)")</f>
        <v>Regular (up to 20lbs)</v>
      </c>
      <c r="F3634" s="23">
        <f>IFERROR(__xludf.DUMMYFUNCTION("""COMPUTED_VALUE"""),44880.65713137732)</f>
        <v>44880.65713</v>
      </c>
      <c r="G3634" s="24" t="str">
        <f>IFERROR(__xludf.DUMMYFUNCTION("""COMPUTED_VALUE"""),"Beverly Pinn")</f>
        <v>Beverly Pinn</v>
      </c>
      <c r="H3634" s="24">
        <f>IFERROR(__xludf.DUMMYFUNCTION("""COMPUTED_VALUE"""),1051.0)</f>
        <v>1051</v>
      </c>
      <c r="I3634" s="24" t="str">
        <f>IFERROR(__xludf.DUMMYFUNCTION("""COMPUTED_VALUE"""),"Dole ")</f>
        <v>Dole </v>
      </c>
    </row>
    <row r="3635">
      <c r="A3635" s="23">
        <f>IFERROR(__xludf.DUMMYFUNCTION("""COMPUTED_VALUE"""),44853.5889436111)</f>
        <v>44853.58894</v>
      </c>
      <c r="B3635" s="24" t="str">
        <f>IFERROR(__xludf.DUMMYFUNCTION("""COMPUTED_VALUE"""),"Bud Stracker ")</f>
        <v>Bud Stracker </v>
      </c>
      <c r="C3635" s="24">
        <f>IFERROR(__xludf.DUMMYFUNCTION("""COMPUTED_VALUE"""),21.0)</f>
        <v>21</v>
      </c>
      <c r="D3635" s="24" t="str">
        <f>IFERROR(__xludf.DUMMYFUNCTION("""COMPUTED_VALUE"""),"Damage/expired/extra")</f>
        <v>Damage/expired/extra</v>
      </c>
      <c r="F3635" s="23">
        <f>IFERROR(__xludf.DUMMYFUNCTION("""COMPUTED_VALUE"""),44880.65755511574)</f>
        <v>44880.65756</v>
      </c>
      <c r="G3635" s="24" t="str">
        <f>IFERROR(__xludf.DUMMYFUNCTION("""COMPUTED_VALUE"""),"Beverly Pinn")</f>
        <v>Beverly Pinn</v>
      </c>
      <c r="H3635" s="24">
        <f>IFERROR(__xludf.DUMMYFUNCTION("""COMPUTED_VALUE"""),846.0)</f>
        <v>846</v>
      </c>
      <c r="I3635" s="24" t="str">
        <f>IFERROR(__xludf.DUMMYFUNCTION("""COMPUTED_VALUE"""),"Dole")</f>
        <v>Dole</v>
      </c>
    </row>
    <row r="3636">
      <c r="A3636" s="23">
        <f>IFERROR(__xludf.DUMMYFUNCTION("""COMPUTED_VALUE"""),44853.727750439815)</f>
        <v>44853.72775</v>
      </c>
      <c r="B3636" s="24" t="str">
        <f>IFERROR(__xludf.DUMMYFUNCTION("""COMPUTED_VALUE"""),"Luke mayhew ")</f>
        <v>Luke mayhew </v>
      </c>
      <c r="C3636" s="24">
        <f>IFERROR(__xludf.DUMMYFUNCTION("""COMPUTED_VALUE"""),20.0)</f>
        <v>20</v>
      </c>
      <c r="D3636" s="24" t="str">
        <f>IFERROR(__xludf.DUMMYFUNCTION("""COMPUTED_VALUE"""),"Regular (up to 20lbs)")</f>
        <v>Regular (up to 20lbs)</v>
      </c>
      <c r="F3636" s="23">
        <f>IFERROR(__xludf.DUMMYFUNCTION("""COMPUTED_VALUE"""),44880.657940254634)</f>
        <v>44880.65794</v>
      </c>
      <c r="G3636" s="24" t="str">
        <f>IFERROR(__xludf.DUMMYFUNCTION("""COMPUTED_VALUE"""),"Beverly Pinn")</f>
        <v>Beverly Pinn</v>
      </c>
      <c r="H3636" s="24">
        <f>IFERROR(__xludf.DUMMYFUNCTION("""COMPUTED_VALUE"""),1038.0)</f>
        <v>1038</v>
      </c>
      <c r="I3636" s="24" t="str">
        <f>IFERROR(__xludf.DUMMYFUNCTION("""COMPUTED_VALUE"""),"Dole")</f>
        <v>Dole</v>
      </c>
    </row>
    <row r="3637">
      <c r="A3637" s="23">
        <f>IFERROR(__xludf.DUMMYFUNCTION("""COMPUTED_VALUE"""),44853.72790332176)</f>
        <v>44853.7279</v>
      </c>
      <c r="B3637" s="24" t="str">
        <f>IFERROR(__xludf.DUMMYFUNCTION("""COMPUTED_VALUE"""),"Luke mayhew")</f>
        <v>Luke mayhew</v>
      </c>
      <c r="C3637" s="24">
        <f>IFERROR(__xludf.DUMMYFUNCTION("""COMPUTED_VALUE"""),18.0)</f>
        <v>18</v>
      </c>
      <c r="D3637" s="24" t="str">
        <f>IFERROR(__xludf.DUMMYFUNCTION("""COMPUTED_VALUE"""),"Damage/expired/extra")</f>
        <v>Damage/expired/extra</v>
      </c>
      <c r="F3637" s="23">
        <f>IFERROR(__xludf.DUMMYFUNCTION("""COMPUTED_VALUE"""),44880.658475624994)</f>
        <v>44880.65848</v>
      </c>
      <c r="G3637" s="24" t="str">
        <f>IFERROR(__xludf.DUMMYFUNCTION("""COMPUTED_VALUE"""),"Beverly Pinn")</f>
        <v>Beverly Pinn</v>
      </c>
      <c r="H3637" s="24">
        <f>IFERROR(__xludf.DUMMYFUNCTION("""COMPUTED_VALUE"""),1031.0)</f>
        <v>1031</v>
      </c>
      <c r="I3637" s="24" t="str">
        <f>IFERROR(__xludf.DUMMYFUNCTION("""COMPUTED_VALUE"""),"Dole")</f>
        <v>Dole</v>
      </c>
    </row>
    <row r="3638">
      <c r="A3638" s="23">
        <f>IFERROR(__xludf.DUMMYFUNCTION("""COMPUTED_VALUE"""),44853.76404372685)</f>
        <v>44853.76404</v>
      </c>
      <c r="B3638" s="24" t="str">
        <f>IFERROR(__xludf.DUMMYFUNCTION("""COMPUTED_VALUE"""),"Karen")</f>
        <v>Karen</v>
      </c>
      <c r="C3638" s="24">
        <f>IFERROR(__xludf.DUMMYFUNCTION("""COMPUTED_VALUE"""),17.0)</f>
        <v>17</v>
      </c>
      <c r="D3638" s="24" t="str">
        <f>IFERROR(__xludf.DUMMYFUNCTION("""COMPUTED_VALUE"""),"Regular (up to 20lbs)")</f>
        <v>Regular (up to 20lbs)</v>
      </c>
      <c r="F3638" s="23">
        <f>IFERROR(__xludf.DUMMYFUNCTION("""COMPUTED_VALUE"""),44880.65884956018)</f>
        <v>44880.65885</v>
      </c>
      <c r="G3638" s="24" t="str">
        <f>IFERROR(__xludf.DUMMYFUNCTION("""COMPUTED_VALUE"""),"Beverly Pinn")</f>
        <v>Beverly Pinn</v>
      </c>
      <c r="H3638" s="24">
        <f>IFERROR(__xludf.DUMMYFUNCTION("""COMPUTED_VALUE"""),1034.0)</f>
        <v>1034</v>
      </c>
      <c r="I3638" s="24" t="str">
        <f>IFERROR(__xludf.DUMMYFUNCTION("""COMPUTED_VALUE"""),"Dole")</f>
        <v>Dole</v>
      </c>
    </row>
    <row r="3639">
      <c r="A3639" s="23">
        <f>IFERROR(__xludf.DUMMYFUNCTION("""COMPUTED_VALUE"""),44853.7641746875)</f>
        <v>44853.76417</v>
      </c>
      <c r="B3639" s="24" t="str">
        <f>IFERROR(__xludf.DUMMYFUNCTION("""COMPUTED_VALUE"""),"Karen")</f>
        <v>Karen</v>
      </c>
      <c r="C3639" s="24">
        <f>IFERROR(__xludf.DUMMYFUNCTION("""COMPUTED_VALUE"""),18.0)</f>
        <v>18</v>
      </c>
      <c r="D3639" s="24" t="str">
        <f>IFERROR(__xludf.DUMMYFUNCTION("""COMPUTED_VALUE"""),"Damage/expired/extra")</f>
        <v>Damage/expired/extra</v>
      </c>
      <c r="F3639" s="23">
        <f>IFERROR(__xludf.DUMMYFUNCTION("""COMPUTED_VALUE"""),44880.65922121528)</f>
        <v>44880.65922</v>
      </c>
      <c r="G3639" s="24" t="str">
        <f>IFERROR(__xludf.DUMMYFUNCTION("""COMPUTED_VALUE"""),"Beverly Pinn")</f>
        <v>Beverly Pinn</v>
      </c>
      <c r="H3639" s="24">
        <f>IFERROR(__xludf.DUMMYFUNCTION("""COMPUTED_VALUE"""),1235.0)</f>
        <v>1235</v>
      </c>
      <c r="I3639" s="24" t="str">
        <f>IFERROR(__xludf.DUMMYFUNCTION("""COMPUTED_VALUE"""),"Dole")</f>
        <v>Dole</v>
      </c>
    </row>
    <row r="3640">
      <c r="A3640" s="23">
        <f>IFERROR(__xludf.DUMMYFUNCTION("""COMPUTED_VALUE"""),44853.7726085301)</f>
        <v>44853.77261</v>
      </c>
      <c r="B3640" s="24" t="str">
        <f>IFERROR(__xludf.DUMMYFUNCTION("""COMPUTED_VALUE"""),"Juanita Chandler ")</f>
        <v>Juanita Chandler </v>
      </c>
      <c r="C3640" s="24">
        <f>IFERROR(__xludf.DUMMYFUNCTION("""COMPUTED_VALUE"""),19.0)</f>
        <v>19</v>
      </c>
      <c r="D3640" s="24" t="str">
        <f>IFERROR(__xludf.DUMMYFUNCTION("""COMPUTED_VALUE"""),"Regular (up to 20lbs)")</f>
        <v>Regular (up to 20lbs)</v>
      </c>
      <c r="F3640" s="23">
        <f>IFERROR(__xludf.DUMMYFUNCTION("""COMPUTED_VALUE"""),44880.659634814816)</f>
        <v>44880.65963</v>
      </c>
      <c r="G3640" s="24" t="str">
        <f>IFERROR(__xludf.DUMMYFUNCTION("""COMPUTED_VALUE"""),"Beverly Pinn")</f>
        <v>Beverly Pinn</v>
      </c>
      <c r="H3640" s="24">
        <f>IFERROR(__xludf.DUMMYFUNCTION("""COMPUTED_VALUE"""),943.0)</f>
        <v>943</v>
      </c>
      <c r="I3640" s="24" t="str">
        <f>IFERROR(__xludf.DUMMYFUNCTION("""COMPUTED_VALUE"""),"Dole")</f>
        <v>Dole</v>
      </c>
    </row>
    <row r="3641">
      <c r="A3641" s="23">
        <f>IFERROR(__xludf.DUMMYFUNCTION("""COMPUTED_VALUE"""),44853.77288049769)</f>
        <v>44853.77288</v>
      </c>
      <c r="B3641" s="24" t="str">
        <f>IFERROR(__xludf.DUMMYFUNCTION("""COMPUTED_VALUE"""),"Juanita Chandler ")</f>
        <v>Juanita Chandler </v>
      </c>
      <c r="C3641" s="24">
        <f>IFERROR(__xludf.DUMMYFUNCTION("""COMPUTED_VALUE"""),14.0)</f>
        <v>14</v>
      </c>
      <c r="D3641" s="24" t="str">
        <f>IFERROR(__xludf.DUMMYFUNCTION("""COMPUTED_VALUE"""),"Damage/expired/extra")</f>
        <v>Damage/expired/extra</v>
      </c>
      <c r="F3641" s="23">
        <f>IFERROR(__xludf.DUMMYFUNCTION("""COMPUTED_VALUE"""),44880.664931643514)</f>
        <v>44880.66493</v>
      </c>
      <c r="G3641" s="24" t="str">
        <f>IFERROR(__xludf.DUMMYFUNCTION("""COMPUTED_VALUE"""),"Beverly Pinn")</f>
        <v>Beverly Pinn</v>
      </c>
      <c r="H3641" s="24">
        <f>IFERROR(__xludf.DUMMYFUNCTION("""COMPUTED_VALUE"""),1134.0)</f>
        <v>1134</v>
      </c>
      <c r="I3641" s="24" t="str">
        <f>IFERROR(__xludf.DUMMYFUNCTION("""COMPUTED_VALUE"""),"Dole")</f>
        <v>Dole</v>
      </c>
    </row>
    <row r="3642">
      <c r="A3642" s="23">
        <f>IFERROR(__xludf.DUMMYFUNCTION("""COMPUTED_VALUE"""),44853.83761520833)</f>
        <v>44853.83762</v>
      </c>
      <c r="B3642" s="24" t="str">
        <f>IFERROR(__xludf.DUMMYFUNCTION("""COMPUTED_VALUE"""),"Lynnette cromer")</f>
        <v>Lynnette cromer</v>
      </c>
      <c r="C3642" s="24">
        <f>IFERROR(__xludf.DUMMYFUNCTION("""COMPUTED_VALUE"""),21.0)</f>
        <v>21</v>
      </c>
      <c r="D3642" s="24" t="str">
        <f>IFERROR(__xludf.DUMMYFUNCTION("""COMPUTED_VALUE"""),"Regular (up to 20lbs)")</f>
        <v>Regular (up to 20lbs)</v>
      </c>
      <c r="F3642" s="23">
        <f>IFERROR(__xludf.DUMMYFUNCTION("""COMPUTED_VALUE"""),44880.66535909722)</f>
        <v>44880.66536</v>
      </c>
      <c r="G3642" s="24" t="str">
        <f>IFERROR(__xludf.DUMMYFUNCTION("""COMPUTED_VALUE"""),"Beverly Pinn")</f>
        <v>Beverly Pinn</v>
      </c>
      <c r="H3642" s="24">
        <f>IFERROR(__xludf.DUMMYFUNCTION("""COMPUTED_VALUE"""),1244.0)</f>
        <v>1244</v>
      </c>
      <c r="I3642" s="24" t="str">
        <f>IFERROR(__xludf.DUMMYFUNCTION("""COMPUTED_VALUE"""),"Dole")</f>
        <v>Dole</v>
      </c>
    </row>
    <row r="3643">
      <c r="A3643" s="23">
        <f>IFERROR(__xludf.DUMMYFUNCTION("""COMPUTED_VALUE"""),44853.83785393519)</f>
        <v>44853.83785</v>
      </c>
      <c r="B3643" s="24" t="str">
        <f>IFERROR(__xludf.DUMMYFUNCTION("""COMPUTED_VALUE"""),"Lynnette c")</f>
        <v>Lynnette c</v>
      </c>
      <c r="C3643" s="24">
        <f>IFERROR(__xludf.DUMMYFUNCTION("""COMPUTED_VALUE"""),13.0)</f>
        <v>13</v>
      </c>
      <c r="D3643" s="24" t="str">
        <f>IFERROR(__xludf.DUMMYFUNCTION("""COMPUTED_VALUE"""),"Damage/expired/extra")</f>
        <v>Damage/expired/extra</v>
      </c>
      <c r="F3643" s="23">
        <f>IFERROR(__xludf.DUMMYFUNCTION("""COMPUTED_VALUE"""),44880.66692613426)</f>
        <v>44880.66693</v>
      </c>
      <c r="G3643" s="24" t="str">
        <f>IFERROR(__xludf.DUMMYFUNCTION("""COMPUTED_VALUE"""),"Beverly Pinn")</f>
        <v>Beverly Pinn</v>
      </c>
      <c r="H3643" s="24">
        <f>IFERROR(__xludf.DUMMYFUNCTION("""COMPUTED_VALUE"""),1212.0)</f>
        <v>1212</v>
      </c>
      <c r="I3643" s="24" t="str">
        <f>IFERROR(__xludf.DUMMYFUNCTION("""COMPUTED_VALUE"""),"Dole")</f>
        <v>Dole</v>
      </c>
    </row>
    <row r="3644">
      <c r="A3644" s="23">
        <f>IFERROR(__xludf.DUMMYFUNCTION("""COMPUTED_VALUE"""),44854.0)</f>
        <v>44854</v>
      </c>
      <c r="B3644" s="24" t="str">
        <f>IFERROR(__xludf.DUMMYFUNCTION("""COMPUTED_VALUE"""),"Barbara Jordan")</f>
        <v>Barbara Jordan</v>
      </c>
      <c r="C3644" s="24">
        <f>IFERROR(__xludf.DUMMYFUNCTION("""COMPUTED_VALUE"""),12.0)</f>
        <v>12</v>
      </c>
      <c r="D3644" s="24" t="str">
        <f>IFERROR(__xludf.DUMMYFUNCTION("""COMPUTED_VALUE"""),"Regular (up to 20lbs)")</f>
        <v>Regular (up to 20lbs)</v>
      </c>
      <c r="F3644" s="23">
        <f>IFERROR(__xludf.DUMMYFUNCTION("""COMPUTED_VALUE"""),44880.669283842595)</f>
        <v>44880.66928</v>
      </c>
      <c r="G3644" s="24" t="str">
        <f>IFERROR(__xludf.DUMMYFUNCTION("""COMPUTED_VALUE"""),"Beverly Pinn")</f>
        <v>Beverly Pinn</v>
      </c>
      <c r="H3644" s="24">
        <f>IFERROR(__xludf.DUMMYFUNCTION("""COMPUTED_VALUE"""),964.0)</f>
        <v>964</v>
      </c>
      <c r="I3644" s="24" t="str">
        <f>IFERROR(__xludf.DUMMYFUNCTION("""COMPUTED_VALUE"""),"Dole")</f>
        <v>Dole</v>
      </c>
    </row>
    <row r="3645">
      <c r="A3645" s="23">
        <f>IFERROR(__xludf.DUMMYFUNCTION("""COMPUTED_VALUE"""),44854.0)</f>
        <v>44854</v>
      </c>
      <c r="B3645" s="24" t="str">
        <f>IFERROR(__xludf.DUMMYFUNCTION("""COMPUTED_VALUE"""),"Barbara Jordan")</f>
        <v>Barbara Jordan</v>
      </c>
      <c r="C3645" s="24">
        <f>IFERROR(__xludf.DUMMYFUNCTION("""COMPUTED_VALUE"""),3.0)</f>
        <v>3</v>
      </c>
      <c r="D3645" s="24" t="str">
        <f>IFERROR(__xludf.DUMMYFUNCTION("""COMPUTED_VALUE"""),"Damage/expired/extra")</f>
        <v>Damage/expired/extra</v>
      </c>
      <c r="F3645" s="23">
        <f>IFERROR(__xludf.DUMMYFUNCTION("""COMPUTED_VALUE"""),44880.67397581019)</f>
        <v>44880.67398</v>
      </c>
      <c r="G3645" s="24" t="str">
        <f>IFERROR(__xludf.DUMMYFUNCTION("""COMPUTED_VALUE"""),"Beverly Pinn")</f>
        <v>Beverly Pinn</v>
      </c>
      <c r="H3645" s="24">
        <f>IFERROR(__xludf.DUMMYFUNCTION("""COMPUTED_VALUE"""),1234.0)</f>
        <v>1234</v>
      </c>
      <c r="I3645" s="24" t="str">
        <f>IFERROR(__xludf.DUMMYFUNCTION("""COMPUTED_VALUE"""),"Dole")</f>
        <v>Dole</v>
      </c>
    </row>
    <row r="3646">
      <c r="A3646" s="23">
        <f>IFERROR(__xludf.DUMMYFUNCTION("""COMPUTED_VALUE"""),44854.0)</f>
        <v>44854</v>
      </c>
      <c r="B3646" s="24" t="str">
        <f>IFERROR(__xludf.DUMMYFUNCTION("""COMPUTED_VALUE"""),"Hong Xue")</f>
        <v>Hong Xue</v>
      </c>
      <c r="C3646" s="24">
        <f>IFERROR(__xludf.DUMMYFUNCTION("""COMPUTED_VALUE"""),20.0)</f>
        <v>20</v>
      </c>
      <c r="D3646" s="24" t="str">
        <f>IFERROR(__xludf.DUMMYFUNCTION("""COMPUTED_VALUE"""),"Regular (up to 20lbs)")</f>
        <v>Regular (up to 20lbs)</v>
      </c>
      <c r="F3646" s="23">
        <f>IFERROR(__xludf.DUMMYFUNCTION("""COMPUTED_VALUE"""),44880.67596835648)</f>
        <v>44880.67597</v>
      </c>
      <c r="G3646" s="24" t="str">
        <f>IFERROR(__xludf.DUMMYFUNCTION("""COMPUTED_VALUE"""),"Beverly Pinn")</f>
        <v>Beverly Pinn</v>
      </c>
      <c r="H3646" s="24">
        <f>IFERROR(__xludf.DUMMYFUNCTION("""COMPUTED_VALUE"""),328.0)</f>
        <v>328</v>
      </c>
      <c r="I3646" s="24" t="str">
        <f>IFERROR(__xludf.DUMMYFUNCTION("""COMPUTED_VALUE"""),"First Fruits Farm")</f>
        <v>First Fruits Farm</v>
      </c>
    </row>
    <row r="3647">
      <c r="A3647" s="23">
        <f>IFERROR(__xludf.DUMMYFUNCTION("""COMPUTED_VALUE"""),44854.0)</f>
        <v>44854</v>
      </c>
      <c r="B3647" s="24" t="str">
        <f>IFERROR(__xludf.DUMMYFUNCTION("""COMPUTED_VALUE"""),"Hong Xue")</f>
        <v>Hong Xue</v>
      </c>
      <c r="C3647" s="24">
        <f>IFERROR(__xludf.DUMMYFUNCTION("""COMPUTED_VALUE"""),8.0)</f>
        <v>8</v>
      </c>
      <c r="D3647" s="24" t="str">
        <f>IFERROR(__xludf.DUMMYFUNCTION("""COMPUTED_VALUE"""),"Damage/expired/extra")</f>
        <v>Damage/expired/extra</v>
      </c>
      <c r="F3647" s="23">
        <f>IFERROR(__xludf.DUMMYFUNCTION("""COMPUTED_VALUE"""),44880.67943957176)</f>
        <v>44880.67944</v>
      </c>
      <c r="G3647" s="24" t="str">
        <f>IFERROR(__xludf.DUMMYFUNCTION("""COMPUTED_VALUE"""),"Claire")</f>
        <v>Claire</v>
      </c>
      <c r="H3647" s="24">
        <f>IFERROR(__xludf.DUMMYFUNCTION("""COMPUTED_VALUE"""),962.0)</f>
        <v>962</v>
      </c>
      <c r="I3647" s="24" t="str">
        <f>IFERROR(__xludf.DUMMYFUNCTION("""COMPUTED_VALUE"""),"Dole")</f>
        <v>Dole</v>
      </c>
    </row>
    <row r="3648">
      <c r="A3648" s="23">
        <f>IFERROR(__xludf.DUMMYFUNCTION("""COMPUTED_VALUE"""),44854.0)</f>
        <v>44854</v>
      </c>
      <c r="B3648" s="24" t="str">
        <f>IFERROR(__xludf.DUMMYFUNCTION("""COMPUTED_VALUE"""),"Norma")</f>
        <v>Norma</v>
      </c>
      <c r="C3648" s="24">
        <f>IFERROR(__xludf.DUMMYFUNCTION("""COMPUTED_VALUE"""),20.0)</f>
        <v>20</v>
      </c>
      <c r="D3648" s="24" t="str">
        <f>IFERROR(__xludf.DUMMYFUNCTION("""COMPUTED_VALUE"""),"Regular (up to 20lbs)")</f>
        <v>Regular (up to 20lbs)</v>
      </c>
      <c r="F3648" s="23">
        <f>IFERROR(__xludf.DUMMYFUNCTION("""COMPUTED_VALUE"""),44880.68087673611)</f>
        <v>44880.68088</v>
      </c>
      <c r="G3648" s="24" t="str">
        <f>IFERROR(__xludf.DUMMYFUNCTION("""COMPUTED_VALUE"""),"Claire")</f>
        <v>Claire</v>
      </c>
      <c r="H3648" s="24">
        <f>IFERROR(__xludf.DUMMYFUNCTION("""COMPUTED_VALUE"""),1026.0)</f>
        <v>1026</v>
      </c>
      <c r="I3648" s="24" t="str">
        <f>IFERROR(__xludf.DUMMYFUNCTION("""COMPUTED_VALUE"""),"Dole")</f>
        <v>Dole</v>
      </c>
    </row>
    <row r="3649">
      <c r="A3649" s="23">
        <f>IFERROR(__xludf.DUMMYFUNCTION("""COMPUTED_VALUE"""),44854.0)</f>
        <v>44854</v>
      </c>
      <c r="B3649" s="24" t="str">
        <f>IFERROR(__xludf.DUMMYFUNCTION("""COMPUTED_VALUE"""),"Norma")</f>
        <v>Norma</v>
      </c>
      <c r="C3649" s="24">
        <f>IFERROR(__xludf.DUMMYFUNCTION("""COMPUTED_VALUE"""),3.0)</f>
        <v>3</v>
      </c>
      <c r="D3649" s="24" t="str">
        <f>IFERROR(__xludf.DUMMYFUNCTION("""COMPUTED_VALUE"""),"Damage/expired/extra")</f>
        <v>Damage/expired/extra</v>
      </c>
      <c r="F3649" s="23">
        <f>IFERROR(__xludf.DUMMYFUNCTION("""COMPUTED_VALUE"""),44880.68106979166)</f>
        <v>44880.68107</v>
      </c>
      <c r="G3649" s="24" t="str">
        <f>IFERROR(__xludf.DUMMYFUNCTION("""COMPUTED_VALUE"""),"Claire")</f>
        <v>Claire</v>
      </c>
      <c r="H3649" s="24">
        <f>IFERROR(__xludf.DUMMYFUNCTION("""COMPUTED_VALUE"""),1034.0)</f>
        <v>1034</v>
      </c>
      <c r="I3649" s="24" t="str">
        <f>IFERROR(__xludf.DUMMYFUNCTION("""COMPUTED_VALUE"""),"Dole")</f>
        <v>Dole</v>
      </c>
    </row>
    <row r="3650">
      <c r="A3650" s="23">
        <f>IFERROR(__xludf.DUMMYFUNCTION("""COMPUTED_VALUE"""),44854.71394835649)</f>
        <v>44854.71395</v>
      </c>
      <c r="B3650" s="24" t="str">
        <f>IFERROR(__xludf.DUMMYFUNCTION("""COMPUTED_VALUE"""),"JeAn")</f>
        <v>JeAn</v>
      </c>
      <c r="C3650" s="24">
        <f>IFERROR(__xludf.DUMMYFUNCTION("""COMPUTED_VALUE"""),42.0)</f>
        <v>42</v>
      </c>
      <c r="D3650" s="24" t="str">
        <f>IFERROR(__xludf.DUMMYFUNCTION("""COMPUTED_VALUE"""),"Regular (up to 20lbs)")</f>
        <v>Regular (up to 20lbs)</v>
      </c>
      <c r="F3650" s="23">
        <f>IFERROR(__xludf.DUMMYFUNCTION("""COMPUTED_VALUE"""),44880.68576486111)</f>
        <v>44880.68576</v>
      </c>
      <c r="G3650" s="24" t="str">
        <f>IFERROR(__xludf.DUMMYFUNCTION("""COMPUTED_VALUE"""),"Romaine Bouldin ")</f>
        <v>Romaine Bouldin </v>
      </c>
      <c r="H3650" s="24">
        <f>IFERROR(__xludf.DUMMYFUNCTION("""COMPUTED_VALUE"""),15.0)</f>
        <v>15</v>
      </c>
      <c r="I3650" s="24" t="str">
        <f>IFERROR(__xludf.DUMMYFUNCTION("""COMPUTED_VALUE"""),"Regular (up to 20lbs)")</f>
        <v>Regular (up to 20lbs)</v>
      </c>
    </row>
    <row r="3651">
      <c r="A3651" s="23">
        <f>IFERROR(__xludf.DUMMYFUNCTION("""COMPUTED_VALUE"""),44854.0)</f>
        <v>44854</v>
      </c>
      <c r="B3651" s="24" t="str">
        <f>IFERROR(__xludf.DUMMYFUNCTION("""COMPUTED_VALUE"""),"Nathaniel McClean")</f>
        <v>Nathaniel McClean</v>
      </c>
      <c r="C3651" s="24">
        <f>IFERROR(__xludf.DUMMYFUNCTION("""COMPUTED_VALUE"""),20.0)</f>
        <v>20</v>
      </c>
      <c r="D3651" s="24" t="str">
        <f>IFERROR(__xludf.DUMMYFUNCTION("""COMPUTED_VALUE"""),"Regular (up to 20lbs)")</f>
        <v>Regular (up to 20lbs)</v>
      </c>
      <c r="F3651" s="23">
        <f>IFERROR(__xludf.DUMMYFUNCTION("""COMPUTED_VALUE"""),44880.68579791667)</f>
        <v>44880.6858</v>
      </c>
      <c r="G3651" s="24" t="str">
        <f>IFERROR(__xludf.DUMMYFUNCTION("""COMPUTED_VALUE"""),"Claire")</f>
        <v>Claire</v>
      </c>
      <c r="H3651" s="24">
        <f>IFERROR(__xludf.DUMMYFUNCTION("""COMPUTED_VALUE"""),998.0)</f>
        <v>998</v>
      </c>
      <c r="I3651" s="24" t="str">
        <f>IFERROR(__xludf.DUMMYFUNCTION("""COMPUTED_VALUE"""),"Dole")</f>
        <v>Dole</v>
      </c>
    </row>
    <row r="3652">
      <c r="A3652" s="23">
        <f>IFERROR(__xludf.DUMMYFUNCTION("""COMPUTED_VALUE"""),44854.0)</f>
        <v>44854</v>
      </c>
      <c r="B3652" s="24" t="str">
        <f>IFERROR(__xludf.DUMMYFUNCTION("""COMPUTED_VALUE"""),"Julia Buckson")</f>
        <v>Julia Buckson</v>
      </c>
      <c r="C3652" s="24">
        <f>IFERROR(__xludf.DUMMYFUNCTION("""COMPUTED_VALUE"""),20.0)</f>
        <v>20</v>
      </c>
      <c r="D3652" s="24" t="str">
        <f>IFERROR(__xludf.DUMMYFUNCTION("""COMPUTED_VALUE"""),"Regular (up to 20lbs)")</f>
        <v>Regular (up to 20lbs)</v>
      </c>
      <c r="F3652" s="23">
        <f>IFERROR(__xludf.DUMMYFUNCTION("""COMPUTED_VALUE"""),44880.68590494213)</f>
        <v>44880.6859</v>
      </c>
      <c r="G3652" s="24" t="str">
        <f>IFERROR(__xludf.DUMMYFUNCTION("""COMPUTED_VALUE"""),"Romaine Bouldin ")</f>
        <v>Romaine Bouldin </v>
      </c>
      <c r="H3652" s="24">
        <f>IFERROR(__xludf.DUMMYFUNCTION("""COMPUTED_VALUE"""),1.0)</f>
        <v>1</v>
      </c>
      <c r="I3652" s="24" t="str">
        <f>IFERROR(__xludf.DUMMYFUNCTION("""COMPUTED_VALUE"""),"Damage/expired/extra")</f>
        <v>Damage/expired/extra</v>
      </c>
    </row>
    <row r="3653">
      <c r="A3653" s="23">
        <f>IFERROR(__xludf.DUMMYFUNCTION("""COMPUTED_VALUE"""),44854.0)</f>
        <v>44854</v>
      </c>
      <c r="B3653" s="24" t="str">
        <f>IFERROR(__xludf.DUMMYFUNCTION("""COMPUTED_VALUE"""),"Julia Buckson")</f>
        <v>Julia Buckson</v>
      </c>
      <c r="C3653" s="24">
        <f>IFERROR(__xludf.DUMMYFUNCTION("""COMPUTED_VALUE"""),4.0)</f>
        <v>4</v>
      </c>
      <c r="D3653" s="24" t="str">
        <f>IFERROR(__xludf.DUMMYFUNCTION("""COMPUTED_VALUE"""),"Damage/expired/extra")</f>
        <v>Damage/expired/extra</v>
      </c>
      <c r="F3653" s="23">
        <f>IFERROR(__xludf.DUMMYFUNCTION("""COMPUTED_VALUE"""),44880.68590771991)</f>
        <v>44880.68591</v>
      </c>
      <c r="G3653" s="24" t="str">
        <f>IFERROR(__xludf.DUMMYFUNCTION("""COMPUTED_VALUE"""),"Beverly Graham ")</f>
        <v>Beverly Graham </v>
      </c>
      <c r="H3653" s="24">
        <f>IFERROR(__xludf.DUMMYFUNCTION("""COMPUTED_VALUE"""),12.0)</f>
        <v>12</v>
      </c>
      <c r="I3653" s="24" t="str">
        <f>IFERROR(__xludf.DUMMYFUNCTION("""COMPUTED_VALUE"""),"Regular (up to 20lbs)")</f>
        <v>Regular (up to 20lbs)</v>
      </c>
    </row>
    <row r="3654">
      <c r="A3654" s="23">
        <f>IFERROR(__xludf.DUMMYFUNCTION("""COMPUTED_VALUE"""),44854.902289039346)</f>
        <v>44854.90229</v>
      </c>
      <c r="B3654" s="24" t="str">
        <f>IFERROR(__xludf.DUMMYFUNCTION("""COMPUTED_VALUE"""),"adeola sulaiman")</f>
        <v>adeola sulaiman</v>
      </c>
      <c r="C3654" s="24">
        <f>IFERROR(__xludf.DUMMYFUNCTION("""COMPUTED_VALUE"""),11.0)</f>
        <v>11</v>
      </c>
      <c r="D3654" s="24" t="str">
        <f>IFERROR(__xludf.DUMMYFUNCTION("""COMPUTED_VALUE"""),"Regular (up to 20lbs)")</f>
        <v>Regular (up to 20lbs)</v>
      </c>
      <c r="F3654" s="23">
        <f>IFERROR(__xludf.DUMMYFUNCTION("""COMPUTED_VALUE"""),44880.686367291666)</f>
        <v>44880.68637</v>
      </c>
      <c r="G3654" s="24" t="str">
        <f>IFERROR(__xludf.DUMMYFUNCTION("""COMPUTED_VALUE"""),"Claire")</f>
        <v>Claire</v>
      </c>
      <c r="H3654" s="24">
        <f>IFERROR(__xludf.DUMMYFUNCTION("""COMPUTED_VALUE"""),1163.0)</f>
        <v>1163</v>
      </c>
      <c r="I3654" s="24" t="str">
        <f>IFERROR(__xludf.DUMMYFUNCTION("""COMPUTED_VALUE"""),"Dole")</f>
        <v>Dole</v>
      </c>
    </row>
    <row r="3655">
      <c r="A3655" s="23">
        <f>IFERROR(__xludf.DUMMYFUNCTION("""COMPUTED_VALUE"""),44854.90238200232)</f>
        <v>44854.90238</v>
      </c>
      <c r="B3655" s="24" t="str">
        <f>IFERROR(__xludf.DUMMYFUNCTION("""COMPUTED_VALUE"""),"adeola ")</f>
        <v>adeola </v>
      </c>
      <c r="C3655" s="24">
        <f>IFERROR(__xludf.DUMMYFUNCTION("""COMPUTED_VALUE"""),10.0)</f>
        <v>10</v>
      </c>
      <c r="D3655" s="24" t="str">
        <f>IFERROR(__xludf.DUMMYFUNCTION("""COMPUTED_VALUE"""),"Damage/expired/extra")</f>
        <v>Damage/expired/extra</v>
      </c>
      <c r="F3655" s="23">
        <f>IFERROR(__xludf.DUMMYFUNCTION("""COMPUTED_VALUE"""),44880.68836009259)</f>
        <v>44880.68836</v>
      </c>
      <c r="G3655" s="24" t="str">
        <f>IFERROR(__xludf.DUMMYFUNCTION("""COMPUTED_VALUE"""),"Claire")</f>
        <v>Claire</v>
      </c>
      <c r="H3655" s="24">
        <f>IFERROR(__xludf.DUMMYFUNCTION("""COMPUTED_VALUE"""),1224.0)</f>
        <v>1224</v>
      </c>
      <c r="I3655" s="24" t="str">
        <f>IFERROR(__xludf.DUMMYFUNCTION("""COMPUTED_VALUE"""),"Dole")</f>
        <v>Dole</v>
      </c>
    </row>
    <row r="3656">
      <c r="A3656" s="23">
        <f>IFERROR(__xludf.DUMMYFUNCTION("""COMPUTED_VALUE"""),44854.90500899305)</f>
        <v>44854.90501</v>
      </c>
      <c r="B3656" s="24" t="str">
        <f>IFERROR(__xludf.DUMMYFUNCTION("""COMPUTED_VALUE"""),"Obinna Nwokoro")</f>
        <v>Obinna Nwokoro</v>
      </c>
      <c r="C3656" s="24">
        <f>IFERROR(__xludf.DUMMYFUNCTION("""COMPUTED_VALUE"""),20.0)</f>
        <v>20</v>
      </c>
      <c r="D3656" s="24" t="str">
        <f>IFERROR(__xludf.DUMMYFUNCTION("""COMPUTED_VALUE"""),"Regular (up to 20lbs)")</f>
        <v>Regular (up to 20lbs)</v>
      </c>
      <c r="F3656" s="23">
        <f>IFERROR(__xludf.DUMMYFUNCTION("""COMPUTED_VALUE"""),44880.69073266204)</f>
        <v>44880.69073</v>
      </c>
      <c r="G3656" s="24" t="str">
        <f>IFERROR(__xludf.DUMMYFUNCTION("""COMPUTED_VALUE"""),"Claire")</f>
        <v>Claire</v>
      </c>
      <c r="H3656" s="24">
        <f>IFERROR(__xludf.DUMMYFUNCTION("""COMPUTED_VALUE"""),1170.0)</f>
        <v>1170</v>
      </c>
      <c r="I3656" s="24" t="str">
        <f>IFERROR(__xludf.DUMMYFUNCTION("""COMPUTED_VALUE"""),"Dole")</f>
        <v>Dole</v>
      </c>
    </row>
    <row r="3657">
      <c r="A3657" s="23">
        <f>IFERROR(__xludf.DUMMYFUNCTION("""COMPUTED_VALUE"""),44854.90567358796)</f>
        <v>44854.90567</v>
      </c>
      <c r="B3657" s="24" t="str">
        <f>IFERROR(__xludf.DUMMYFUNCTION("""COMPUTED_VALUE"""),"Sheneil ")</f>
        <v>Sheneil </v>
      </c>
      <c r="C3657" s="24">
        <f>IFERROR(__xludf.DUMMYFUNCTION("""COMPUTED_VALUE"""),17.0)</f>
        <v>17</v>
      </c>
      <c r="D3657" s="24" t="str">
        <f>IFERROR(__xludf.DUMMYFUNCTION("""COMPUTED_VALUE"""),"Regular (up to 20lbs)")</f>
        <v>Regular (up to 20lbs)</v>
      </c>
      <c r="F3657" s="23">
        <f>IFERROR(__xludf.DUMMYFUNCTION("""COMPUTED_VALUE"""),44880.6919765625)</f>
        <v>44880.69198</v>
      </c>
      <c r="G3657" s="24" t="str">
        <f>IFERROR(__xludf.DUMMYFUNCTION("""COMPUTED_VALUE"""),"Susan larson")</f>
        <v>Susan larson</v>
      </c>
      <c r="H3657" s="24">
        <f>IFERROR(__xludf.DUMMYFUNCTION("""COMPUTED_VALUE"""),18.0)</f>
        <v>18</v>
      </c>
      <c r="I3657" s="24" t="str">
        <f>IFERROR(__xludf.DUMMYFUNCTION("""COMPUTED_VALUE"""),"Regular (up to 20lbs)")</f>
        <v>Regular (up to 20lbs)</v>
      </c>
    </row>
    <row r="3658">
      <c r="A3658" s="23">
        <f>IFERROR(__xludf.DUMMYFUNCTION("""COMPUTED_VALUE"""),44854.90578101852)</f>
        <v>44854.90578</v>
      </c>
      <c r="B3658" s="24" t="str">
        <f>IFERROR(__xludf.DUMMYFUNCTION("""COMPUTED_VALUE"""),"Sheneil")</f>
        <v>Sheneil</v>
      </c>
      <c r="C3658" s="24">
        <f>IFERROR(__xludf.DUMMYFUNCTION("""COMPUTED_VALUE"""),6.0)</f>
        <v>6</v>
      </c>
      <c r="D3658" s="24" t="str">
        <f>IFERROR(__xludf.DUMMYFUNCTION("""COMPUTED_VALUE"""),"Damage/expired/extra")</f>
        <v>Damage/expired/extra</v>
      </c>
      <c r="F3658" s="23">
        <f>IFERROR(__xludf.DUMMYFUNCTION("""COMPUTED_VALUE"""),44880.69219206018)</f>
        <v>44880.69219</v>
      </c>
      <c r="G3658" s="24" t="str">
        <f>IFERROR(__xludf.DUMMYFUNCTION("""COMPUTED_VALUE"""),"Susan larson")</f>
        <v>Susan larson</v>
      </c>
      <c r="H3658" s="24">
        <f>IFERROR(__xludf.DUMMYFUNCTION("""COMPUTED_VALUE"""),20.0)</f>
        <v>20</v>
      </c>
      <c r="I3658" s="24" t="str">
        <f>IFERROR(__xludf.DUMMYFUNCTION("""COMPUTED_VALUE"""),"Damage/expired/extra")</f>
        <v>Damage/expired/extra</v>
      </c>
    </row>
    <row r="3659">
      <c r="A3659" s="23">
        <f>IFERROR(__xludf.DUMMYFUNCTION("""COMPUTED_VALUE"""),44855.0)</f>
        <v>44855</v>
      </c>
      <c r="B3659" s="24" t="str">
        <f>IFERROR(__xludf.DUMMYFUNCTION("""COMPUTED_VALUE"""),"Juanita")</f>
        <v>Juanita</v>
      </c>
      <c r="C3659" s="24">
        <f>IFERROR(__xludf.DUMMYFUNCTION("""COMPUTED_VALUE"""),6.0)</f>
        <v>6</v>
      </c>
      <c r="D3659" s="24" t="str">
        <f>IFERROR(__xludf.DUMMYFUNCTION("""COMPUTED_VALUE"""),"Regular (up to 20lbs)")</f>
        <v>Regular (up to 20lbs)</v>
      </c>
      <c r="F3659" s="23">
        <f>IFERROR(__xludf.DUMMYFUNCTION("""COMPUTED_VALUE"""),44880.69490530093)</f>
        <v>44880.69491</v>
      </c>
      <c r="G3659" s="24" t="str">
        <f>IFERROR(__xludf.DUMMYFUNCTION("""COMPUTED_VALUE"""),"Claire")</f>
        <v>Claire</v>
      </c>
      <c r="H3659" s="24">
        <f>IFERROR(__xludf.DUMMYFUNCTION("""COMPUTED_VALUE"""),1124.0)</f>
        <v>1124</v>
      </c>
      <c r="I3659" s="24" t="str">
        <f>IFERROR(__xludf.DUMMYFUNCTION("""COMPUTED_VALUE"""),"Dole")</f>
        <v>Dole</v>
      </c>
    </row>
    <row r="3660">
      <c r="A3660" s="23">
        <f>IFERROR(__xludf.DUMMYFUNCTION("""COMPUTED_VALUE"""),44855.0)</f>
        <v>44855</v>
      </c>
      <c r="B3660" s="24" t="str">
        <f>IFERROR(__xludf.DUMMYFUNCTION("""COMPUTED_VALUE"""),"Juanita")</f>
        <v>Juanita</v>
      </c>
      <c r="C3660" s="24">
        <f>IFERROR(__xludf.DUMMYFUNCTION("""COMPUTED_VALUE"""),3.0)</f>
        <v>3</v>
      </c>
      <c r="D3660" s="24" t="str">
        <f>IFERROR(__xludf.DUMMYFUNCTION("""COMPUTED_VALUE"""),"Damage/expired/extra")</f>
        <v>Damage/expired/extra</v>
      </c>
      <c r="F3660" s="23">
        <f>IFERROR(__xludf.DUMMYFUNCTION("""COMPUTED_VALUE"""),44880.695143900455)</f>
        <v>44880.69514</v>
      </c>
      <c r="G3660" s="24" t="str">
        <f>IFERROR(__xludf.DUMMYFUNCTION("""COMPUTED_VALUE"""),"Anna West")</f>
        <v>Anna West</v>
      </c>
      <c r="H3660" s="24">
        <f>IFERROR(__xludf.DUMMYFUNCTION("""COMPUTED_VALUE"""),20.0)</f>
        <v>20</v>
      </c>
      <c r="I3660" s="24" t="str">
        <f>IFERROR(__xludf.DUMMYFUNCTION("""COMPUTED_VALUE"""),"Regular (up to 20lbs)")</f>
        <v>Regular (up to 20lbs)</v>
      </c>
    </row>
    <row r="3661">
      <c r="A3661" s="23">
        <f>IFERROR(__xludf.DUMMYFUNCTION("""COMPUTED_VALUE"""),44855.0)</f>
        <v>44855</v>
      </c>
      <c r="B3661" s="24" t="str">
        <f>IFERROR(__xludf.DUMMYFUNCTION("""COMPUTED_VALUE"""),"Theresa Columbus")</f>
        <v>Theresa Columbus</v>
      </c>
      <c r="C3661" s="24">
        <f>IFERROR(__xludf.DUMMYFUNCTION("""COMPUTED_VALUE"""),20.0)</f>
        <v>20</v>
      </c>
      <c r="D3661" s="24" t="str">
        <f>IFERROR(__xludf.DUMMYFUNCTION("""COMPUTED_VALUE"""),"Regular (up to 20lbs)")</f>
        <v>Regular (up to 20lbs)</v>
      </c>
      <c r="F3661" s="23">
        <f>IFERROR(__xludf.DUMMYFUNCTION("""COMPUTED_VALUE"""),44880.695289999996)</f>
        <v>44880.69529</v>
      </c>
      <c r="G3661" s="24" t="str">
        <f>IFERROR(__xludf.DUMMYFUNCTION("""COMPUTED_VALUE"""),"Anna West")</f>
        <v>Anna West</v>
      </c>
      <c r="H3661" s="24">
        <f>IFERROR(__xludf.DUMMYFUNCTION("""COMPUTED_VALUE"""),12.0)</f>
        <v>12</v>
      </c>
      <c r="I3661" s="24" t="str">
        <f>IFERROR(__xludf.DUMMYFUNCTION("""COMPUTED_VALUE"""),"Damage/expired/extra")</f>
        <v>Damage/expired/extra</v>
      </c>
    </row>
    <row r="3662">
      <c r="A3662" s="23">
        <f>IFERROR(__xludf.DUMMYFUNCTION("""COMPUTED_VALUE"""),44855.0)</f>
        <v>44855</v>
      </c>
      <c r="B3662" s="24" t="str">
        <f>IFERROR(__xludf.DUMMYFUNCTION("""COMPUTED_VALUE"""),"Theresa Columbus")</f>
        <v>Theresa Columbus</v>
      </c>
      <c r="C3662" s="24">
        <f>IFERROR(__xludf.DUMMYFUNCTION("""COMPUTED_VALUE"""),8.0)</f>
        <v>8</v>
      </c>
      <c r="D3662" s="24" t="str">
        <f>IFERROR(__xludf.DUMMYFUNCTION("""COMPUTED_VALUE"""),"Damage/expired/extra")</f>
        <v>Damage/expired/extra</v>
      </c>
      <c r="F3662" s="23">
        <f>IFERROR(__xludf.DUMMYFUNCTION("""COMPUTED_VALUE"""),44880.69571677084)</f>
        <v>44880.69572</v>
      </c>
      <c r="G3662" s="24" t="str">
        <f>IFERROR(__xludf.DUMMYFUNCTION("""COMPUTED_VALUE"""),"Kaneesha ")</f>
        <v>Kaneesha </v>
      </c>
      <c r="H3662" s="24">
        <f>IFERROR(__xludf.DUMMYFUNCTION("""COMPUTED_VALUE"""),17.0)</f>
        <v>17</v>
      </c>
      <c r="I3662" s="24" t="str">
        <f>IFERROR(__xludf.DUMMYFUNCTION("""COMPUTED_VALUE"""),"Regular (up to 20lbs)")</f>
        <v>Regular (up to 20lbs)</v>
      </c>
    </row>
    <row r="3663">
      <c r="A3663" s="23">
        <f>IFERROR(__xludf.DUMMYFUNCTION("""COMPUTED_VALUE"""),44855.700169375)</f>
        <v>44855.70017</v>
      </c>
      <c r="B3663" s="24" t="str">
        <f>IFERROR(__xludf.DUMMYFUNCTION("""COMPUTED_VALUE"""),"Sunita pathik")</f>
        <v>Sunita pathik</v>
      </c>
      <c r="C3663" s="24">
        <f>IFERROR(__xludf.DUMMYFUNCTION("""COMPUTED_VALUE"""),2.0)</f>
        <v>2</v>
      </c>
      <c r="D3663" s="24" t="str">
        <f>IFERROR(__xludf.DUMMYFUNCTION("""COMPUTED_VALUE"""),"Regular (up to 20lbs)")</f>
        <v>Regular (up to 20lbs)</v>
      </c>
      <c r="F3663" s="23">
        <f>IFERROR(__xludf.DUMMYFUNCTION("""COMPUTED_VALUE"""),44880.69585087963)</f>
        <v>44880.69585</v>
      </c>
      <c r="G3663" s="24" t="str">
        <f>IFERROR(__xludf.DUMMYFUNCTION("""COMPUTED_VALUE"""),"Kaneesha ")</f>
        <v>Kaneesha </v>
      </c>
      <c r="H3663" s="24">
        <f>IFERROR(__xludf.DUMMYFUNCTION("""COMPUTED_VALUE"""),20.0)</f>
        <v>20</v>
      </c>
      <c r="I3663" s="24" t="str">
        <f>IFERROR(__xludf.DUMMYFUNCTION("""COMPUTED_VALUE"""),"Damage/expired/extra")</f>
        <v>Damage/expired/extra</v>
      </c>
    </row>
    <row r="3664">
      <c r="A3664" s="23">
        <f>IFERROR(__xludf.DUMMYFUNCTION("""COMPUTED_VALUE"""),44855.70162381944)</f>
        <v>44855.70162</v>
      </c>
      <c r="B3664" s="24" t="str">
        <f>IFERROR(__xludf.DUMMYFUNCTION("""COMPUTED_VALUE"""),"Maria Reyes ")</f>
        <v>Maria Reyes </v>
      </c>
      <c r="C3664" s="24">
        <f>IFERROR(__xludf.DUMMYFUNCTION("""COMPUTED_VALUE"""),4.0)</f>
        <v>4</v>
      </c>
      <c r="D3664" s="24" t="str">
        <f>IFERROR(__xludf.DUMMYFUNCTION("""COMPUTED_VALUE"""),"Regular (up to 20lbs)")</f>
        <v>Regular (up to 20lbs)</v>
      </c>
      <c r="F3664" s="23">
        <f>IFERROR(__xludf.DUMMYFUNCTION("""COMPUTED_VALUE"""),44880.6969791088)</f>
        <v>44880.69698</v>
      </c>
      <c r="G3664" s="24" t="str">
        <f>IFERROR(__xludf.DUMMYFUNCTION("""COMPUTED_VALUE"""),"Dorja")</f>
        <v>Dorja</v>
      </c>
      <c r="H3664" s="24">
        <f>IFERROR(__xludf.DUMMYFUNCTION("""COMPUTED_VALUE"""),11.0)</f>
        <v>11</v>
      </c>
      <c r="I3664" s="24" t="str">
        <f>IFERROR(__xludf.DUMMYFUNCTION("""COMPUTED_VALUE"""),"Damage/expired/extra")</f>
        <v>Damage/expired/extra</v>
      </c>
    </row>
    <row r="3665">
      <c r="A3665" s="23">
        <f>IFERROR(__xludf.DUMMYFUNCTION("""COMPUTED_VALUE"""),44855.701694131945)</f>
        <v>44855.70169</v>
      </c>
      <c r="B3665" s="24" t="str">
        <f>IFERROR(__xludf.DUMMYFUNCTION("""COMPUTED_VALUE"""),"Angela Gutierrez")</f>
        <v>Angela Gutierrez</v>
      </c>
      <c r="C3665" s="24">
        <f>IFERROR(__xludf.DUMMYFUNCTION("""COMPUTED_VALUE"""),7.0)</f>
        <v>7</v>
      </c>
      <c r="D3665" s="24" t="str">
        <f>IFERROR(__xludf.DUMMYFUNCTION("""COMPUTED_VALUE"""),"Regular (up to 20lbs)")</f>
        <v>Regular (up to 20lbs)</v>
      </c>
      <c r="F3665" s="23">
        <f>IFERROR(__xludf.DUMMYFUNCTION("""COMPUTED_VALUE"""),44880.697335972225)</f>
        <v>44880.69734</v>
      </c>
      <c r="G3665" s="24" t="str">
        <f>IFERROR(__xludf.DUMMYFUNCTION("""COMPUTED_VALUE"""),"Dorja ")</f>
        <v>Dorja </v>
      </c>
      <c r="H3665" s="24">
        <f>IFERROR(__xludf.DUMMYFUNCTION("""COMPUTED_VALUE"""),18.0)</f>
        <v>18</v>
      </c>
      <c r="I3665" s="24" t="str">
        <f>IFERROR(__xludf.DUMMYFUNCTION("""COMPUTED_VALUE"""),"Regular (up to 20lbs)")</f>
        <v>Regular (up to 20lbs)</v>
      </c>
    </row>
    <row r="3666">
      <c r="A3666" s="23">
        <f>IFERROR(__xludf.DUMMYFUNCTION("""COMPUTED_VALUE"""),44855.701788425926)</f>
        <v>44855.70179</v>
      </c>
      <c r="B3666" s="24" t="str">
        <f>IFERROR(__xludf.DUMMYFUNCTION("""COMPUTED_VALUE"""),"Angela Gutierrez")</f>
        <v>Angela Gutierrez</v>
      </c>
      <c r="C3666" s="24">
        <f>IFERROR(__xludf.DUMMYFUNCTION("""COMPUTED_VALUE"""),2.0)</f>
        <v>2</v>
      </c>
      <c r="D3666" s="24" t="str">
        <f>IFERROR(__xludf.DUMMYFUNCTION("""COMPUTED_VALUE"""),"Damage/expired/extra")</f>
        <v>Damage/expired/extra</v>
      </c>
      <c r="F3666" s="23">
        <f>IFERROR(__xludf.DUMMYFUNCTION("""COMPUTED_VALUE"""),44880.69794368055)</f>
        <v>44880.69794</v>
      </c>
      <c r="G3666" s="24" t="str">
        <f>IFERROR(__xludf.DUMMYFUNCTION("""COMPUTED_VALUE"""),"Beverly Pinn")</f>
        <v>Beverly Pinn</v>
      </c>
      <c r="H3666" s="24">
        <f>IFERROR(__xludf.DUMMYFUNCTION("""COMPUTED_VALUE"""),20.0)</f>
        <v>20</v>
      </c>
      <c r="I3666" s="24" t="str">
        <f>IFERROR(__xludf.DUMMYFUNCTION("""COMPUTED_VALUE"""),"Regular (up to 20lbs)")</f>
        <v>Regular (up to 20lbs)</v>
      </c>
    </row>
    <row r="3667">
      <c r="A3667" s="23">
        <f>IFERROR(__xludf.DUMMYFUNCTION("""COMPUTED_VALUE"""),44855.702288252316)</f>
        <v>44855.70229</v>
      </c>
      <c r="B3667" s="24" t="str">
        <f>IFERROR(__xludf.DUMMYFUNCTION("""COMPUTED_VALUE"""),"Beth Torres")</f>
        <v>Beth Torres</v>
      </c>
      <c r="C3667" s="24">
        <f>IFERROR(__xludf.DUMMYFUNCTION("""COMPUTED_VALUE"""),18.0)</f>
        <v>18</v>
      </c>
      <c r="D3667" s="24" t="str">
        <f>IFERROR(__xludf.DUMMYFUNCTION("""COMPUTED_VALUE"""),"Regular (up to 20lbs)")</f>
        <v>Regular (up to 20lbs)</v>
      </c>
      <c r="F3667" s="23">
        <f>IFERROR(__xludf.DUMMYFUNCTION("""COMPUTED_VALUE"""),44880.69817574074)</f>
        <v>44880.69818</v>
      </c>
      <c r="G3667" s="24" t="str">
        <f>IFERROR(__xludf.DUMMYFUNCTION("""COMPUTED_VALUE"""),"Beverly Pinn")</f>
        <v>Beverly Pinn</v>
      </c>
      <c r="H3667" s="24">
        <f>IFERROR(__xludf.DUMMYFUNCTION("""COMPUTED_VALUE"""),21.0)</f>
        <v>21</v>
      </c>
      <c r="I3667" s="24" t="str">
        <f>IFERROR(__xludf.DUMMYFUNCTION("""COMPUTED_VALUE"""),"Damage/expired/extra")</f>
        <v>Damage/expired/extra</v>
      </c>
    </row>
    <row r="3668">
      <c r="A3668" s="23">
        <f>IFERROR(__xludf.DUMMYFUNCTION("""COMPUTED_VALUE"""),44855.70253769676)</f>
        <v>44855.70254</v>
      </c>
      <c r="B3668" s="24" t="str">
        <f>IFERROR(__xludf.DUMMYFUNCTION("""COMPUTED_VALUE"""),"Beth Torres")</f>
        <v>Beth Torres</v>
      </c>
      <c r="C3668" s="24">
        <f>IFERROR(__xludf.DUMMYFUNCTION("""COMPUTED_VALUE"""),12.0)</f>
        <v>12</v>
      </c>
      <c r="D3668" s="24" t="str">
        <f>IFERROR(__xludf.DUMMYFUNCTION("""COMPUTED_VALUE"""),"Damage/expired/extra")</f>
        <v>Damage/expired/extra</v>
      </c>
      <c r="F3668" s="23">
        <f>IFERROR(__xludf.DUMMYFUNCTION("""COMPUTED_VALUE"""),44880.69868086806)</f>
        <v>44880.69868</v>
      </c>
      <c r="G3668" s="24" t="str">
        <f>IFERROR(__xludf.DUMMYFUNCTION("""COMPUTED_VALUE"""),"Jean")</f>
        <v>Jean</v>
      </c>
      <c r="H3668" s="24">
        <f>IFERROR(__xludf.DUMMYFUNCTION("""COMPUTED_VALUE"""),23.0)</f>
        <v>23</v>
      </c>
      <c r="I3668" s="24" t="str">
        <f>IFERROR(__xludf.DUMMYFUNCTION("""COMPUTED_VALUE"""),"Regular (up to 20lbs)")</f>
        <v>Regular (up to 20lbs)</v>
      </c>
    </row>
    <row r="3669">
      <c r="A3669" s="23">
        <f>IFERROR(__xludf.DUMMYFUNCTION("""COMPUTED_VALUE"""),44855.70748256944)</f>
        <v>44855.70748</v>
      </c>
      <c r="B3669" s="24" t="str">
        <f>IFERROR(__xludf.DUMMYFUNCTION("""COMPUTED_VALUE"""),"Yulia")</f>
        <v>Yulia</v>
      </c>
      <c r="C3669" s="24">
        <f>IFERROR(__xludf.DUMMYFUNCTION("""COMPUTED_VALUE"""),20.0)</f>
        <v>20</v>
      </c>
      <c r="D3669" s="24" t="str">
        <f>IFERROR(__xludf.DUMMYFUNCTION("""COMPUTED_VALUE"""),"Regular (up to 20lbs)")</f>
        <v>Regular (up to 20lbs)</v>
      </c>
      <c r="F3669" s="23">
        <f>IFERROR(__xludf.DUMMYFUNCTION("""COMPUTED_VALUE"""),44880.6990805787)</f>
        <v>44880.69908</v>
      </c>
      <c r="G3669" s="24" t="str">
        <f>IFERROR(__xludf.DUMMYFUNCTION("""COMPUTED_VALUE"""),"Beverly Pinn")</f>
        <v>Beverly Pinn</v>
      </c>
      <c r="H3669" s="24">
        <f>IFERROR(__xludf.DUMMYFUNCTION("""COMPUTED_VALUE"""),578.0)</f>
        <v>578</v>
      </c>
      <c r="I3669" s="24" t="str">
        <f>IFERROR(__xludf.DUMMYFUNCTION("""COMPUTED_VALUE"""),"First Fruits Farm")</f>
        <v>First Fruits Farm</v>
      </c>
    </row>
    <row r="3670">
      <c r="A3670" s="23">
        <f>IFERROR(__xludf.DUMMYFUNCTION("""COMPUTED_VALUE"""),44855.0)</f>
        <v>44855</v>
      </c>
      <c r="B3670" s="24" t="str">
        <f>IFERROR(__xludf.DUMMYFUNCTION("""COMPUTED_VALUE"""),"Yulia")</f>
        <v>Yulia</v>
      </c>
      <c r="C3670" s="24">
        <f>IFERROR(__xludf.DUMMYFUNCTION("""COMPUTED_VALUE"""),9.0)</f>
        <v>9</v>
      </c>
      <c r="D3670" s="24" t="str">
        <f>IFERROR(__xludf.DUMMYFUNCTION("""COMPUTED_VALUE"""),"Damage/expired/extra")</f>
        <v>Damage/expired/extra</v>
      </c>
      <c r="F3670" s="23">
        <f>IFERROR(__xludf.DUMMYFUNCTION("""COMPUTED_VALUE"""),44880.699394131945)</f>
        <v>44880.69939</v>
      </c>
      <c r="G3670" s="24" t="str">
        <f>IFERROR(__xludf.DUMMYFUNCTION("""COMPUTED_VALUE"""),"Jean")</f>
        <v>Jean</v>
      </c>
      <c r="H3670" s="24">
        <f>IFERROR(__xludf.DUMMYFUNCTION("""COMPUTED_VALUE"""),27.0)</f>
        <v>27</v>
      </c>
      <c r="I3670" s="24" t="str">
        <f>IFERROR(__xludf.DUMMYFUNCTION("""COMPUTED_VALUE"""),"Damage/expired/extra")</f>
        <v>Damage/expired/extra</v>
      </c>
    </row>
    <row r="3671">
      <c r="A3671" s="23">
        <f>IFERROR(__xludf.DUMMYFUNCTION("""COMPUTED_VALUE"""),44855.711697060186)</f>
        <v>44855.7117</v>
      </c>
      <c r="B3671" s="24" t="str">
        <f>IFERROR(__xludf.DUMMYFUNCTION("""COMPUTED_VALUE"""),"Juanita Chandler ")</f>
        <v>Juanita Chandler </v>
      </c>
      <c r="C3671" s="24">
        <f>IFERROR(__xludf.DUMMYFUNCTION("""COMPUTED_VALUE"""),6.0)</f>
        <v>6</v>
      </c>
      <c r="D3671" s="24" t="str">
        <f>IFERROR(__xludf.DUMMYFUNCTION("""COMPUTED_VALUE"""),"Regular (up to 20lbs)")</f>
        <v>Regular (up to 20lbs)</v>
      </c>
      <c r="F3671" s="23">
        <f>IFERROR(__xludf.DUMMYFUNCTION("""COMPUTED_VALUE"""),44881.0)</f>
        <v>44881</v>
      </c>
      <c r="G3671" s="24" t="str">
        <f>IFERROR(__xludf.DUMMYFUNCTION("""COMPUTED_VALUE"""),"Juanita Chandler ")</f>
        <v>Juanita Chandler </v>
      </c>
      <c r="H3671" s="24">
        <f>IFERROR(__xludf.DUMMYFUNCTION("""COMPUTED_VALUE"""),18.0)</f>
        <v>18</v>
      </c>
      <c r="I3671" s="24" t="str">
        <f>IFERROR(__xludf.DUMMYFUNCTION("""COMPUTED_VALUE"""),"Regular (up to 20lbs)")</f>
        <v>Regular (up to 20lbs)</v>
      </c>
    </row>
    <row r="3672">
      <c r="A3672" s="23">
        <f>IFERROR(__xludf.DUMMYFUNCTION("""COMPUTED_VALUE"""),44855.71205784722)</f>
        <v>44855.71206</v>
      </c>
      <c r="B3672" s="24" t="str">
        <f>IFERROR(__xludf.DUMMYFUNCTION("""COMPUTED_VALUE"""),"Juanita Chandler ")</f>
        <v>Juanita Chandler </v>
      </c>
      <c r="C3672" s="24">
        <f>IFERROR(__xludf.DUMMYFUNCTION("""COMPUTED_VALUE"""),3.0)</f>
        <v>3</v>
      </c>
      <c r="D3672" s="24" t="str">
        <f>IFERROR(__xludf.DUMMYFUNCTION("""COMPUTED_VALUE"""),"Damage/expired/extra")</f>
        <v>Damage/expired/extra</v>
      </c>
      <c r="F3672" s="23">
        <f>IFERROR(__xludf.DUMMYFUNCTION("""COMPUTED_VALUE"""),44881.0)</f>
        <v>44881</v>
      </c>
      <c r="G3672" s="24" t="str">
        <f>IFERROR(__xludf.DUMMYFUNCTION("""COMPUTED_VALUE"""),"Juanita Chandler ")</f>
        <v>Juanita Chandler </v>
      </c>
      <c r="H3672" s="24">
        <f>IFERROR(__xludf.DUMMYFUNCTION("""COMPUTED_VALUE"""),8.0)</f>
        <v>8</v>
      </c>
      <c r="I3672" s="24" t="str">
        <f>IFERROR(__xludf.DUMMYFUNCTION("""COMPUTED_VALUE"""),"Damage/expired/extra")</f>
        <v>Damage/expired/extra</v>
      </c>
    </row>
    <row r="3673">
      <c r="A3673" s="23">
        <f>IFERROR(__xludf.DUMMYFUNCTION("""COMPUTED_VALUE"""),44856.0)</f>
        <v>44856</v>
      </c>
      <c r="B3673" s="24" t="str">
        <f>IFERROR(__xludf.DUMMYFUNCTION("""COMPUTED_VALUE"""),"Janet Lomax")</f>
        <v>Janet Lomax</v>
      </c>
      <c r="C3673" s="24">
        <f>IFERROR(__xludf.DUMMYFUNCTION("""COMPUTED_VALUE"""),19.0)</f>
        <v>19</v>
      </c>
      <c r="D3673" s="24" t="str">
        <f>IFERROR(__xludf.DUMMYFUNCTION("""COMPUTED_VALUE"""),"Regular (up to 20lbs)")</f>
        <v>Regular (up to 20lbs)</v>
      </c>
      <c r="F3673" s="23">
        <f>IFERROR(__xludf.DUMMYFUNCTION("""COMPUTED_VALUE"""),44881.0)</f>
        <v>44881</v>
      </c>
      <c r="G3673" s="24" t="str">
        <f>IFERROR(__xludf.DUMMYFUNCTION("""COMPUTED_VALUE"""),"Doris Parker Tuggle")</f>
        <v>Doris Parker Tuggle</v>
      </c>
      <c r="H3673" s="24">
        <f>IFERROR(__xludf.DUMMYFUNCTION("""COMPUTED_VALUE"""),20.0)</f>
        <v>20</v>
      </c>
      <c r="I3673" s="24" t="str">
        <f>IFERROR(__xludf.DUMMYFUNCTION("""COMPUTED_VALUE"""),"Regular (up to 20lbs)")</f>
        <v>Regular (up to 20lbs)</v>
      </c>
    </row>
    <row r="3674">
      <c r="A3674" s="23">
        <f>IFERROR(__xludf.DUMMYFUNCTION("""COMPUTED_VALUE"""),44856.0)</f>
        <v>44856</v>
      </c>
      <c r="B3674" s="24" t="str">
        <f>IFERROR(__xludf.DUMMYFUNCTION("""COMPUTED_VALUE"""),"Janet Lomax")</f>
        <v>Janet Lomax</v>
      </c>
      <c r="C3674" s="24">
        <f>IFERROR(__xludf.DUMMYFUNCTION("""COMPUTED_VALUE"""),3.0)</f>
        <v>3</v>
      </c>
      <c r="D3674" s="24" t="str">
        <f>IFERROR(__xludf.DUMMYFUNCTION("""COMPUTED_VALUE"""),"Damage/expired/extra")</f>
        <v>Damage/expired/extra</v>
      </c>
      <c r="F3674" s="23">
        <f>IFERROR(__xludf.DUMMYFUNCTION("""COMPUTED_VALUE"""),44881.0)</f>
        <v>44881</v>
      </c>
      <c r="G3674" s="24" t="str">
        <f>IFERROR(__xludf.DUMMYFUNCTION("""COMPUTED_VALUE"""),"Doris Parker Tuggle")</f>
        <v>Doris Parker Tuggle</v>
      </c>
      <c r="H3674" s="24">
        <f>IFERROR(__xludf.DUMMYFUNCTION("""COMPUTED_VALUE"""),3.0)</f>
        <v>3</v>
      </c>
      <c r="I3674" s="24" t="str">
        <f>IFERROR(__xludf.DUMMYFUNCTION("""COMPUTED_VALUE"""),"Damage/expired/extra")</f>
        <v>Damage/expired/extra</v>
      </c>
    </row>
    <row r="3675">
      <c r="A3675" s="23">
        <f>IFERROR(__xludf.DUMMYFUNCTION("""COMPUTED_VALUE"""),44856.0)</f>
        <v>44856</v>
      </c>
      <c r="B3675" s="24" t="str">
        <f>IFERROR(__xludf.DUMMYFUNCTION("""COMPUTED_VALUE"""),"Lee Little")</f>
        <v>Lee Little</v>
      </c>
      <c r="C3675" s="24">
        <f>IFERROR(__xludf.DUMMYFUNCTION("""COMPUTED_VALUE"""),4.0)</f>
        <v>4</v>
      </c>
      <c r="D3675" s="24" t="str">
        <f>IFERROR(__xludf.DUMMYFUNCTION("""COMPUTED_VALUE"""),"Regular (up to 20lbs)")</f>
        <v>Regular (up to 20lbs)</v>
      </c>
      <c r="F3675" s="23">
        <f>IFERROR(__xludf.DUMMYFUNCTION("""COMPUTED_VALUE"""),44881.689620983794)</f>
        <v>44881.68962</v>
      </c>
      <c r="G3675" s="24" t="str">
        <f>IFERROR(__xludf.DUMMYFUNCTION("""COMPUTED_VALUE"""),"Michelle Collins")</f>
        <v>Michelle Collins</v>
      </c>
      <c r="H3675" s="24">
        <f>IFERROR(__xludf.DUMMYFUNCTION("""COMPUTED_VALUE"""),95.0)</f>
        <v>95</v>
      </c>
      <c r="I3675" s="24" t="str">
        <f>IFERROR(__xludf.DUMMYFUNCTION("""COMPUTED_VALUE"""),"Damage/expired/extra")</f>
        <v>Damage/expired/extra</v>
      </c>
    </row>
    <row r="3676">
      <c r="A3676" s="23">
        <f>IFERROR(__xludf.DUMMYFUNCTION("""COMPUTED_VALUE"""),44856.0)</f>
        <v>44856</v>
      </c>
      <c r="B3676" s="24" t="str">
        <f>IFERROR(__xludf.DUMMYFUNCTION("""COMPUTED_VALUE"""),"Natalie Comas")</f>
        <v>Natalie Comas</v>
      </c>
      <c r="C3676" s="24">
        <f>IFERROR(__xludf.DUMMYFUNCTION("""COMPUTED_VALUE"""),20.0)</f>
        <v>20</v>
      </c>
      <c r="D3676" s="24" t="str">
        <f>IFERROR(__xludf.DUMMYFUNCTION("""COMPUTED_VALUE"""),"Regular (up to 20lbs)")</f>
        <v>Regular (up to 20lbs)</v>
      </c>
      <c r="F3676" s="23">
        <f>IFERROR(__xludf.DUMMYFUNCTION("""COMPUTED_VALUE"""),44881.700121041664)</f>
        <v>44881.70012</v>
      </c>
      <c r="G3676" s="24" t="str">
        <f>IFERROR(__xludf.DUMMYFUNCTION("""COMPUTED_VALUE"""),"Karen")</f>
        <v>Karen</v>
      </c>
      <c r="H3676" s="24">
        <f>IFERROR(__xludf.DUMMYFUNCTION("""COMPUTED_VALUE"""),19.0)</f>
        <v>19</v>
      </c>
      <c r="I3676" s="24" t="str">
        <f>IFERROR(__xludf.DUMMYFUNCTION("""COMPUTED_VALUE"""),"Regular (up to 20lbs)")</f>
        <v>Regular (up to 20lbs)</v>
      </c>
    </row>
    <row r="3677">
      <c r="A3677" s="23">
        <f>IFERROR(__xludf.DUMMYFUNCTION("""COMPUTED_VALUE"""),44856.0)</f>
        <v>44856</v>
      </c>
      <c r="B3677" s="24" t="str">
        <f>IFERROR(__xludf.DUMMYFUNCTION("""COMPUTED_VALUE"""),"Natalie Comas")</f>
        <v>Natalie Comas</v>
      </c>
      <c r="C3677" s="24">
        <f>IFERROR(__xludf.DUMMYFUNCTION("""COMPUTED_VALUE"""),3.0)</f>
        <v>3</v>
      </c>
      <c r="D3677" s="24" t="str">
        <f>IFERROR(__xludf.DUMMYFUNCTION("""COMPUTED_VALUE"""),"Damage/expired/extra")</f>
        <v>Damage/expired/extra</v>
      </c>
      <c r="F3677" s="23">
        <f>IFERROR(__xludf.DUMMYFUNCTION("""COMPUTED_VALUE"""),44881.70080734954)</f>
        <v>44881.70081</v>
      </c>
      <c r="G3677" s="24" t="str">
        <f>IFERROR(__xludf.DUMMYFUNCTION("""COMPUTED_VALUE"""),"Karen")</f>
        <v>Karen</v>
      </c>
      <c r="H3677" s="24">
        <f>IFERROR(__xludf.DUMMYFUNCTION("""COMPUTED_VALUE"""),6.0)</f>
        <v>6</v>
      </c>
      <c r="I3677" s="24" t="str">
        <f>IFERROR(__xludf.DUMMYFUNCTION("""COMPUTED_VALUE"""),"Damage/expired/extra")</f>
        <v>Damage/expired/extra</v>
      </c>
    </row>
    <row r="3678">
      <c r="A3678" s="23">
        <f>IFERROR(__xludf.DUMMYFUNCTION("""COMPUTED_VALUE"""),44856.0)</f>
        <v>44856</v>
      </c>
      <c r="B3678" s="24" t="str">
        <f>IFERROR(__xludf.DUMMYFUNCTION("""COMPUTED_VALUE"""),"Juanita")</f>
        <v>Juanita</v>
      </c>
      <c r="C3678" s="24">
        <f>IFERROR(__xludf.DUMMYFUNCTION("""COMPUTED_VALUE"""),9.0)</f>
        <v>9</v>
      </c>
      <c r="D3678" s="24" t="str">
        <f>IFERROR(__xludf.DUMMYFUNCTION("""COMPUTED_VALUE"""),"Regular (up to 20lbs)")</f>
        <v>Regular (up to 20lbs)</v>
      </c>
      <c r="F3678" s="23">
        <f>IFERROR(__xludf.DUMMYFUNCTION("""COMPUTED_VALUE"""),44881.77721917824)</f>
        <v>44881.77722</v>
      </c>
      <c r="G3678" s="24" t="str">
        <f>IFERROR(__xludf.DUMMYFUNCTION("""COMPUTED_VALUE"""),"Lynnette ")</f>
        <v>Lynnette </v>
      </c>
      <c r="H3678" s="24">
        <f>IFERROR(__xludf.DUMMYFUNCTION("""COMPUTED_VALUE"""),21.0)</f>
        <v>21</v>
      </c>
      <c r="I3678" s="24" t="str">
        <f>IFERROR(__xludf.DUMMYFUNCTION("""COMPUTED_VALUE"""),"Damage/expired/extra")</f>
        <v>Damage/expired/extra</v>
      </c>
    </row>
    <row r="3679">
      <c r="A3679" s="23">
        <f>IFERROR(__xludf.DUMMYFUNCTION("""COMPUTED_VALUE"""),44856.0)</f>
        <v>44856</v>
      </c>
      <c r="B3679" s="24" t="str">
        <f>IFERROR(__xludf.DUMMYFUNCTION("""COMPUTED_VALUE"""),"Cheryl Utsey")</f>
        <v>Cheryl Utsey</v>
      </c>
      <c r="C3679" s="24">
        <f>IFERROR(__xludf.DUMMYFUNCTION("""COMPUTED_VALUE"""),19.0)</f>
        <v>19</v>
      </c>
      <c r="D3679" s="24" t="str">
        <f>IFERROR(__xludf.DUMMYFUNCTION("""COMPUTED_VALUE"""),"Regular (up to 20lbs)")</f>
        <v>Regular (up to 20lbs)</v>
      </c>
      <c r="F3679" s="23">
        <f>IFERROR(__xludf.DUMMYFUNCTION("""COMPUTED_VALUE"""),44881.79287081018)</f>
        <v>44881.79287</v>
      </c>
      <c r="G3679" s="24" t="str">
        <f>IFERROR(__xludf.DUMMYFUNCTION("""COMPUTED_VALUE"""),"Claire")</f>
        <v>Claire</v>
      </c>
      <c r="H3679" s="24">
        <f>IFERROR(__xludf.DUMMYFUNCTION("""COMPUTED_VALUE"""),300.0)</f>
        <v>300</v>
      </c>
      <c r="I3679" s="24" t="str">
        <f>IFERROR(__xludf.DUMMYFUNCTION("""COMPUTED_VALUE"""),"Fruit cups")</f>
        <v>Fruit cups</v>
      </c>
    </row>
    <row r="3680">
      <c r="A3680" s="23">
        <f>IFERROR(__xludf.DUMMYFUNCTION("""COMPUTED_VALUE"""),44856.0)</f>
        <v>44856</v>
      </c>
      <c r="B3680" s="24" t="str">
        <f>IFERROR(__xludf.DUMMYFUNCTION("""COMPUTED_VALUE"""),"Cheryl Utsey")</f>
        <v>Cheryl Utsey</v>
      </c>
      <c r="C3680" s="24">
        <f>IFERROR(__xludf.DUMMYFUNCTION("""COMPUTED_VALUE"""),4.0)</f>
        <v>4</v>
      </c>
      <c r="D3680" s="24" t="str">
        <f>IFERROR(__xludf.DUMMYFUNCTION("""COMPUTED_VALUE"""),"Damage/expired/extra")</f>
        <v>Damage/expired/extra</v>
      </c>
      <c r="F3680" s="23">
        <f>IFERROR(__xludf.DUMMYFUNCTION("""COMPUTED_VALUE"""),44881.793198437495)</f>
        <v>44881.7932</v>
      </c>
      <c r="G3680" s="24" t="str">
        <f>IFERROR(__xludf.DUMMYFUNCTION("""COMPUTED_VALUE"""),"Claire")</f>
        <v>Claire</v>
      </c>
      <c r="H3680" s="24">
        <f>IFERROR(__xludf.DUMMYFUNCTION("""COMPUTED_VALUE"""),476.0)</f>
        <v>476</v>
      </c>
      <c r="I3680" s="24" t="str">
        <f>IFERROR(__xludf.DUMMYFUNCTION("""COMPUTED_VALUE"""),"Fruit cups")</f>
        <v>Fruit cups</v>
      </c>
    </row>
    <row r="3681">
      <c r="A3681" s="23">
        <f>IFERROR(__xludf.DUMMYFUNCTION("""COMPUTED_VALUE"""),44856.0)</f>
        <v>44856</v>
      </c>
      <c r="B3681" s="24" t="str">
        <f>IFERROR(__xludf.DUMMYFUNCTION("""COMPUTED_VALUE"""),"Gilda Castillo")</f>
        <v>Gilda Castillo</v>
      </c>
      <c r="C3681" s="24">
        <f>IFERROR(__xludf.DUMMYFUNCTION("""COMPUTED_VALUE"""),19.0)</f>
        <v>19</v>
      </c>
      <c r="D3681" s="24" t="str">
        <f>IFERROR(__xludf.DUMMYFUNCTION("""COMPUTED_VALUE"""),"Regular (up to 20lbs)")</f>
        <v>Regular (up to 20lbs)</v>
      </c>
      <c r="F3681" s="23">
        <f>IFERROR(__xludf.DUMMYFUNCTION("""COMPUTED_VALUE"""),44881.793530254625)</f>
        <v>44881.79353</v>
      </c>
      <c r="G3681" s="24" t="str">
        <f>IFERROR(__xludf.DUMMYFUNCTION("""COMPUTED_VALUE"""),"Claire")</f>
        <v>Claire</v>
      </c>
      <c r="H3681" s="24">
        <f>IFERROR(__xludf.DUMMYFUNCTION("""COMPUTED_VALUE"""),50.0)</f>
        <v>50</v>
      </c>
      <c r="I3681" s="24" t="str">
        <f>IFERROR(__xludf.DUMMYFUNCTION("""COMPUTED_VALUE"""),"Fruit cups")</f>
        <v>Fruit cups</v>
      </c>
    </row>
    <row r="3682">
      <c r="A3682" s="23">
        <f>IFERROR(__xludf.DUMMYFUNCTION("""COMPUTED_VALUE"""),44856.0)</f>
        <v>44856</v>
      </c>
      <c r="B3682" s="24" t="str">
        <f>IFERROR(__xludf.DUMMYFUNCTION("""COMPUTED_VALUE"""),"Angeles Cortes")</f>
        <v>Angeles Cortes</v>
      </c>
      <c r="C3682" s="24">
        <f>IFERROR(__xludf.DUMMYFUNCTION("""COMPUTED_VALUE"""),18.0)</f>
        <v>18</v>
      </c>
      <c r="D3682" s="24" t="str">
        <f>IFERROR(__xludf.DUMMYFUNCTION("""COMPUTED_VALUE"""),"Regular (up to 20lbs)")</f>
        <v>Regular (up to 20lbs)</v>
      </c>
      <c r="F3682" s="23">
        <f>IFERROR(__xludf.DUMMYFUNCTION("""COMPUTED_VALUE"""),44881.79374361111)</f>
        <v>44881.79374</v>
      </c>
      <c r="G3682" s="24" t="str">
        <f>IFERROR(__xludf.DUMMYFUNCTION("""COMPUTED_VALUE"""),"Claire")</f>
        <v>Claire</v>
      </c>
      <c r="H3682" s="24">
        <f>IFERROR(__xludf.DUMMYFUNCTION("""COMPUTED_VALUE"""),70.0)</f>
        <v>70</v>
      </c>
      <c r="I3682" s="24" t="str">
        <f>IFERROR(__xludf.DUMMYFUNCTION("""COMPUTED_VALUE"""),"Fruit cups")</f>
        <v>Fruit cups</v>
      </c>
    </row>
    <row r="3683">
      <c r="A3683" s="23">
        <f>IFERROR(__xludf.DUMMYFUNCTION("""COMPUTED_VALUE"""),44856.0)</f>
        <v>44856</v>
      </c>
      <c r="B3683" s="24" t="str">
        <f>IFERROR(__xludf.DUMMYFUNCTION("""COMPUTED_VALUE"""),"Angeles Cortes")</f>
        <v>Angeles Cortes</v>
      </c>
      <c r="C3683" s="24">
        <f>IFERROR(__xludf.DUMMYFUNCTION("""COMPUTED_VALUE"""),2.0)</f>
        <v>2</v>
      </c>
      <c r="D3683" s="24" t="str">
        <f>IFERROR(__xludf.DUMMYFUNCTION("""COMPUTED_VALUE"""),"Damage/expired/extra")</f>
        <v>Damage/expired/extra</v>
      </c>
      <c r="F3683" s="23">
        <f>IFERROR(__xludf.DUMMYFUNCTION("""COMPUTED_VALUE"""),44881.82594476853)</f>
        <v>44881.82594</v>
      </c>
      <c r="G3683" s="24" t="str">
        <f>IFERROR(__xludf.DUMMYFUNCTION("""COMPUTED_VALUE"""),"Nishikar Paruchuri ")</f>
        <v>Nishikar Paruchuri </v>
      </c>
      <c r="H3683" s="24">
        <f>IFERROR(__xludf.DUMMYFUNCTION("""COMPUTED_VALUE"""),5.0)</f>
        <v>5</v>
      </c>
      <c r="I3683" s="24" t="str">
        <f>IFERROR(__xludf.DUMMYFUNCTION("""COMPUTED_VALUE"""),"Regular (up to 20lbs)")</f>
        <v>Regular (up to 20lbs)</v>
      </c>
    </row>
    <row r="3684">
      <c r="A3684" s="23">
        <f>IFERROR(__xludf.DUMMYFUNCTION("""COMPUTED_VALUE"""),44856.50922537036)</f>
        <v>44856.50923</v>
      </c>
      <c r="B3684" s="24" t="str">
        <f>IFERROR(__xludf.DUMMYFUNCTION("""COMPUTED_VALUE"""),"Ryan Murphy")</f>
        <v>Ryan Murphy</v>
      </c>
      <c r="C3684" s="24">
        <f>IFERROR(__xludf.DUMMYFUNCTION("""COMPUTED_VALUE"""),25.0)</f>
        <v>25</v>
      </c>
      <c r="D3684" s="24" t="str">
        <f>IFERROR(__xludf.DUMMYFUNCTION("""COMPUTED_VALUE"""),"Regular (up to 20lbs)")</f>
        <v>Regular (up to 20lbs)</v>
      </c>
      <c r="F3684" s="23">
        <f>IFERROR(__xludf.DUMMYFUNCTION("""COMPUTED_VALUE"""),44881.82746583333)</f>
        <v>44881.82747</v>
      </c>
      <c r="G3684" s="24" t="str">
        <f>IFERROR(__xludf.DUMMYFUNCTION("""COMPUTED_VALUE"""),"Connor Gephart")</f>
        <v>Connor Gephart</v>
      </c>
      <c r="H3684" s="24">
        <f>IFERROR(__xludf.DUMMYFUNCTION("""COMPUTED_VALUE"""),6.0)</f>
        <v>6</v>
      </c>
      <c r="I3684" s="24" t="str">
        <f>IFERROR(__xludf.DUMMYFUNCTION("""COMPUTED_VALUE"""),"Regular (up to 20lbs)")</f>
        <v>Regular (up to 20lbs)</v>
      </c>
    </row>
    <row r="3685">
      <c r="A3685" s="23">
        <f>IFERROR(__xludf.DUMMYFUNCTION("""COMPUTED_VALUE"""),44856.70237752315)</f>
        <v>44856.70238</v>
      </c>
      <c r="B3685" s="24" t="str">
        <f>IFERROR(__xludf.DUMMYFUNCTION("""COMPUTED_VALUE"""),"Ashley")</f>
        <v>Ashley</v>
      </c>
      <c r="C3685" s="24">
        <f>IFERROR(__xludf.DUMMYFUNCTION("""COMPUTED_VALUE"""),2.0)</f>
        <v>2</v>
      </c>
      <c r="D3685" s="24" t="str">
        <f>IFERROR(__xludf.DUMMYFUNCTION("""COMPUTED_VALUE"""),"Regular (up to 20lbs)")</f>
        <v>Regular (up to 20lbs)</v>
      </c>
      <c r="F3685" s="23">
        <f>IFERROR(__xludf.DUMMYFUNCTION("""COMPUTED_VALUE"""),44881.82858061342)</f>
        <v>44881.82858</v>
      </c>
      <c r="G3685" s="24" t="str">
        <f>IFERROR(__xludf.DUMMYFUNCTION("""COMPUTED_VALUE"""),"Maddie Pardes")</f>
        <v>Maddie Pardes</v>
      </c>
      <c r="H3685" s="24">
        <f>IFERROR(__xludf.DUMMYFUNCTION("""COMPUTED_VALUE"""),11.0)</f>
        <v>11</v>
      </c>
      <c r="I3685" s="24" t="str">
        <f>IFERROR(__xludf.DUMMYFUNCTION("""COMPUTED_VALUE"""),"Regular (up to 20lbs)")</f>
        <v>Regular (up to 20lbs)</v>
      </c>
    </row>
    <row r="3686">
      <c r="A3686" s="23">
        <f>IFERROR(__xludf.DUMMYFUNCTION("""COMPUTED_VALUE"""),44856.70483253472)</f>
        <v>44856.70483</v>
      </c>
      <c r="B3686" s="24" t="str">
        <f>IFERROR(__xludf.DUMMYFUNCTION("""COMPUTED_VALUE"""),"Janiyah Blake ")</f>
        <v>Janiyah Blake </v>
      </c>
      <c r="C3686" s="24">
        <f>IFERROR(__xludf.DUMMYFUNCTION("""COMPUTED_VALUE"""),6.0)</f>
        <v>6</v>
      </c>
      <c r="D3686" s="24" t="str">
        <f>IFERROR(__xludf.DUMMYFUNCTION("""COMPUTED_VALUE"""),"Regular (up to 20lbs)")</f>
        <v>Regular (up to 20lbs)</v>
      </c>
      <c r="F3686" s="23">
        <f>IFERROR(__xludf.DUMMYFUNCTION("""COMPUTED_VALUE"""),44881.829681724535)</f>
        <v>44881.82968</v>
      </c>
      <c r="G3686" s="24" t="str">
        <f>IFERROR(__xludf.DUMMYFUNCTION("""COMPUTED_VALUE"""),"Ellen Cho")</f>
        <v>Ellen Cho</v>
      </c>
      <c r="H3686" s="24">
        <f>IFERROR(__xludf.DUMMYFUNCTION("""COMPUTED_VALUE"""),8.0)</f>
        <v>8</v>
      </c>
      <c r="I3686" s="24" t="str">
        <f>IFERROR(__xludf.DUMMYFUNCTION("""COMPUTED_VALUE"""),"Regular (up to 20lbs)")</f>
        <v>Regular (up to 20lbs)</v>
      </c>
    </row>
    <row r="3687">
      <c r="A3687" s="23">
        <f>IFERROR(__xludf.DUMMYFUNCTION("""COMPUTED_VALUE"""),44856.70677266204)</f>
        <v>44856.70677</v>
      </c>
      <c r="B3687" s="24" t="str">
        <f>IFERROR(__xludf.DUMMYFUNCTION("""COMPUTED_VALUE"""),"Tashai Houston")</f>
        <v>Tashai Houston</v>
      </c>
      <c r="C3687" s="24">
        <f>IFERROR(__xludf.DUMMYFUNCTION("""COMPUTED_VALUE"""),8.0)</f>
        <v>8</v>
      </c>
      <c r="D3687" s="24" t="str">
        <f>IFERROR(__xludf.DUMMYFUNCTION("""COMPUTED_VALUE"""),"Regular (up to 20lbs)")</f>
        <v>Regular (up to 20lbs)</v>
      </c>
      <c r="F3687" s="23">
        <f>IFERROR(__xludf.DUMMYFUNCTION("""COMPUTED_VALUE"""),44881.82981365741)</f>
        <v>44881.82981</v>
      </c>
      <c r="G3687" s="24" t="str">
        <f>IFERROR(__xludf.DUMMYFUNCTION("""COMPUTED_VALUE"""),"Emily Zhang ")</f>
        <v>Emily Zhang </v>
      </c>
      <c r="H3687" s="24">
        <f>IFERROR(__xludf.DUMMYFUNCTION("""COMPUTED_VALUE"""),13.0)</f>
        <v>13</v>
      </c>
      <c r="I3687" s="24" t="str">
        <f>IFERROR(__xludf.DUMMYFUNCTION("""COMPUTED_VALUE"""),"Regular (up to 20lbs)")</f>
        <v>Regular (up to 20lbs)</v>
      </c>
    </row>
    <row r="3688">
      <c r="A3688" s="23">
        <f>IFERROR(__xludf.DUMMYFUNCTION("""COMPUTED_VALUE"""),44856.70699597222)</f>
        <v>44856.707</v>
      </c>
      <c r="B3688" s="24" t="str">
        <f>IFERROR(__xludf.DUMMYFUNCTION("""COMPUTED_VALUE"""),"Tashai Houston")</f>
        <v>Tashai Houston</v>
      </c>
      <c r="C3688" s="24">
        <f>IFERROR(__xludf.DUMMYFUNCTION("""COMPUTED_VALUE"""),1.0)</f>
        <v>1</v>
      </c>
      <c r="D3688" s="24" t="str">
        <f>IFERROR(__xludf.DUMMYFUNCTION("""COMPUTED_VALUE"""),"Damage/expired/extra")</f>
        <v>Damage/expired/extra</v>
      </c>
      <c r="F3688" s="23">
        <f>IFERROR(__xludf.DUMMYFUNCTION("""COMPUTED_VALUE"""),44881.83117844907)</f>
        <v>44881.83118</v>
      </c>
      <c r="G3688" s="24" t="str">
        <f>IFERROR(__xludf.DUMMYFUNCTION("""COMPUTED_VALUE"""),"Luke mayhew ")</f>
        <v>Luke mayhew </v>
      </c>
      <c r="H3688" s="24">
        <f>IFERROR(__xludf.DUMMYFUNCTION("""COMPUTED_VALUE"""),19.0)</f>
        <v>19</v>
      </c>
      <c r="I3688" s="24" t="str">
        <f>IFERROR(__xludf.DUMMYFUNCTION("""COMPUTED_VALUE"""),"Regular (up to 20lbs)")</f>
        <v>Regular (up to 20lbs)</v>
      </c>
    </row>
    <row r="3689">
      <c r="A3689" s="23">
        <f>IFERROR(__xludf.DUMMYFUNCTION("""COMPUTED_VALUE"""),44856.707160555554)</f>
        <v>44856.70716</v>
      </c>
      <c r="B3689" s="24" t="str">
        <f>IFERROR(__xludf.DUMMYFUNCTION("""COMPUTED_VALUE"""),"Amore Johnson")</f>
        <v>Amore Johnson</v>
      </c>
      <c r="C3689" s="24">
        <f>IFERROR(__xludf.DUMMYFUNCTION("""COMPUTED_VALUE"""),15.0)</f>
        <v>15</v>
      </c>
      <c r="D3689" s="24" t="str">
        <f>IFERROR(__xludf.DUMMYFUNCTION("""COMPUTED_VALUE"""),"Regular (up to 20lbs)")</f>
        <v>Regular (up to 20lbs)</v>
      </c>
      <c r="F3689" s="23">
        <f>IFERROR(__xludf.DUMMYFUNCTION("""COMPUTED_VALUE"""),44881.83130969907)</f>
        <v>44881.83131</v>
      </c>
      <c r="G3689" s="24" t="str">
        <f>IFERROR(__xludf.DUMMYFUNCTION("""COMPUTED_VALUE"""),"Luke mayhew")</f>
        <v>Luke mayhew</v>
      </c>
      <c r="H3689" s="24">
        <f>IFERROR(__xludf.DUMMYFUNCTION("""COMPUTED_VALUE"""),6.0)</f>
        <v>6</v>
      </c>
      <c r="I3689" s="24" t="str">
        <f>IFERROR(__xludf.DUMMYFUNCTION("""COMPUTED_VALUE"""),"Damage/expired/extra")</f>
        <v>Damage/expired/extra</v>
      </c>
    </row>
    <row r="3690">
      <c r="A3690" s="23">
        <f>IFERROR(__xludf.DUMMYFUNCTION("""COMPUTED_VALUE"""),44856.7097566088)</f>
        <v>44856.70976</v>
      </c>
      <c r="B3690" s="24" t="str">
        <f>IFERROR(__xludf.DUMMYFUNCTION("""COMPUTED_VALUE"""),"Nailah Bishop ")</f>
        <v>Nailah Bishop </v>
      </c>
      <c r="C3690" s="24">
        <f>IFERROR(__xludf.DUMMYFUNCTION("""COMPUTED_VALUE"""),4.0)</f>
        <v>4</v>
      </c>
      <c r="D3690" s="24" t="str">
        <f>IFERROR(__xludf.DUMMYFUNCTION("""COMPUTED_VALUE"""),"Regular (up to 20lbs)")</f>
        <v>Regular (up to 20lbs)</v>
      </c>
      <c r="F3690" s="23">
        <f>IFERROR(__xludf.DUMMYFUNCTION("""COMPUTED_VALUE"""),44882.0)</f>
        <v>44882</v>
      </c>
      <c r="G3690" s="24" t="str">
        <f>IFERROR(__xludf.DUMMYFUNCTION("""COMPUTED_VALUE"""),"Claire")</f>
        <v>Claire</v>
      </c>
      <c r="H3690" s="24">
        <f>IFERROR(__xludf.DUMMYFUNCTION("""COMPUTED_VALUE"""),205.0)</f>
        <v>205</v>
      </c>
      <c r="I3690" s="24" t="str">
        <f>IFERROR(__xludf.DUMMYFUNCTION("""COMPUTED_VALUE"""),"Fruit cups")</f>
        <v>Fruit cups</v>
      </c>
    </row>
    <row r="3691">
      <c r="A3691" s="23">
        <f>IFERROR(__xludf.DUMMYFUNCTION("""COMPUTED_VALUE"""),44856.71135802083)</f>
        <v>44856.71136</v>
      </c>
      <c r="B3691" s="24" t="str">
        <f>IFERROR(__xludf.DUMMYFUNCTION("""COMPUTED_VALUE"""),"Brielle Redd")</f>
        <v>Brielle Redd</v>
      </c>
      <c r="C3691" s="24">
        <f>IFERROR(__xludf.DUMMYFUNCTION("""COMPUTED_VALUE"""),10.0)</f>
        <v>10</v>
      </c>
      <c r="D3691" s="24" t="str">
        <f>IFERROR(__xludf.DUMMYFUNCTION("""COMPUTED_VALUE"""),"Regular (up to 20lbs)")</f>
        <v>Regular (up to 20lbs)</v>
      </c>
      <c r="F3691" s="23">
        <f>IFERROR(__xludf.DUMMYFUNCTION("""COMPUTED_VALUE"""),44882.0)</f>
        <v>44882</v>
      </c>
      <c r="G3691" s="24" t="str">
        <f>IFERROR(__xludf.DUMMYFUNCTION("""COMPUTED_VALUE"""),"Claire")</f>
        <v>Claire</v>
      </c>
      <c r="H3691" s="24">
        <f>IFERROR(__xludf.DUMMYFUNCTION("""COMPUTED_VALUE"""),144.0)</f>
        <v>144</v>
      </c>
      <c r="I3691" s="24" t="str">
        <f>IFERROR(__xludf.DUMMYFUNCTION("""COMPUTED_VALUE"""),"Frozen [Not Meat]")</f>
        <v>Frozen [Not Meat]</v>
      </c>
    </row>
    <row r="3692">
      <c r="A3692" s="23">
        <f>IFERROR(__xludf.DUMMYFUNCTION("""COMPUTED_VALUE"""),44856.71717403935)</f>
        <v>44856.71717</v>
      </c>
      <c r="B3692" s="24" t="str">
        <f>IFERROR(__xludf.DUMMYFUNCTION("""COMPUTED_VALUE"""),"Dean Chien")</f>
        <v>Dean Chien</v>
      </c>
      <c r="C3692" s="24">
        <f>IFERROR(__xludf.DUMMYFUNCTION("""COMPUTED_VALUE"""),20.0)</f>
        <v>20</v>
      </c>
      <c r="D3692" s="24" t="str">
        <f>IFERROR(__xludf.DUMMYFUNCTION("""COMPUTED_VALUE"""),"Regular (up to 20lbs)")</f>
        <v>Regular (up to 20lbs)</v>
      </c>
      <c r="F3692" s="23">
        <f>IFERROR(__xludf.DUMMYFUNCTION("""COMPUTED_VALUE"""),44882.0)</f>
        <v>44882</v>
      </c>
      <c r="G3692" s="24" t="str">
        <f>IFERROR(__xludf.DUMMYFUNCTION("""COMPUTED_VALUE"""),"Claire")</f>
        <v>Claire</v>
      </c>
      <c r="H3692" s="24">
        <f>IFERROR(__xludf.DUMMYFUNCTION("""COMPUTED_VALUE"""),72.0)</f>
        <v>72</v>
      </c>
      <c r="I3692" s="24" t="str">
        <f>IFERROR(__xludf.DUMMYFUNCTION("""COMPUTED_VALUE"""),"Dairy")</f>
        <v>Dairy</v>
      </c>
    </row>
    <row r="3693">
      <c r="A3693" s="23">
        <f>IFERROR(__xludf.DUMMYFUNCTION("""COMPUTED_VALUE"""),44856.71725898148)</f>
        <v>44856.71726</v>
      </c>
      <c r="B3693" s="24" t="str">
        <f>IFERROR(__xludf.DUMMYFUNCTION("""COMPUTED_VALUE"""),"Dean Chien")</f>
        <v>Dean Chien</v>
      </c>
      <c r="C3693" s="24">
        <f>IFERROR(__xludf.DUMMYFUNCTION("""COMPUTED_VALUE"""),3.0)</f>
        <v>3</v>
      </c>
      <c r="D3693" s="24" t="str">
        <f>IFERROR(__xludf.DUMMYFUNCTION("""COMPUTED_VALUE"""),"Damage/expired/extra")</f>
        <v>Damage/expired/extra</v>
      </c>
      <c r="F3693" s="23">
        <f>IFERROR(__xludf.DUMMYFUNCTION("""COMPUTED_VALUE"""),44882.0)</f>
        <v>44882</v>
      </c>
      <c r="G3693" s="24" t="str">
        <f>IFERROR(__xludf.DUMMYFUNCTION("""COMPUTED_VALUE"""),"Jean")</f>
        <v>Jean</v>
      </c>
      <c r="H3693" s="24">
        <f>IFERROR(__xludf.DUMMYFUNCTION("""COMPUTED_VALUE"""),12.0)</f>
        <v>12</v>
      </c>
      <c r="I3693" s="24" t="str">
        <f>IFERROR(__xludf.DUMMYFUNCTION("""COMPUTED_VALUE"""),"Regular (up to 20lbs)")</f>
        <v>Regular (up to 20lbs)</v>
      </c>
    </row>
    <row r="3694">
      <c r="A3694" s="23">
        <f>IFERROR(__xludf.DUMMYFUNCTION("""COMPUTED_VALUE"""),44857.0)</f>
        <v>44857</v>
      </c>
      <c r="B3694" s="24" t="str">
        <f>IFERROR(__xludf.DUMMYFUNCTION("""COMPUTED_VALUE"""),"Denise Rivers")</f>
        <v>Denise Rivers</v>
      </c>
      <c r="C3694" s="24">
        <f>IFERROR(__xludf.DUMMYFUNCTION("""COMPUTED_VALUE"""),20.0)</f>
        <v>20</v>
      </c>
      <c r="D3694" s="24" t="str">
        <f>IFERROR(__xludf.DUMMYFUNCTION("""COMPUTED_VALUE"""),"Regular (up to 20lbs)")</f>
        <v>Regular (up to 20lbs)</v>
      </c>
      <c r="F3694" s="23">
        <f>IFERROR(__xludf.DUMMYFUNCTION("""COMPUTED_VALUE"""),44882.0)</f>
        <v>44882</v>
      </c>
      <c r="G3694" s="24" t="str">
        <f>IFERROR(__xludf.DUMMYFUNCTION("""COMPUTED_VALUE"""),"Norma &amp; friend")</f>
        <v>Norma &amp; friend</v>
      </c>
      <c r="H3694" s="24">
        <f>IFERROR(__xludf.DUMMYFUNCTION("""COMPUTED_VALUE"""),23.0)</f>
        <v>23</v>
      </c>
      <c r="I3694" s="24" t="str">
        <f>IFERROR(__xludf.DUMMYFUNCTION("""COMPUTED_VALUE"""),"Regular (up to 20lbs)")</f>
        <v>Regular (up to 20lbs)</v>
      </c>
    </row>
    <row r="3695">
      <c r="A3695" s="23">
        <f>IFERROR(__xludf.DUMMYFUNCTION("""COMPUTED_VALUE"""),44857.0)</f>
        <v>44857</v>
      </c>
      <c r="B3695" s="24" t="str">
        <f>IFERROR(__xludf.DUMMYFUNCTION("""COMPUTED_VALUE"""),"Denise Rivers")</f>
        <v>Denise Rivers</v>
      </c>
      <c r="C3695" s="24">
        <f>IFERROR(__xludf.DUMMYFUNCTION("""COMPUTED_VALUE"""),15.0)</f>
        <v>15</v>
      </c>
      <c r="D3695" s="24" t="str">
        <f>IFERROR(__xludf.DUMMYFUNCTION("""COMPUTED_VALUE"""),"Damage/expired/extra")</f>
        <v>Damage/expired/extra</v>
      </c>
      <c r="F3695" s="23">
        <f>IFERROR(__xludf.DUMMYFUNCTION("""COMPUTED_VALUE"""),44882.0)</f>
        <v>44882</v>
      </c>
      <c r="G3695" s="24" t="str">
        <f>IFERROR(__xludf.DUMMYFUNCTION("""COMPUTED_VALUE"""),"Barbara Jordan")</f>
        <v>Barbara Jordan</v>
      </c>
      <c r="H3695" s="24">
        <f>IFERROR(__xludf.DUMMYFUNCTION("""COMPUTED_VALUE"""),17.0)</f>
        <v>17</v>
      </c>
      <c r="I3695" s="24" t="str">
        <f>IFERROR(__xludf.DUMMYFUNCTION("""COMPUTED_VALUE"""),"Regular (up to 20lbs)")</f>
        <v>Regular (up to 20lbs)</v>
      </c>
    </row>
    <row r="3696">
      <c r="A3696" s="23">
        <f>IFERROR(__xludf.DUMMYFUNCTION("""COMPUTED_VALUE"""),44857.63083916666)</f>
        <v>44857.63084</v>
      </c>
      <c r="B3696" s="24" t="str">
        <f>IFERROR(__xludf.DUMMYFUNCTION("""COMPUTED_VALUE"""),"Carla")</f>
        <v>Carla</v>
      </c>
      <c r="C3696" s="24">
        <f>IFERROR(__xludf.DUMMYFUNCTION("""COMPUTED_VALUE"""),8.0)</f>
        <v>8</v>
      </c>
      <c r="D3696" s="24" t="str">
        <f>IFERROR(__xludf.DUMMYFUNCTION("""COMPUTED_VALUE"""),"Regular (up to 20lbs)")</f>
        <v>Regular (up to 20lbs)</v>
      </c>
      <c r="F3696" s="23">
        <f>IFERROR(__xludf.DUMMYFUNCTION("""COMPUTED_VALUE"""),44882.0)</f>
        <v>44882</v>
      </c>
      <c r="G3696" s="24" t="str">
        <f>IFERROR(__xludf.DUMMYFUNCTION("""COMPUTED_VALUE"""),"Barbara Jordan")</f>
        <v>Barbara Jordan</v>
      </c>
      <c r="H3696" s="24">
        <f>IFERROR(__xludf.DUMMYFUNCTION("""COMPUTED_VALUE"""),2.0)</f>
        <v>2</v>
      </c>
      <c r="I3696" s="24" t="str">
        <f>IFERROR(__xludf.DUMMYFUNCTION("""COMPUTED_VALUE"""),"Damage/expired/extra")</f>
        <v>Damage/expired/extra</v>
      </c>
    </row>
    <row r="3697">
      <c r="A3697" s="23">
        <f>IFERROR(__xludf.DUMMYFUNCTION("""COMPUTED_VALUE"""),44857.63106356481)</f>
        <v>44857.63106</v>
      </c>
      <c r="B3697" s="24" t="str">
        <f>IFERROR(__xludf.DUMMYFUNCTION("""COMPUTED_VALUE"""),"Carla")</f>
        <v>Carla</v>
      </c>
      <c r="C3697" s="24">
        <f>IFERROR(__xludf.DUMMYFUNCTION("""COMPUTED_VALUE"""),9.0)</f>
        <v>9</v>
      </c>
      <c r="D3697" s="24" t="str">
        <f>IFERROR(__xludf.DUMMYFUNCTION("""COMPUTED_VALUE"""),"Damage/expired/extra")</f>
        <v>Damage/expired/extra</v>
      </c>
      <c r="F3697" s="23">
        <f>IFERROR(__xludf.DUMMYFUNCTION("""COMPUTED_VALUE"""),44882.0)</f>
        <v>44882</v>
      </c>
      <c r="G3697" s="24" t="str">
        <f>IFERROR(__xludf.DUMMYFUNCTION("""COMPUTED_VALUE"""),"Melissa Thomas")</f>
        <v>Melissa Thomas</v>
      </c>
      <c r="H3697" s="24">
        <f>IFERROR(__xludf.DUMMYFUNCTION("""COMPUTED_VALUE"""),19.0)</f>
        <v>19</v>
      </c>
      <c r="I3697" s="24" t="str">
        <f>IFERROR(__xludf.DUMMYFUNCTION("""COMPUTED_VALUE"""),"Regular (up to 20lbs)")</f>
        <v>Regular (up to 20lbs)</v>
      </c>
    </row>
    <row r="3698">
      <c r="A3698" s="23">
        <f>IFERROR(__xludf.DUMMYFUNCTION("""COMPUTED_VALUE"""),44857.654627083335)</f>
        <v>44857.65463</v>
      </c>
      <c r="B3698" s="24" t="str">
        <f>IFERROR(__xludf.DUMMYFUNCTION("""COMPUTED_VALUE"""),"Alex")</f>
        <v>Alex</v>
      </c>
      <c r="C3698" s="24">
        <f>IFERROR(__xludf.DUMMYFUNCTION("""COMPUTED_VALUE"""),20.0)</f>
        <v>20</v>
      </c>
      <c r="D3698" s="24" t="str">
        <f>IFERROR(__xludf.DUMMYFUNCTION("""COMPUTED_VALUE"""),"Regular (up to 20lbs)")</f>
        <v>Regular (up to 20lbs)</v>
      </c>
      <c r="F3698" s="23">
        <f>IFERROR(__xludf.DUMMYFUNCTION("""COMPUTED_VALUE"""),44882.0)</f>
        <v>44882</v>
      </c>
      <c r="G3698" s="24" t="str">
        <f>IFERROR(__xludf.DUMMYFUNCTION("""COMPUTED_VALUE"""),"Melissa Thomas")</f>
        <v>Melissa Thomas</v>
      </c>
      <c r="H3698" s="24">
        <f>IFERROR(__xludf.DUMMYFUNCTION("""COMPUTED_VALUE"""),19.0)</f>
        <v>19</v>
      </c>
      <c r="I3698" s="24" t="str">
        <f>IFERROR(__xludf.DUMMYFUNCTION("""COMPUTED_VALUE"""),"Damage/expired/extra")</f>
        <v>Damage/expired/extra</v>
      </c>
    </row>
    <row r="3699">
      <c r="A3699" s="23">
        <f>IFERROR(__xludf.DUMMYFUNCTION("""COMPUTED_VALUE"""),44857.654895844906)</f>
        <v>44857.6549</v>
      </c>
      <c r="B3699" s="24" t="str">
        <f>IFERROR(__xludf.DUMMYFUNCTION("""COMPUTED_VALUE"""),"Alex")</f>
        <v>Alex</v>
      </c>
      <c r="C3699" s="24">
        <f>IFERROR(__xludf.DUMMYFUNCTION("""COMPUTED_VALUE"""),5.0)</f>
        <v>5</v>
      </c>
      <c r="D3699" s="24" t="str">
        <f>IFERROR(__xludf.DUMMYFUNCTION("""COMPUTED_VALUE"""),"Damage/expired/extra")</f>
        <v>Damage/expired/extra</v>
      </c>
      <c r="F3699" s="23">
        <f>IFERROR(__xludf.DUMMYFUNCTION("""COMPUTED_VALUE"""),44882.0)</f>
        <v>44882</v>
      </c>
      <c r="G3699" s="24" t="str">
        <f>IFERROR(__xludf.DUMMYFUNCTION("""COMPUTED_VALUE"""),"Raquel Bailey")</f>
        <v>Raquel Bailey</v>
      </c>
      <c r="H3699" s="24">
        <f>IFERROR(__xludf.DUMMYFUNCTION("""COMPUTED_VALUE"""),20.0)</f>
        <v>20</v>
      </c>
      <c r="I3699" s="24" t="str">
        <f>IFERROR(__xludf.DUMMYFUNCTION("""COMPUTED_VALUE"""),"Regular (up to 20lbs)")</f>
        <v>Regular (up to 20lbs)</v>
      </c>
    </row>
    <row r="3700">
      <c r="A3700" s="23">
        <f>IFERROR(__xludf.DUMMYFUNCTION("""COMPUTED_VALUE"""),44857.65818116898)</f>
        <v>44857.65818</v>
      </c>
      <c r="B3700" s="24" t="str">
        <f>IFERROR(__xludf.DUMMYFUNCTION("""COMPUTED_VALUE"""),"Lynnette")</f>
        <v>Lynnette</v>
      </c>
      <c r="C3700" s="24">
        <f>IFERROR(__xludf.DUMMYFUNCTION("""COMPUTED_VALUE"""),11.0)</f>
        <v>11</v>
      </c>
      <c r="D3700" s="24" t="str">
        <f>IFERROR(__xludf.DUMMYFUNCTION("""COMPUTED_VALUE"""),"Damage/expired/extra")</f>
        <v>Damage/expired/extra</v>
      </c>
      <c r="F3700" s="23">
        <f>IFERROR(__xludf.DUMMYFUNCTION("""COMPUTED_VALUE"""),44882.0)</f>
        <v>44882</v>
      </c>
      <c r="G3700" s="24" t="str">
        <f>IFERROR(__xludf.DUMMYFUNCTION("""COMPUTED_VALUE"""),"Raquel Bailey")</f>
        <v>Raquel Bailey</v>
      </c>
      <c r="H3700" s="24">
        <f>IFERROR(__xludf.DUMMYFUNCTION("""COMPUTED_VALUE"""),1.0)</f>
        <v>1</v>
      </c>
      <c r="I3700" s="24" t="str">
        <f>IFERROR(__xludf.DUMMYFUNCTION("""COMPUTED_VALUE"""),"Damage/expired/extra")</f>
        <v>Damage/expired/extra</v>
      </c>
    </row>
    <row r="3701">
      <c r="A3701" s="23">
        <f>IFERROR(__xludf.DUMMYFUNCTION("""COMPUTED_VALUE"""),44857.65934384259)</f>
        <v>44857.65934</v>
      </c>
      <c r="B3701" s="24" t="str">
        <f>IFERROR(__xludf.DUMMYFUNCTION("""COMPUTED_VALUE"""),"Kaneesha ")</f>
        <v>Kaneesha </v>
      </c>
      <c r="C3701" s="24">
        <f>IFERROR(__xludf.DUMMYFUNCTION("""COMPUTED_VALUE"""),20.0)</f>
        <v>20</v>
      </c>
      <c r="D3701" s="24" t="str">
        <f>IFERROR(__xludf.DUMMYFUNCTION("""COMPUTED_VALUE"""),"Regular (up to 20lbs)")</f>
        <v>Regular (up to 20lbs)</v>
      </c>
      <c r="F3701" s="23">
        <f>IFERROR(__xludf.DUMMYFUNCTION("""COMPUTED_VALUE"""),44882.0)</f>
        <v>44882</v>
      </c>
      <c r="G3701" s="24" t="str">
        <f>IFERROR(__xludf.DUMMYFUNCTION("""COMPUTED_VALUE"""),"Nathaniel McClean")</f>
        <v>Nathaniel McClean</v>
      </c>
      <c r="H3701" s="24">
        <f>IFERROR(__xludf.DUMMYFUNCTION("""COMPUTED_VALUE"""),13.0)</f>
        <v>13</v>
      </c>
      <c r="I3701" s="24" t="str">
        <f>IFERROR(__xludf.DUMMYFUNCTION("""COMPUTED_VALUE"""),"Regular (up to 20lbs)")</f>
        <v>Regular (up to 20lbs)</v>
      </c>
    </row>
    <row r="3702">
      <c r="A3702" s="23">
        <f>IFERROR(__xludf.DUMMYFUNCTION("""COMPUTED_VALUE"""),44857.659818761575)</f>
        <v>44857.65982</v>
      </c>
      <c r="B3702" s="24" t="str">
        <f>IFERROR(__xludf.DUMMYFUNCTION("""COMPUTED_VALUE"""),"Kaneesha ")</f>
        <v>Kaneesha </v>
      </c>
      <c r="C3702" s="24">
        <f>IFERROR(__xludf.DUMMYFUNCTION("""COMPUTED_VALUE"""),15.0)</f>
        <v>15</v>
      </c>
      <c r="D3702" s="24" t="str">
        <f>IFERROR(__xludf.DUMMYFUNCTION("""COMPUTED_VALUE"""),"Damage/expired/extra")</f>
        <v>Damage/expired/extra</v>
      </c>
      <c r="F3702" s="23">
        <f>IFERROR(__xludf.DUMMYFUNCTION("""COMPUTED_VALUE"""),44882.0)</f>
        <v>44882</v>
      </c>
      <c r="G3702" s="24" t="str">
        <f>IFERROR(__xludf.DUMMYFUNCTION("""COMPUTED_VALUE"""),"Nathaniel McClean")</f>
        <v>Nathaniel McClean</v>
      </c>
      <c r="H3702" s="24">
        <f>IFERROR(__xludf.DUMMYFUNCTION("""COMPUTED_VALUE"""),5.0)</f>
        <v>5</v>
      </c>
      <c r="I3702" s="24" t="str">
        <f>IFERROR(__xludf.DUMMYFUNCTION("""COMPUTED_VALUE"""),"Damage/expired/extra")</f>
        <v>Damage/expired/extra</v>
      </c>
    </row>
    <row r="3703">
      <c r="A3703" s="23">
        <f>IFERROR(__xludf.DUMMYFUNCTION("""COMPUTED_VALUE"""),44857.66227857638)</f>
        <v>44857.66228</v>
      </c>
      <c r="B3703" s="24" t="str">
        <f>IFERROR(__xludf.DUMMYFUNCTION("""COMPUTED_VALUE"""),"James")</f>
        <v>James</v>
      </c>
      <c r="C3703" s="24">
        <f>IFERROR(__xludf.DUMMYFUNCTION("""COMPUTED_VALUE"""),17.0)</f>
        <v>17</v>
      </c>
      <c r="D3703" s="24" t="str">
        <f>IFERROR(__xludf.DUMMYFUNCTION("""COMPUTED_VALUE"""),"Regular (up to 20lbs)")</f>
        <v>Regular (up to 20lbs)</v>
      </c>
      <c r="F3703" s="23">
        <f>IFERROR(__xludf.DUMMYFUNCTION("""COMPUTED_VALUE"""),44882.0)</f>
        <v>44882</v>
      </c>
      <c r="G3703" s="24" t="str">
        <f>IFERROR(__xludf.DUMMYFUNCTION("""COMPUTED_VALUE"""),"Sheniel Black")</f>
        <v>Sheniel Black</v>
      </c>
      <c r="H3703" s="24">
        <f>IFERROR(__xludf.DUMMYFUNCTION("""COMPUTED_VALUE"""),17.0)</f>
        <v>17</v>
      </c>
      <c r="I3703" s="24" t="str">
        <f>IFERROR(__xludf.DUMMYFUNCTION("""COMPUTED_VALUE"""),"Regular (up to 20lbs)")</f>
        <v>Regular (up to 20lbs)</v>
      </c>
    </row>
    <row r="3704">
      <c r="A3704" s="23">
        <f>IFERROR(__xludf.DUMMYFUNCTION("""COMPUTED_VALUE"""),44857.662737280094)</f>
        <v>44857.66274</v>
      </c>
      <c r="B3704" s="24" t="str">
        <f>IFERROR(__xludf.DUMMYFUNCTION("""COMPUTED_VALUE"""),"Lynnette")</f>
        <v>Lynnette</v>
      </c>
      <c r="C3704" s="24">
        <f>IFERROR(__xludf.DUMMYFUNCTION("""COMPUTED_VALUE"""),5.0)</f>
        <v>5</v>
      </c>
      <c r="D3704" s="24" t="str">
        <f>IFERROR(__xludf.DUMMYFUNCTION("""COMPUTED_VALUE"""),"Regular (up to 20lbs)")</f>
        <v>Regular (up to 20lbs)</v>
      </c>
      <c r="F3704" s="23">
        <f>IFERROR(__xludf.DUMMYFUNCTION("""COMPUTED_VALUE"""),44882.0)</f>
        <v>44882</v>
      </c>
      <c r="G3704" s="24" t="str">
        <f>IFERROR(__xludf.DUMMYFUNCTION("""COMPUTED_VALUE"""),"Obi Nwokoro")</f>
        <v>Obi Nwokoro</v>
      </c>
      <c r="H3704" s="24">
        <f>IFERROR(__xludf.DUMMYFUNCTION("""COMPUTED_VALUE"""),1.0)</f>
        <v>1</v>
      </c>
      <c r="I3704" s="24" t="str">
        <f>IFERROR(__xludf.DUMMYFUNCTION("""COMPUTED_VALUE"""),"Damage/expired/extra")</f>
        <v>Damage/expired/extra</v>
      </c>
    </row>
    <row r="3705">
      <c r="A3705" s="23">
        <f>IFERROR(__xludf.DUMMYFUNCTION("""COMPUTED_VALUE"""),44857.664132881946)</f>
        <v>44857.66413</v>
      </c>
      <c r="B3705" s="24" t="str">
        <f>IFERROR(__xludf.DUMMYFUNCTION("""COMPUTED_VALUE"""),"John Henry Williams")</f>
        <v>John Henry Williams</v>
      </c>
      <c r="C3705" s="24">
        <f>IFERROR(__xludf.DUMMYFUNCTION("""COMPUTED_VALUE"""),15.0)</f>
        <v>15</v>
      </c>
      <c r="D3705" s="24" t="str">
        <f>IFERROR(__xludf.DUMMYFUNCTION("""COMPUTED_VALUE"""),"Regular (up to 20lbs)")</f>
        <v>Regular (up to 20lbs)</v>
      </c>
      <c r="F3705" s="23">
        <f>IFERROR(__xludf.DUMMYFUNCTION("""COMPUTED_VALUE"""),44882.0304150463)</f>
        <v>44882.03042</v>
      </c>
      <c r="G3705" s="24" t="str">
        <f>IFERROR(__xludf.DUMMYFUNCTION("""COMPUTED_VALUE"""),"Emily Zhang")</f>
        <v>Emily Zhang</v>
      </c>
      <c r="H3705" s="24">
        <f>IFERROR(__xludf.DUMMYFUNCTION("""COMPUTED_VALUE"""),3.0)</f>
        <v>3</v>
      </c>
      <c r="I3705" s="24" t="str">
        <f>IFERROR(__xludf.DUMMYFUNCTION("""COMPUTED_VALUE"""),"Damage/expired/extra")</f>
        <v>Damage/expired/extra</v>
      </c>
    </row>
    <row r="3706">
      <c r="A3706" s="23">
        <f>IFERROR(__xludf.DUMMYFUNCTION("""COMPUTED_VALUE"""),44859.0)</f>
        <v>44859</v>
      </c>
      <c r="B3706" s="24" t="str">
        <f>IFERROR(__xludf.DUMMYFUNCTION("""COMPUTED_VALUE"""),"Hong Xue")</f>
        <v>Hong Xue</v>
      </c>
      <c r="C3706" s="24">
        <f>IFERROR(__xludf.DUMMYFUNCTION("""COMPUTED_VALUE"""),19.0)</f>
        <v>19</v>
      </c>
      <c r="D3706" s="24" t="str">
        <f>IFERROR(__xludf.DUMMYFUNCTION("""COMPUTED_VALUE"""),"Regular (up to 20lbs)")</f>
        <v>Regular (up to 20lbs)</v>
      </c>
      <c r="F3706" s="23">
        <f>IFERROR(__xludf.DUMMYFUNCTION("""COMPUTED_VALUE"""),44882.65798305556)</f>
        <v>44882.65798</v>
      </c>
      <c r="G3706" s="24" t="str">
        <f>IFERROR(__xludf.DUMMYFUNCTION("""COMPUTED_VALUE"""),"Jean")</f>
        <v>Jean</v>
      </c>
      <c r="H3706" s="24">
        <f>IFERROR(__xludf.DUMMYFUNCTION("""COMPUTED_VALUE"""),240.0)</f>
        <v>240</v>
      </c>
      <c r="I3706" s="24" t="str">
        <f>IFERROR(__xludf.DUMMYFUNCTION("""COMPUTED_VALUE"""),"Dole fruit cups")</f>
        <v>Dole fruit cups</v>
      </c>
    </row>
    <row r="3707">
      <c r="A3707" s="23">
        <f>IFERROR(__xludf.DUMMYFUNCTION("""COMPUTED_VALUE"""),44859.0)</f>
        <v>44859</v>
      </c>
      <c r="B3707" s="24" t="str">
        <f>IFERROR(__xludf.DUMMYFUNCTION("""COMPUTED_VALUE"""),"Hong Xue")</f>
        <v>Hong Xue</v>
      </c>
      <c r="C3707" s="24">
        <f>IFERROR(__xludf.DUMMYFUNCTION("""COMPUTED_VALUE"""),15.0)</f>
        <v>15</v>
      </c>
      <c r="D3707" s="24" t="str">
        <f>IFERROR(__xludf.DUMMYFUNCTION("""COMPUTED_VALUE"""),"Damage/expired/extra")</f>
        <v>Damage/expired/extra</v>
      </c>
      <c r="F3707" s="23">
        <f>IFERROR(__xludf.DUMMYFUNCTION("""COMPUTED_VALUE"""),44882.825176666665)</f>
        <v>44882.82518</v>
      </c>
      <c r="G3707" s="24" t="str">
        <f>IFERROR(__xludf.DUMMYFUNCTION("""COMPUTED_VALUE"""),"Obi Nwokoro")</f>
        <v>Obi Nwokoro</v>
      </c>
      <c r="H3707" s="24">
        <f>IFERROR(__xludf.DUMMYFUNCTION("""COMPUTED_VALUE"""),20.0)</f>
        <v>20</v>
      </c>
      <c r="I3707" s="24" t="str">
        <f>IFERROR(__xludf.DUMMYFUNCTION("""COMPUTED_VALUE"""),"Regular (up to 20lbs)")</f>
        <v>Regular (up to 20lbs)</v>
      </c>
    </row>
    <row r="3708">
      <c r="A3708" s="23">
        <f>IFERROR(__xludf.DUMMYFUNCTION("""COMPUTED_VALUE"""),44859.66201526621)</f>
        <v>44859.66202</v>
      </c>
      <c r="B3708" s="24" t="str">
        <f>IFERROR(__xludf.DUMMYFUNCTION("""COMPUTED_VALUE"""),"Kaneesha ")</f>
        <v>Kaneesha </v>
      </c>
      <c r="C3708" s="24">
        <f>IFERROR(__xludf.DUMMYFUNCTION("""COMPUTED_VALUE"""),20.0)</f>
        <v>20</v>
      </c>
      <c r="D3708" s="24" t="str">
        <f>IFERROR(__xludf.DUMMYFUNCTION("""COMPUTED_VALUE"""),"Regular (up to 20lbs)")</f>
        <v>Regular (up to 20lbs)</v>
      </c>
      <c r="F3708" s="23">
        <f>IFERROR(__xludf.DUMMYFUNCTION("""COMPUTED_VALUE"""),44882.82573298611)</f>
        <v>44882.82573</v>
      </c>
      <c r="G3708" s="24" t="str">
        <f>IFERROR(__xludf.DUMMYFUNCTION("""COMPUTED_VALUE"""),"adeola sulaiman")</f>
        <v>adeola sulaiman</v>
      </c>
      <c r="H3708" s="24">
        <f>IFERROR(__xludf.DUMMYFUNCTION("""COMPUTED_VALUE"""),17.0)</f>
        <v>17</v>
      </c>
      <c r="I3708" s="24" t="str">
        <f>IFERROR(__xludf.DUMMYFUNCTION("""COMPUTED_VALUE"""),"Regular (up to 20lbs)")</f>
        <v>Regular (up to 20lbs)</v>
      </c>
    </row>
    <row r="3709">
      <c r="A3709" s="23">
        <f>IFERROR(__xludf.DUMMYFUNCTION("""COMPUTED_VALUE"""),44859.66232697917)</f>
        <v>44859.66233</v>
      </c>
      <c r="B3709" s="24" t="str">
        <f>IFERROR(__xludf.DUMMYFUNCTION("""COMPUTED_VALUE"""),"Kaneesha ")</f>
        <v>Kaneesha </v>
      </c>
      <c r="C3709" s="24">
        <f>IFERROR(__xludf.DUMMYFUNCTION("""COMPUTED_VALUE"""),5.0)</f>
        <v>5</v>
      </c>
      <c r="D3709" s="24" t="str">
        <f>IFERROR(__xludf.DUMMYFUNCTION("""COMPUTED_VALUE"""),"Damage/expired/extra")</f>
        <v>Damage/expired/extra</v>
      </c>
      <c r="F3709" s="23">
        <f>IFERROR(__xludf.DUMMYFUNCTION("""COMPUTED_VALUE"""),44882.825946898156)</f>
        <v>44882.82595</v>
      </c>
      <c r="G3709" s="24" t="str">
        <f>IFERROR(__xludf.DUMMYFUNCTION("""COMPUTED_VALUE"""),"adeola sulaiman")</f>
        <v>adeola sulaiman</v>
      </c>
      <c r="H3709" s="24">
        <f>IFERROR(__xludf.DUMMYFUNCTION("""COMPUTED_VALUE"""),5.0)</f>
        <v>5</v>
      </c>
      <c r="I3709" s="24" t="str">
        <f>IFERROR(__xludf.DUMMYFUNCTION("""COMPUTED_VALUE"""),"Damage/expired/extra")</f>
        <v>Damage/expired/extra</v>
      </c>
    </row>
    <row r="3710">
      <c r="A3710" s="23">
        <f>IFERROR(__xludf.DUMMYFUNCTION("""COMPUTED_VALUE"""),44859.66320293982)</f>
        <v>44859.6632</v>
      </c>
      <c r="B3710" s="24" t="str">
        <f>IFERROR(__xludf.DUMMYFUNCTION("""COMPUTED_VALUE"""),"Beverly Graham ")</f>
        <v>Beverly Graham </v>
      </c>
      <c r="C3710" s="24">
        <f>IFERROR(__xludf.DUMMYFUNCTION("""COMPUTED_VALUE"""),14.0)</f>
        <v>14</v>
      </c>
      <c r="D3710" s="24" t="str">
        <f>IFERROR(__xludf.DUMMYFUNCTION("""COMPUTED_VALUE"""),"Regular (up to 20lbs)")</f>
        <v>Regular (up to 20lbs)</v>
      </c>
      <c r="F3710" s="23">
        <f>IFERROR(__xludf.DUMMYFUNCTION("""COMPUTED_VALUE"""),44883.0)</f>
        <v>44883</v>
      </c>
      <c r="G3710" s="24" t="str">
        <f>IFERROR(__xludf.DUMMYFUNCTION("""COMPUTED_VALUE"""),"Theresa Columbus")</f>
        <v>Theresa Columbus</v>
      </c>
      <c r="H3710" s="24">
        <f>IFERROR(__xludf.DUMMYFUNCTION("""COMPUTED_VALUE"""),20.0)</f>
        <v>20</v>
      </c>
      <c r="I3710" s="24" t="str">
        <f>IFERROR(__xludf.DUMMYFUNCTION("""COMPUTED_VALUE"""),"Regular (up to 20lbs)")</f>
        <v>Regular (up to 20lbs)</v>
      </c>
    </row>
    <row r="3711">
      <c r="A3711" s="23">
        <f>IFERROR(__xludf.DUMMYFUNCTION("""COMPUTED_VALUE"""),44859.66339944445)</f>
        <v>44859.6634</v>
      </c>
      <c r="B3711" s="24" t="str">
        <f>IFERROR(__xludf.DUMMYFUNCTION("""COMPUTED_VALUE"""),"Beverly Graham ")</f>
        <v>Beverly Graham </v>
      </c>
      <c r="C3711" s="24">
        <f>IFERROR(__xludf.DUMMYFUNCTION("""COMPUTED_VALUE"""),3.0)</f>
        <v>3</v>
      </c>
      <c r="D3711" s="24" t="str">
        <f>IFERROR(__xludf.DUMMYFUNCTION("""COMPUTED_VALUE"""),"Damage/expired/extra")</f>
        <v>Damage/expired/extra</v>
      </c>
      <c r="F3711" s="23">
        <f>IFERROR(__xludf.DUMMYFUNCTION("""COMPUTED_VALUE"""),44883.0)</f>
        <v>44883</v>
      </c>
      <c r="G3711" s="24" t="str">
        <f>IFERROR(__xludf.DUMMYFUNCTION("""COMPUTED_VALUE"""),"Theresa Columbus")</f>
        <v>Theresa Columbus</v>
      </c>
      <c r="H3711" s="24">
        <f>IFERROR(__xludf.DUMMYFUNCTION("""COMPUTED_VALUE"""),7.0)</f>
        <v>7</v>
      </c>
      <c r="I3711" s="24" t="str">
        <f>IFERROR(__xludf.DUMMYFUNCTION("""COMPUTED_VALUE"""),"Damage/expired/extra")</f>
        <v>Damage/expired/extra</v>
      </c>
    </row>
    <row r="3712">
      <c r="A3712" s="23">
        <f>IFERROR(__xludf.DUMMYFUNCTION("""COMPUTED_VALUE"""),44859.66360546296)</f>
        <v>44859.66361</v>
      </c>
      <c r="B3712" s="24" t="str">
        <f>IFERROR(__xludf.DUMMYFUNCTION("""COMPUTED_VALUE"""),"Romaine Bouldin ")</f>
        <v>Romaine Bouldin </v>
      </c>
      <c r="C3712" s="24">
        <f>IFERROR(__xludf.DUMMYFUNCTION("""COMPUTED_VALUE"""),17.0)</f>
        <v>17</v>
      </c>
      <c r="D3712" s="24" t="str">
        <f>IFERROR(__xludf.DUMMYFUNCTION("""COMPUTED_VALUE"""),"Regular (up to 20lbs)")</f>
        <v>Regular (up to 20lbs)</v>
      </c>
      <c r="F3712" s="23">
        <f>IFERROR(__xludf.DUMMYFUNCTION("""COMPUTED_VALUE"""),44883.0)</f>
        <v>44883</v>
      </c>
      <c r="G3712" s="24" t="str">
        <f>IFERROR(__xludf.DUMMYFUNCTION("""COMPUTED_VALUE"""),"Brian Min")</f>
        <v>Brian Min</v>
      </c>
      <c r="H3712" s="24">
        <f>IFERROR(__xludf.DUMMYFUNCTION("""COMPUTED_VALUE"""),14.0)</f>
        <v>14</v>
      </c>
      <c r="I3712" s="24" t="str">
        <f>IFERROR(__xludf.DUMMYFUNCTION("""COMPUTED_VALUE"""),"Regular (up to 20lbs)")</f>
        <v>Regular (up to 20lbs)</v>
      </c>
    </row>
    <row r="3713">
      <c r="A3713" s="23">
        <f>IFERROR(__xludf.DUMMYFUNCTION("""COMPUTED_VALUE"""),44859.663860891196)</f>
        <v>44859.66386</v>
      </c>
      <c r="B3713" s="24" t="str">
        <f>IFERROR(__xludf.DUMMYFUNCTION("""COMPUTED_VALUE"""),"Beverly Pinn")</f>
        <v>Beverly Pinn</v>
      </c>
      <c r="C3713" s="24">
        <f>IFERROR(__xludf.DUMMYFUNCTION("""COMPUTED_VALUE"""),12.0)</f>
        <v>12</v>
      </c>
      <c r="D3713" s="24" t="str">
        <f>IFERROR(__xludf.DUMMYFUNCTION("""COMPUTED_VALUE"""),"Regular (up to 20lbs)")</f>
        <v>Regular (up to 20lbs)</v>
      </c>
      <c r="F3713" s="23">
        <f>IFERROR(__xludf.DUMMYFUNCTION("""COMPUTED_VALUE"""),44883.5658666088)</f>
        <v>44883.56587</v>
      </c>
      <c r="G3713" s="24" t="str">
        <f>IFERROR(__xludf.DUMMYFUNCTION("""COMPUTED_VALUE"""),"Claire")</f>
        <v>Claire</v>
      </c>
      <c r="H3713" s="24">
        <f>IFERROR(__xludf.DUMMYFUNCTION("""COMPUTED_VALUE"""),1509.0)</f>
        <v>1509</v>
      </c>
      <c r="I3713" s="24" t="str">
        <f>IFERROR(__xludf.DUMMYFUNCTION("""COMPUTED_VALUE"""),"Whitebox")</f>
        <v>Whitebox</v>
      </c>
    </row>
    <row r="3714">
      <c r="A3714" s="23">
        <f>IFERROR(__xludf.DUMMYFUNCTION("""COMPUTED_VALUE"""),44859.66386688658)</f>
        <v>44859.66387</v>
      </c>
      <c r="B3714" s="24" t="str">
        <f>IFERROR(__xludf.DUMMYFUNCTION("""COMPUTED_VALUE"""),"Romaine Bouldin ")</f>
        <v>Romaine Bouldin </v>
      </c>
      <c r="C3714" s="24">
        <f>IFERROR(__xludf.DUMMYFUNCTION("""COMPUTED_VALUE"""),6.0)</f>
        <v>6</v>
      </c>
      <c r="D3714" s="24" t="str">
        <f>IFERROR(__xludf.DUMMYFUNCTION("""COMPUTED_VALUE"""),"Damage/expired/extra")</f>
        <v>Damage/expired/extra</v>
      </c>
      <c r="F3714" s="23">
        <f>IFERROR(__xludf.DUMMYFUNCTION("""COMPUTED_VALUE"""),44883.56612917824)</f>
        <v>44883.56613</v>
      </c>
      <c r="G3714" s="24" t="str">
        <f>IFERROR(__xludf.DUMMYFUNCTION("""COMPUTED_VALUE"""),"Claire")</f>
        <v>Claire</v>
      </c>
      <c r="H3714" s="24">
        <f>IFERROR(__xludf.DUMMYFUNCTION("""COMPUTED_VALUE"""),1507.0)</f>
        <v>1507</v>
      </c>
      <c r="I3714" s="24" t="str">
        <f>IFERROR(__xludf.DUMMYFUNCTION("""COMPUTED_VALUE"""),"Whitebox")</f>
        <v>Whitebox</v>
      </c>
    </row>
    <row r="3715">
      <c r="A3715" s="23">
        <f>IFERROR(__xludf.DUMMYFUNCTION("""COMPUTED_VALUE"""),44859.66402833333)</f>
        <v>44859.66403</v>
      </c>
      <c r="B3715" s="24" t="str">
        <f>IFERROR(__xludf.DUMMYFUNCTION("""COMPUTED_VALUE"""),"Beverly Pinn")</f>
        <v>Beverly Pinn</v>
      </c>
      <c r="C3715" s="24">
        <f>IFERROR(__xludf.DUMMYFUNCTION("""COMPUTED_VALUE"""),5.0)</f>
        <v>5</v>
      </c>
      <c r="D3715" s="24" t="str">
        <f>IFERROR(__xludf.DUMMYFUNCTION("""COMPUTED_VALUE"""),"Damage/expired/extra")</f>
        <v>Damage/expired/extra</v>
      </c>
      <c r="F3715" s="23">
        <f>IFERROR(__xludf.DUMMYFUNCTION("""COMPUTED_VALUE"""),44883.56633706018)</f>
        <v>44883.56634</v>
      </c>
      <c r="G3715" s="24" t="str">
        <f>IFERROR(__xludf.DUMMYFUNCTION("""COMPUTED_VALUE"""),"Claire")</f>
        <v>Claire</v>
      </c>
      <c r="H3715" s="24">
        <f>IFERROR(__xludf.DUMMYFUNCTION("""COMPUTED_VALUE"""),1505.0)</f>
        <v>1505</v>
      </c>
      <c r="I3715" s="24" t="str">
        <f>IFERROR(__xludf.DUMMYFUNCTION("""COMPUTED_VALUE"""),"Whitebox")</f>
        <v>Whitebox</v>
      </c>
    </row>
    <row r="3716">
      <c r="A3716" s="23">
        <f>IFERROR(__xludf.DUMMYFUNCTION("""COMPUTED_VALUE"""),44859.66441638889)</f>
        <v>44859.66442</v>
      </c>
      <c r="B3716" s="24" t="str">
        <f>IFERROR(__xludf.DUMMYFUNCTION("""COMPUTED_VALUE"""),"Anna West")</f>
        <v>Anna West</v>
      </c>
      <c r="C3716" s="24">
        <f>IFERROR(__xludf.DUMMYFUNCTION("""COMPUTED_VALUE"""),20.0)</f>
        <v>20</v>
      </c>
      <c r="D3716" s="24" t="str">
        <f>IFERROR(__xludf.DUMMYFUNCTION("""COMPUTED_VALUE"""),"Regular (up to 20lbs)")</f>
        <v>Regular (up to 20lbs)</v>
      </c>
      <c r="F3716" s="23">
        <f>IFERROR(__xludf.DUMMYFUNCTION("""COMPUTED_VALUE"""),44883.56653780092)</f>
        <v>44883.56654</v>
      </c>
      <c r="G3716" s="24" t="str">
        <f>IFERROR(__xludf.DUMMYFUNCTION("""COMPUTED_VALUE"""),"Claire")</f>
        <v>Claire</v>
      </c>
      <c r="H3716" s="24">
        <f>IFERROR(__xludf.DUMMYFUNCTION("""COMPUTED_VALUE"""),1509.0)</f>
        <v>1509</v>
      </c>
      <c r="I3716" s="24" t="str">
        <f>IFERROR(__xludf.DUMMYFUNCTION("""COMPUTED_VALUE"""),"Whitebox")</f>
        <v>Whitebox</v>
      </c>
    </row>
    <row r="3717">
      <c r="A3717" s="23">
        <f>IFERROR(__xludf.DUMMYFUNCTION("""COMPUTED_VALUE"""),44859.66453675926)</f>
        <v>44859.66454</v>
      </c>
      <c r="B3717" s="24" t="str">
        <f>IFERROR(__xludf.DUMMYFUNCTION("""COMPUTED_VALUE"""),"Anna West")</f>
        <v>Anna West</v>
      </c>
      <c r="C3717" s="24">
        <f>IFERROR(__xludf.DUMMYFUNCTION("""COMPUTED_VALUE"""),8.0)</f>
        <v>8</v>
      </c>
      <c r="D3717" s="24" t="str">
        <f>IFERROR(__xludf.DUMMYFUNCTION("""COMPUTED_VALUE"""),"Damage/expired/extra")</f>
        <v>Damage/expired/extra</v>
      </c>
      <c r="F3717" s="23">
        <f>IFERROR(__xludf.DUMMYFUNCTION("""COMPUTED_VALUE"""),44883.566734328706)</f>
        <v>44883.56673</v>
      </c>
      <c r="G3717" s="24" t="str">
        <f>IFERROR(__xludf.DUMMYFUNCTION("""COMPUTED_VALUE"""),"Claire")</f>
        <v>Claire</v>
      </c>
      <c r="H3717" s="24">
        <f>IFERROR(__xludf.DUMMYFUNCTION("""COMPUTED_VALUE"""),1512.0)</f>
        <v>1512</v>
      </c>
      <c r="I3717" s="24" t="str">
        <f>IFERROR(__xludf.DUMMYFUNCTION("""COMPUTED_VALUE"""),"Whitebox")</f>
        <v>Whitebox</v>
      </c>
    </row>
    <row r="3718">
      <c r="A3718" s="23">
        <f>IFERROR(__xludf.DUMMYFUNCTION("""COMPUTED_VALUE"""),44859.66748288195)</f>
        <v>44859.66748</v>
      </c>
      <c r="B3718" s="24" t="str">
        <f>IFERROR(__xludf.DUMMYFUNCTION("""COMPUTED_VALUE"""),"Jean")</f>
        <v>Jean</v>
      </c>
      <c r="C3718" s="24">
        <f>IFERROR(__xludf.DUMMYFUNCTION("""COMPUTED_VALUE"""),30.0)</f>
        <v>30</v>
      </c>
      <c r="D3718" s="24" t="str">
        <f>IFERROR(__xludf.DUMMYFUNCTION("""COMPUTED_VALUE"""),"Regular (up to 20lbs)")</f>
        <v>Regular (up to 20lbs)</v>
      </c>
      <c r="F3718" s="23">
        <f>IFERROR(__xludf.DUMMYFUNCTION("""COMPUTED_VALUE"""),44883.56694547454)</f>
        <v>44883.56695</v>
      </c>
      <c r="G3718" s="24" t="str">
        <f>IFERROR(__xludf.DUMMYFUNCTION("""COMPUTED_VALUE"""),"Claire")</f>
        <v>Claire</v>
      </c>
      <c r="H3718" s="24">
        <f>IFERROR(__xludf.DUMMYFUNCTION("""COMPUTED_VALUE"""),1511.0)</f>
        <v>1511</v>
      </c>
      <c r="I3718" s="24" t="str">
        <f>IFERROR(__xludf.DUMMYFUNCTION("""COMPUTED_VALUE"""),"Whitebox")</f>
        <v>Whitebox</v>
      </c>
    </row>
    <row r="3719">
      <c r="A3719" s="23">
        <f>IFERROR(__xludf.DUMMYFUNCTION("""COMPUTED_VALUE"""),44859.667711435184)</f>
        <v>44859.66771</v>
      </c>
      <c r="B3719" s="24" t="str">
        <f>IFERROR(__xludf.DUMMYFUNCTION("""COMPUTED_VALUE"""),"Jean")</f>
        <v>Jean</v>
      </c>
      <c r="C3719" s="24">
        <f>IFERROR(__xludf.DUMMYFUNCTION("""COMPUTED_VALUE"""),2.0)</f>
        <v>2</v>
      </c>
      <c r="D3719" s="24" t="str">
        <f>IFERROR(__xludf.DUMMYFUNCTION("""COMPUTED_VALUE"""),"Damage/expired/extra")</f>
        <v>Damage/expired/extra</v>
      </c>
      <c r="F3719" s="23">
        <f>IFERROR(__xludf.DUMMYFUNCTION("""COMPUTED_VALUE"""),44883.567182280094)</f>
        <v>44883.56718</v>
      </c>
      <c r="G3719" s="24" t="str">
        <f>IFERROR(__xludf.DUMMYFUNCTION("""COMPUTED_VALUE"""),"Claire")</f>
        <v>Claire</v>
      </c>
      <c r="H3719" s="24">
        <f>IFERROR(__xludf.DUMMYFUNCTION("""COMPUTED_VALUE"""),1514.0)</f>
        <v>1514</v>
      </c>
      <c r="I3719" s="24" t="str">
        <f>IFERROR(__xludf.DUMMYFUNCTION("""COMPUTED_VALUE"""),"Whitebox")</f>
        <v>Whitebox</v>
      </c>
    </row>
    <row r="3720">
      <c r="A3720" s="23">
        <f>IFERROR(__xludf.DUMMYFUNCTION("""COMPUTED_VALUE"""),44860.0)</f>
        <v>44860</v>
      </c>
      <c r="B3720" s="24" t="str">
        <f>IFERROR(__xludf.DUMMYFUNCTION("""COMPUTED_VALUE"""),"Juanita Chandler ")</f>
        <v>Juanita Chandler </v>
      </c>
      <c r="C3720" s="24">
        <f>IFERROR(__xludf.DUMMYFUNCTION("""COMPUTED_VALUE"""),12.0)</f>
        <v>12</v>
      </c>
      <c r="D3720" s="24" t="str">
        <f>IFERROR(__xludf.DUMMYFUNCTION("""COMPUTED_VALUE"""),"Regular (up to 20lbs)")</f>
        <v>Regular (up to 20lbs)</v>
      </c>
      <c r="F3720" s="23">
        <f>IFERROR(__xludf.DUMMYFUNCTION("""COMPUTED_VALUE"""),44883.56737119213)</f>
        <v>44883.56737</v>
      </c>
      <c r="G3720" s="24" t="str">
        <f>IFERROR(__xludf.DUMMYFUNCTION("""COMPUTED_VALUE"""),"Claire")</f>
        <v>Claire</v>
      </c>
      <c r="H3720" s="24">
        <f>IFERROR(__xludf.DUMMYFUNCTION("""COMPUTED_VALUE"""),1509.0)</f>
        <v>1509</v>
      </c>
      <c r="I3720" s="24" t="str">
        <f>IFERROR(__xludf.DUMMYFUNCTION("""COMPUTED_VALUE"""),"Whitebox")</f>
        <v>Whitebox</v>
      </c>
    </row>
    <row r="3721">
      <c r="A3721" s="23">
        <f>IFERROR(__xludf.DUMMYFUNCTION("""COMPUTED_VALUE"""),44863.0)</f>
        <v>44863</v>
      </c>
      <c r="B3721" s="24" t="str">
        <f>IFERROR(__xludf.DUMMYFUNCTION("""COMPUTED_VALUE"""),"Juanita Chandler ")</f>
        <v>Juanita Chandler </v>
      </c>
      <c r="C3721" s="24">
        <f>IFERROR(__xludf.DUMMYFUNCTION("""COMPUTED_VALUE"""),17.0)</f>
        <v>17</v>
      </c>
      <c r="D3721" s="24" t="str">
        <f>IFERROR(__xludf.DUMMYFUNCTION("""COMPUTED_VALUE"""),"Damage/expired/extra")</f>
        <v>Damage/expired/extra</v>
      </c>
      <c r="F3721" s="23">
        <f>IFERROR(__xludf.DUMMYFUNCTION("""COMPUTED_VALUE"""),44883.567543680554)</f>
        <v>44883.56754</v>
      </c>
      <c r="G3721" s="24" t="str">
        <f>IFERROR(__xludf.DUMMYFUNCTION("""COMPUTED_VALUE"""),"Claire")</f>
        <v>Claire</v>
      </c>
      <c r="H3721" s="24">
        <f>IFERROR(__xludf.DUMMYFUNCTION("""COMPUTED_VALUE"""),1506.0)</f>
        <v>1506</v>
      </c>
      <c r="I3721" s="24" t="str">
        <f>IFERROR(__xludf.DUMMYFUNCTION("""COMPUTED_VALUE"""),"Whitebox")</f>
        <v>Whitebox</v>
      </c>
    </row>
    <row r="3722">
      <c r="A3722" s="23">
        <f>IFERROR(__xludf.DUMMYFUNCTION("""COMPUTED_VALUE"""),44863.0)</f>
        <v>44863</v>
      </c>
      <c r="B3722" s="24" t="str">
        <f>IFERROR(__xludf.DUMMYFUNCTION("""COMPUTED_VALUE"""),"Doris Parker tuggle")</f>
        <v>Doris Parker tuggle</v>
      </c>
      <c r="C3722" s="24">
        <f>IFERROR(__xludf.DUMMYFUNCTION("""COMPUTED_VALUE"""),19.0)</f>
        <v>19</v>
      </c>
      <c r="D3722" s="24" t="str">
        <f>IFERROR(__xludf.DUMMYFUNCTION("""COMPUTED_VALUE"""),"Regular (up to 20lbs)")</f>
        <v>Regular (up to 20lbs)</v>
      </c>
      <c r="F3722" s="23">
        <f>IFERROR(__xludf.DUMMYFUNCTION("""COMPUTED_VALUE"""),44883.61899530092)</f>
        <v>44883.619</v>
      </c>
      <c r="G3722" s="24" t="str">
        <f>IFERROR(__xludf.DUMMYFUNCTION("""COMPUTED_VALUE"""),"Juanita Chandler ")</f>
        <v>Juanita Chandler </v>
      </c>
      <c r="H3722" s="24">
        <f>IFERROR(__xludf.DUMMYFUNCTION("""COMPUTED_VALUE"""),1212.0)</f>
        <v>1212</v>
      </c>
      <c r="I3722" s="24" t="str">
        <f>IFERROR(__xludf.DUMMYFUNCTION("""COMPUTED_VALUE"""),"Dole fruit cup ")</f>
        <v>Dole fruit cup </v>
      </c>
    </row>
    <row r="3723">
      <c r="A3723" s="23">
        <f>IFERROR(__xludf.DUMMYFUNCTION("""COMPUTED_VALUE"""),44863.0)</f>
        <v>44863</v>
      </c>
      <c r="B3723" s="24" t="str">
        <f>IFERROR(__xludf.DUMMYFUNCTION("""COMPUTED_VALUE"""),"Doris Parker tuggle")</f>
        <v>Doris Parker tuggle</v>
      </c>
      <c r="C3723" s="24">
        <f>IFERROR(__xludf.DUMMYFUNCTION("""COMPUTED_VALUE"""),2.0)</f>
        <v>2</v>
      </c>
      <c r="D3723" s="24" t="str">
        <f>IFERROR(__xludf.DUMMYFUNCTION("""COMPUTED_VALUE"""),"Damage/expired/extra")</f>
        <v>Damage/expired/extra</v>
      </c>
      <c r="F3723" s="23">
        <f>IFERROR(__xludf.DUMMYFUNCTION("""COMPUTED_VALUE"""),44883.62007032407)</f>
        <v>44883.62007</v>
      </c>
      <c r="G3723" s="24" t="str">
        <f>IFERROR(__xludf.DUMMYFUNCTION("""COMPUTED_VALUE"""),"Juanita Chandler ")</f>
        <v>Juanita Chandler </v>
      </c>
      <c r="H3723" s="24">
        <f>IFERROR(__xludf.DUMMYFUNCTION("""COMPUTED_VALUE"""),1244.0)</f>
        <v>1244</v>
      </c>
      <c r="I3723" s="24" t="str">
        <f>IFERROR(__xludf.DUMMYFUNCTION("""COMPUTED_VALUE"""),"Dole fruit cup ")</f>
        <v>Dole fruit cup </v>
      </c>
    </row>
    <row r="3724">
      <c r="A3724" s="23">
        <f>IFERROR(__xludf.DUMMYFUNCTION("""COMPUTED_VALUE"""),44863.0)</f>
        <v>44863</v>
      </c>
      <c r="B3724" s="24" t="str">
        <f>IFERROR(__xludf.DUMMYFUNCTION("""COMPUTED_VALUE"""),"Sharron")</f>
        <v>Sharron</v>
      </c>
      <c r="C3724" s="24">
        <f>IFERROR(__xludf.DUMMYFUNCTION("""COMPUTED_VALUE"""),13.0)</f>
        <v>13</v>
      </c>
      <c r="D3724" s="24" t="str">
        <f>IFERROR(__xludf.DUMMYFUNCTION("""COMPUTED_VALUE"""),"Regular (up to 20lbs)")</f>
        <v>Regular (up to 20lbs)</v>
      </c>
      <c r="F3724" s="23">
        <f>IFERROR(__xludf.DUMMYFUNCTION("""COMPUTED_VALUE"""),44883.62088631944)</f>
        <v>44883.62089</v>
      </c>
      <c r="G3724" s="24" t="str">
        <f>IFERROR(__xludf.DUMMYFUNCTION("""COMPUTED_VALUE"""),"Juanita Chandler ")</f>
        <v>Juanita Chandler </v>
      </c>
      <c r="H3724" s="24">
        <f>IFERROR(__xludf.DUMMYFUNCTION("""COMPUTED_VALUE"""),340.0)</f>
        <v>340</v>
      </c>
      <c r="I3724" s="24" t="str">
        <f>IFERROR(__xludf.DUMMYFUNCTION("""COMPUTED_VALUE"""),"Produce")</f>
        <v>Produce</v>
      </c>
    </row>
    <row r="3725">
      <c r="A3725" s="23">
        <f>IFERROR(__xludf.DUMMYFUNCTION("""COMPUTED_VALUE"""),44863.0)</f>
        <v>44863</v>
      </c>
      <c r="B3725" s="24" t="str">
        <f>IFERROR(__xludf.DUMMYFUNCTION("""COMPUTED_VALUE"""),"Sharron")</f>
        <v>Sharron</v>
      </c>
      <c r="C3725" s="24">
        <f>IFERROR(__xludf.DUMMYFUNCTION("""COMPUTED_VALUE"""),22.0)</f>
        <v>22</v>
      </c>
      <c r="D3725" s="24" t="str">
        <f>IFERROR(__xludf.DUMMYFUNCTION("""COMPUTED_VALUE"""),"Damage/expired/extra")</f>
        <v>Damage/expired/extra</v>
      </c>
      <c r="F3725" s="23">
        <f>IFERROR(__xludf.DUMMYFUNCTION("""COMPUTED_VALUE"""),44883.62143577546)</f>
        <v>44883.62144</v>
      </c>
      <c r="G3725" s="24" t="str">
        <f>IFERROR(__xludf.DUMMYFUNCTION("""COMPUTED_VALUE"""),"Juanita Chandler ")</f>
        <v>Juanita Chandler </v>
      </c>
      <c r="H3725" s="24">
        <f>IFERROR(__xludf.DUMMYFUNCTION("""COMPUTED_VALUE"""),268.0)</f>
        <v>268</v>
      </c>
      <c r="I3725" s="24" t="str">
        <f>IFERROR(__xludf.DUMMYFUNCTION("""COMPUTED_VALUE"""),"Produce")</f>
        <v>Produce</v>
      </c>
    </row>
    <row r="3726">
      <c r="A3726" s="23">
        <f>IFERROR(__xludf.DUMMYFUNCTION("""COMPUTED_VALUE"""),44860.5895097338)</f>
        <v>44860.58951</v>
      </c>
      <c r="B3726" s="24" t="str">
        <f>IFERROR(__xludf.DUMMYFUNCTION("""COMPUTED_VALUE"""),"Bud Stracker - DPW sisson st drinks")</f>
        <v>Bud Stracker - DPW sisson st drinks</v>
      </c>
      <c r="C3726" s="24">
        <f>IFERROR(__xludf.DUMMYFUNCTION("""COMPUTED_VALUE"""),13.0)</f>
        <v>13</v>
      </c>
      <c r="D3726" s="24" t="str">
        <f>IFERROR(__xludf.DUMMYFUNCTION("""COMPUTED_VALUE"""),"Regular (up to 20lbs)")</f>
        <v>Regular (up to 20lbs)</v>
      </c>
      <c r="F3726" s="23">
        <f>IFERROR(__xludf.DUMMYFUNCTION("""COMPUTED_VALUE"""),44883.622127939816)</f>
        <v>44883.62213</v>
      </c>
      <c r="G3726" s="24" t="str">
        <f>IFERROR(__xludf.DUMMYFUNCTION("""COMPUTED_VALUE"""),"Juanita Chandler ")</f>
        <v>Juanita Chandler </v>
      </c>
      <c r="H3726" s="24">
        <f>IFERROR(__xludf.DUMMYFUNCTION("""COMPUTED_VALUE"""),390.0)</f>
        <v>390</v>
      </c>
      <c r="I3726" s="24" t="str">
        <f>IFERROR(__xludf.DUMMYFUNCTION("""COMPUTED_VALUE"""),"Frozen [Not Meat]")</f>
        <v>Frozen [Not Meat]</v>
      </c>
    </row>
    <row r="3727">
      <c r="A3727" s="23">
        <f>IFERROR(__xludf.DUMMYFUNCTION("""COMPUTED_VALUE"""),44860.5896916551)</f>
        <v>44860.58969</v>
      </c>
      <c r="B3727" s="24" t="str">
        <f>IFERROR(__xludf.DUMMYFUNCTION("""COMPUTED_VALUE"""),"Bud Stracker - personal ")</f>
        <v>Bud Stracker - personal </v>
      </c>
      <c r="C3727" s="24">
        <f>IFERROR(__xludf.DUMMYFUNCTION("""COMPUTED_VALUE"""),2.0)</f>
        <v>2</v>
      </c>
      <c r="D3727" s="24" t="str">
        <f>IFERROR(__xludf.DUMMYFUNCTION("""COMPUTED_VALUE"""),"Regular (up to 20lbs)")</f>
        <v>Regular (up to 20lbs)</v>
      </c>
      <c r="F3727" s="23">
        <f>IFERROR(__xludf.DUMMYFUNCTION("""COMPUTED_VALUE"""),44883.622795243056)</f>
        <v>44883.6228</v>
      </c>
      <c r="G3727" s="24" t="str">
        <f>IFERROR(__xludf.DUMMYFUNCTION("""COMPUTED_VALUE"""),"Juanita Chandler ")</f>
        <v>Juanita Chandler </v>
      </c>
      <c r="H3727" s="24">
        <f>IFERROR(__xludf.DUMMYFUNCTION("""COMPUTED_VALUE"""),440.0)</f>
        <v>440</v>
      </c>
      <c r="I3727" s="24" t="str">
        <f>IFERROR(__xludf.DUMMYFUNCTION("""COMPUTED_VALUE"""),"Frozen [Not Meat]")</f>
        <v>Frozen [Not Meat]</v>
      </c>
    </row>
    <row r="3728">
      <c r="A3728" s="23">
        <f>IFERROR(__xludf.DUMMYFUNCTION("""COMPUTED_VALUE"""),44860.70508341435)</f>
        <v>44860.70508</v>
      </c>
      <c r="B3728" s="24" t="str">
        <f>IFERROR(__xludf.DUMMYFUNCTION("""COMPUTED_VALUE"""),"Luke mayhew")</f>
        <v>Luke mayhew</v>
      </c>
      <c r="C3728" s="24">
        <f>IFERROR(__xludf.DUMMYFUNCTION("""COMPUTED_VALUE"""),16.0)</f>
        <v>16</v>
      </c>
      <c r="D3728" s="24" t="str">
        <f>IFERROR(__xludf.DUMMYFUNCTION("""COMPUTED_VALUE"""),"Regular (up to 20lbs)")</f>
        <v>Regular (up to 20lbs)</v>
      </c>
      <c r="F3728" s="23">
        <f>IFERROR(__xludf.DUMMYFUNCTION("""COMPUTED_VALUE"""),44883.6245477662)</f>
        <v>44883.62455</v>
      </c>
      <c r="G3728" s="24" t="str">
        <f>IFERROR(__xludf.DUMMYFUNCTION("""COMPUTED_VALUE"""),"Juanita Chandler ")</f>
        <v>Juanita Chandler </v>
      </c>
      <c r="H3728" s="24">
        <f>IFERROR(__xludf.DUMMYFUNCTION("""COMPUTED_VALUE"""),1151.0)</f>
        <v>1151</v>
      </c>
      <c r="I3728" s="24" t="str">
        <f>IFERROR(__xludf.DUMMYFUNCTION("""COMPUTED_VALUE"""),"Dole fruit cup ")</f>
        <v>Dole fruit cup </v>
      </c>
    </row>
    <row r="3729">
      <c r="A3729" s="23">
        <f>IFERROR(__xludf.DUMMYFUNCTION("""COMPUTED_VALUE"""),44860.705220578704)</f>
        <v>44860.70522</v>
      </c>
      <c r="B3729" s="24" t="str">
        <f>IFERROR(__xludf.DUMMYFUNCTION("""COMPUTED_VALUE"""),"Luke mayhew ")</f>
        <v>Luke mayhew </v>
      </c>
      <c r="C3729" s="24">
        <f>IFERROR(__xludf.DUMMYFUNCTION("""COMPUTED_VALUE"""),20.0)</f>
        <v>20</v>
      </c>
      <c r="D3729" s="24" t="str">
        <f>IFERROR(__xludf.DUMMYFUNCTION("""COMPUTED_VALUE"""),"Damage/expired/extra")</f>
        <v>Damage/expired/extra</v>
      </c>
      <c r="F3729" s="23">
        <f>IFERROR(__xludf.DUMMYFUNCTION("""COMPUTED_VALUE"""),44883.6253334375)</f>
        <v>44883.62533</v>
      </c>
      <c r="G3729" s="24" t="str">
        <f>IFERROR(__xludf.DUMMYFUNCTION("""COMPUTED_VALUE"""),"Juanita Chandler ")</f>
        <v>Juanita Chandler </v>
      </c>
      <c r="H3729" s="24">
        <f>IFERROR(__xludf.DUMMYFUNCTION("""COMPUTED_VALUE"""),936.0)</f>
        <v>936</v>
      </c>
      <c r="I3729" s="24" t="str">
        <f>IFERROR(__xludf.DUMMYFUNCTION("""COMPUTED_VALUE"""),"Fruit Cup Dole")</f>
        <v>Fruit Cup Dole</v>
      </c>
    </row>
    <row r="3730">
      <c r="A3730" s="23">
        <f>IFERROR(__xludf.DUMMYFUNCTION("""COMPUTED_VALUE"""),44860.79221194445)</f>
        <v>44860.79221</v>
      </c>
      <c r="B3730" s="24" t="str">
        <f>IFERROR(__xludf.DUMMYFUNCTION("""COMPUTED_VALUE"""),"Lynnette ")</f>
        <v>Lynnette </v>
      </c>
      <c r="C3730" s="24">
        <f>IFERROR(__xludf.DUMMYFUNCTION("""COMPUTED_VALUE"""),5.0)</f>
        <v>5</v>
      </c>
      <c r="D3730" s="24" t="str">
        <f>IFERROR(__xludf.DUMMYFUNCTION("""COMPUTED_VALUE"""),"Damage/expired/extra")</f>
        <v>Damage/expired/extra</v>
      </c>
      <c r="F3730" s="23">
        <f>IFERROR(__xludf.DUMMYFUNCTION("""COMPUTED_VALUE"""),44883.62588453704)</f>
        <v>44883.62588</v>
      </c>
      <c r="G3730" s="24" t="str">
        <f>IFERROR(__xludf.DUMMYFUNCTION("""COMPUTED_VALUE"""),"Juanita Chandler ")</f>
        <v>Juanita Chandler </v>
      </c>
      <c r="H3730" s="24">
        <f>IFERROR(__xludf.DUMMYFUNCTION("""COMPUTED_VALUE"""),291.0)</f>
        <v>291</v>
      </c>
      <c r="I3730" s="24" t="str">
        <f>IFERROR(__xludf.DUMMYFUNCTION("""COMPUTED_VALUE"""),"Frozen [Not Meat]")</f>
        <v>Frozen [Not Meat]</v>
      </c>
    </row>
    <row r="3731">
      <c r="A3731" s="23">
        <f>IFERROR(__xludf.DUMMYFUNCTION("""COMPUTED_VALUE"""),44860.7924540625)</f>
        <v>44860.79245</v>
      </c>
      <c r="B3731" s="24" t="str">
        <f>IFERROR(__xludf.DUMMYFUNCTION("""COMPUTED_VALUE"""),"Lynnette")</f>
        <v>Lynnette</v>
      </c>
      <c r="C3731" s="24">
        <f>IFERROR(__xludf.DUMMYFUNCTION("""COMPUTED_VALUE"""),2.0)</f>
        <v>2</v>
      </c>
      <c r="D3731" s="24" t="str">
        <f>IFERROR(__xludf.DUMMYFUNCTION("""COMPUTED_VALUE"""),"Regular (up to 20lbs)")</f>
        <v>Regular (up to 20lbs)</v>
      </c>
      <c r="F3731" s="23">
        <f>IFERROR(__xludf.DUMMYFUNCTION("""COMPUTED_VALUE"""),44883.63866965278)</f>
        <v>44883.63867</v>
      </c>
      <c r="G3731" s="24" t="str">
        <f>IFERROR(__xludf.DUMMYFUNCTION("""COMPUTED_VALUE"""),"Juanita Chandler ")</f>
        <v>Juanita Chandler </v>
      </c>
      <c r="H3731" s="24">
        <f>IFERROR(__xludf.DUMMYFUNCTION("""COMPUTED_VALUE"""),225.0)</f>
        <v>225</v>
      </c>
      <c r="I3731" s="24" t="str">
        <f>IFERROR(__xludf.DUMMYFUNCTION("""COMPUTED_VALUE"""),"YWAM Greg")</f>
        <v>YWAM Greg</v>
      </c>
    </row>
    <row r="3732">
      <c r="A3732" s="23">
        <f>IFERROR(__xludf.DUMMYFUNCTION("""COMPUTED_VALUE"""),44860.851449525464)</f>
        <v>44860.85145</v>
      </c>
      <c r="B3732" s="24" t="str">
        <f>IFERROR(__xludf.DUMMYFUNCTION("""COMPUTED_VALUE"""),"Connor Gephart")</f>
        <v>Connor Gephart</v>
      </c>
      <c r="C3732" s="24">
        <f>IFERROR(__xludf.DUMMYFUNCTION("""COMPUTED_VALUE"""),8.0)</f>
        <v>8</v>
      </c>
      <c r="D3732" s="24" t="str">
        <f>IFERROR(__xludf.DUMMYFUNCTION("""COMPUTED_VALUE"""),"Regular (up to 20lbs)")</f>
        <v>Regular (up to 20lbs)</v>
      </c>
      <c r="F3732" s="23">
        <f>IFERROR(__xludf.DUMMYFUNCTION("""COMPUTED_VALUE"""),44883.64001060185)</f>
        <v>44883.64001</v>
      </c>
      <c r="G3732" s="24" t="str">
        <f>IFERROR(__xludf.DUMMYFUNCTION("""COMPUTED_VALUE"""),"Juanita Chandler ")</f>
        <v>Juanita Chandler </v>
      </c>
      <c r="H3732" s="24">
        <f>IFERROR(__xludf.DUMMYFUNCTION("""COMPUTED_VALUE"""),190.0)</f>
        <v>190</v>
      </c>
      <c r="I3732" s="24" t="str">
        <f>IFERROR(__xludf.DUMMYFUNCTION("""COMPUTED_VALUE"""),"YWAM Greg")</f>
        <v>YWAM Greg</v>
      </c>
    </row>
    <row r="3733">
      <c r="A3733" s="23">
        <f>IFERROR(__xludf.DUMMYFUNCTION("""COMPUTED_VALUE"""),44861.69799335648)</f>
        <v>44861.69799</v>
      </c>
      <c r="B3733" s="24" t="str">
        <f>IFERROR(__xludf.DUMMYFUNCTION("""COMPUTED_VALUE"""),"Jean")</f>
        <v>Jean</v>
      </c>
      <c r="C3733" s="24">
        <f>IFERROR(__xludf.DUMMYFUNCTION("""COMPUTED_VALUE"""),15.0)</f>
        <v>15</v>
      </c>
      <c r="D3733" s="24" t="str">
        <f>IFERROR(__xludf.DUMMYFUNCTION("""COMPUTED_VALUE"""),"Regular (up to 20lbs)")</f>
        <v>Regular (up to 20lbs)</v>
      </c>
      <c r="F3733" s="23">
        <f>IFERROR(__xludf.DUMMYFUNCTION("""COMPUTED_VALUE"""),44883.64126550926)</f>
        <v>44883.64127</v>
      </c>
      <c r="G3733" s="24" t="str">
        <f>IFERROR(__xludf.DUMMYFUNCTION("""COMPUTED_VALUE"""),"Juanita Chandler ")</f>
        <v>Juanita Chandler </v>
      </c>
      <c r="H3733" s="24">
        <f>IFERROR(__xludf.DUMMYFUNCTION("""COMPUTED_VALUE"""),100.0)</f>
        <v>100</v>
      </c>
      <c r="I3733" s="24" t="str">
        <f>IFERROR(__xludf.DUMMYFUNCTION("""COMPUTED_VALUE"""),"Donation")</f>
        <v>Donation</v>
      </c>
    </row>
    <row r="3734">
      <c r="A3734" s="23">
        <f>IFERROR(__xludf.DUMMYFUNCTION("""COMPUTED_VALUE"""),44861.69829796297)</f>
        <v>44861.6983</v>
      </c>
      <c r="B3734" s="24" t="str">
        <f>IFERROR(__xludf.DUMMYFUNCTION("""COMPUTED_VALUE"""),"Jean")</f>
        <v>Jean</v>
      </c>
      <c r="C3734" s="24">
        <f>IFERROR(__xludf.DUMMYFUNCTION("""COMPUTED_VALUE"""),13.0)</f>
        <v>13</v>
      </c>
      <c r="D3734" s="24" t="str">
        <f>IFERROR(__xludf.DUMMYFUNCTION("""COMPUTED_VALUE"""),"Damage/expired/extra")</f>
        <v>Damage/expired/extra</v>
      </c>
      <c r="F3734" s="23">
        <f>IFERROR(__xludf.DUMMYFUNCTION("""COMPUTED_VALUE"""),44883.68982364584)</f>
        <v>44883.68982</v>
      </c>
      <c r="G3734" s="24" t="str">
        <f>IFERROR(__xludf.DUMMYFUNCTION("""COMPUTED_VALUE"""),"Beth Torres")</f>
        <v>Beth Torres</v>
      </c>
      <c r="H3734" s="24">
        <f>IFERROR(__xludf.DUMMYFUNCTION("""COMPUTED_VALUE"""),14.0)</f>
        <v>14</v>
      </c>
      <c r="I3734" s="24" t="str">
        <f>IFERROR(__xludf.DUMMYFUNCTION("""COMPUTED_VALUE"""),"Regular (up to 20lbs)")</f>
        <v>Regular (up to 20lbs)</v>
      </c>
    </row>
    <row r="3735">
      <c r="A3735" s="23">
        <f>IFERROR(__xludf.DUMMYFUNCTION("""COMPUTED_VALUE"""),44861.70131012732)</f>
        <v>44861.70131</v>
      </c>
      <c r="B3735" s="24" t="str">
        <f>IFERROR(__xludf.DUMMYFUNCTION("""COMPUTED_VALUE"""),"Barbara")</f>
        <v>Barbara</v>
      </c>
      <c r="C3735" s="24">
        <f>IFERROR(__xludf.DUMMYFUNCTION("""COMPUTED_VALUE"""),13.0)</f>
        <v>13</v>
      </c>
      <c r="D3735" s="24" t="str">
        <f>IFERROR(__xludf.DUMMYFUNCTION("""COMPUTED_VALUE"""),"Regular (up to 20lbs)")</f>
        <v>Regular (up to 20lbs)</v>
      </c>
      <c r="F3735" s="23">
        <f>IFERROR(__xludf.DUMMYFUNCTION("""COMPUTED_VALUE"""),44883.69014934028)</f>
        <v>44883.69015</v>
      </c>
      <c r="G3735" s="24" t="str">
        <f>IFERROR(__xludf.DUMMYFUNCTION("""COMPUTED_VALUE"""),"Beth Torres")</f>
        <v>Beth Torres</v>
      </c>
      <c r="H3735" s="24">
        <f>IFERROR(__xludf.DUMMYFUNCTION("""COMPUTED_VALUE"""),19.0)</f>
        <v>19</v>
      </c>
      <c r="I3735" s="24" t="str">
        <f>IFERROR(__xludf.DUMMYFUNCTION("""COMPUTED_VALUE"""),"Damage/expired/extra")</f>
        <v>Damage/expired/extra</v>
      </c>
    </row>
    <row r="3736">
      <c r="A3736" s="23">
        <f>IFERROR(__xludf.DUMMYFUNCTION("""COMPUTED_VALUE"""),44861.70158792824)</f>
        <v>44861.70159</v>
      </c>
      <c r="B3736" s="24" t="str">
        <f>IFERROR(__xludf.DUMMYFUNCTION("""COMPUTED_VALUE"""),"Barbara")</f>
        <v>Barbara</v>
      </c>
      <c r="C3736" s="24">
        <f>IFERROR(__xludf.DUMMYFUNCTION("""COMPUTED_VALUE"""),4.0)</f>
        <v>4</v>
      </c>
      <c r="D3736" s="24" t="str">
        <f>IFERROR(__xludf.DUMMYFUNCTION("""COMPUTED_VALUE"""),"Damage/expired/extra")</f>
        <v>Damage/expired/extra</v>
      </c>
      <c r="F3736" s="23">
        <f>IFERROR(__xludf.DUMMYFUNCTION("""COMPUTED_VALUE"""),44883.697161805554)</f>
        <v>44883.69716</v>
      </c>
      <c r="G3736" s="24" t="str">
        <f>IFERROR(__xludf.DUMMYFUNCTION("""COMPUTED_VALUE"""),"Juanita Chandler ")</f>
        <v>Juanita Chandler </v>
      </c>
      <c r="H3736" s="24">
        <f>IFERROR(__xludf.DUMMYFUNCTION("""COMPUTED_VALUE"""),33.0)</f>
        <v>33</v>
      </c>
      <c r="I3736" s="24" t="str">
        <f>IFERROR(__xludf.DUMMYFUNCTION("""COMPUTED_VALUE"""),"Damage/expired/extra")</f>
        <v>Damage/expired/extra</v>
      </c>
    </row>
    <row r="3737">
      <c r="A3737" s="23">
        <f>IFERROR(__xludf.DUMMYFUNCTION("""COMPUTED_VALUE"""),44861.70667888889)</f>
        <v>44861.70668</v>
      </c>
      <c r="B3737" s="24" t="str">
        <f>IFERROR(__xludf.DUMMYFUNCTION("""COMPUTED_VALUE"""),"Hong")</f>
        <v>Hong</v>
      </c>
      <c r="C3737" s="24">
        <f>IFERROR(__xludf.DUMMYFUNCTION("""COMPUTED_VALUE"""),45.0)</f>
        <v>45</v>
      </c>
      <c r="D3737" s="24" t="str">
        <f>IFERROR(__xludf.DUMMYFUNCTION("""COMPUTED_VALUE"""),"Damage/expired/extra")</f>
        <v>Damage/expired/extra</v>
      </c>
      <c r="F3737" s="23">
        <f>IFERROR(__xludf.DUMMYFUNCTION("""COMPUTED_VALUE"""),44883.70423130787)</f>
        <v>44883.70423</v>
      </c>
      <c r="G3737" s="24" t="str">
        <f>IFERROR(__xludf.DUMMYFUNCTION("""COMPUTED_VALUE"""),"Sunita pathik")</f>
        <v>Sunita pathik</v>
      </c>
      <c r="H3737" s="24">
        <f>IFERROR(__xludf.DUMMYFUNCTION("""COMPUTED_VALUE"""),164.0)</f>
        <v>164</v>
      </c>
      <c r="I3737" s="24" t="str">
        <f>IFERROR(__xludf.DUMMYFUNCTION("""COMPUTED_VALUE"""),"Assorted Fridge")</f>
        <v>Assorted Fridge</v>
      </c>
    </row>
    <row r="3738">
      <c r="A3738" s="23">
        <f>IFERROR(__xludf.DUMMYFUNCTION("""COMPUTED_VALUE"""),44861.70704291666)</f>
        <v>44861.70704</v>
      </c>
      <c r="B3738" s="24" t="str">
        <f>IFERROR(__xludf.DUMMYFUNCTION("""COMPUTED_VALUE"""),"Hong")</f>
        <v>Hong</v>
      </c>
      <c r="C3738" s="24">
        <f>IFERROR(__xludf.DUMMYFUNCTION("""COMPUTED_VALUE"""),19.0)</f>
        <v>19</v>
      </c>
      <c r="D3738" s="24" t="str">
        <f>IFERROR(__xludf.DUMMYFUNCTION("""COMPUTED_VALUE"""),"Regular (up to 20lbs)")</f>
        <v>Regular (up to 20lbs)</v>
      </c>
      <c r="F3738" s="23">
        <f>IFERROR(__xludf.DUMMYFUNCTION("""COMPUTED_VALUE"""),44883.70468524306)</f>
        <v>44883.70469</v>
      </c>
      <c r="G3738" s="24" t="str">
        <f>IFERROR(__xludf.DUMMYFUNCTION("""COMPUTED_VALUE"""),"Sunita pathik")</f>
        <v>Sunita pathik</v>
      </c>
      <c r="H3738" s="24">
        <f>IFERROR(__xludf.DUMMYFUNCTION("""COMPUTED_VALUE"""),8.0)</f>
        <v>8</v>
      </c>
      <c r="I3738" s="24" t="str">
        <f>IFERROR(__xludf.DUMMYFUNCTION("""COMPUTED_VALUE"""),"Regular (up to 20lbs)")</f>
        <v>Regular (up to 20lbs)</v>
      </c>
    </row>
    <row r="3739">
      <c r="A3739" s="23">
        <f>IFERROR(__xludf.DUMMYFUNCTION("""COMPUTED_VALUE"""),44861.70741532407)</f>
        <v>44861.70742</v>
      </c>
      <c r="B3739" s="24" t="str">
        <f>IFERROR(__xludf.DUMMYFUNCTION("""COMPUTED_VALUE"""),"Denise")</f>
        <v>Denise</v>
      </c>
      <c r="C3739" s="24">
        <f>IFERROR(__xludf.DUMMYFUNCTION("""COMPUTED_VALUE"""),29.0)</f>
        <v>29</v>
      </c>
      <c r="D3739" s="24" t="str">
        <f>IFERROR(__xludf.DUMMYFUNCTION("""COMPUTED_VALUE"""),"Regular (up to 20lbs)")</f>
        <v>Regular (up to 20lbs)</v>
      </c>
      <c r="F3739" s="23">
        <f>IFERROR(__xludf.DUMMYFUNCTION("""COMPUTED_VALUE"""),44883.711555960654)</f>
        <v>44883.71156</v>
      </c>
      <c r="G3739" s="24" t="str">
        <f>IFERROR(__xludf.DUMMYFUNCTION("""COMPUTED_VALUE"""),"Juanita Chandler ")</f>
        <v>Juanita Chandler </v>
      </c>
      <c r="H3739" s="24">
        <f>IFERROR(__xludf.DUMMYFUNCTION("""COMPUTED_VALUE"""),14.0)</f>
        <v>14</v>
      </c>
      <c r="I3739" s="24" t="str">
        <f>IFERROR(__xludf.DUMMYFUNCTION("""COMPUTED_VALUE"""),"Regular (up to 20lbs)")</f>
        <v>Regular (up to 20lbs)</v>
      </c>
    </row>
    <row r="3740">
      <c r="A3740" s="23">
        <f>IFERROR(__xludf.DUMMYFUNCTION("""COMPUTED_VALUE"""),44861.707903194445)</f>
        <v>44861.7079</v>
      </c>
      <c r="B3740" s="24" t="str">
        <f>IFERROR(__xludf.DUMMYFUNCTION("""COMPUTED_VALUE"""),"Denise")</f>
        <v>Denise</v>
      </c>
      <c r="C3740" s="24">
        <f>IFERROR(__xludf.DUMMYFUNCTION("""COMPUTED_VALUE"""),14.0)</f>
        <v>14</v>
      </c>
      <c r="D3740" s="24" t="str">
        <f>IFERROR(__xludf.DUMMYFUNCTION("""COMPUTED_VALUE"""),"Damage/expired/extra")</f>
        <v>Damage/expired/extra</v>
      </c>
      <c r="F3740" s="23">
        <f>IFERROR(__xludf.DUMMYFUNCTION("""COMPUTED_VALUE"""),44884.0)</f>
        <v>44884</v>
      </c>
      <c r="G3740" s="24" t="str">
        <f>IFERROR(__xludf.DUMMYFUNCTION("""COMPUTED_VALUE"""),"Claire")</f>
        <v>Claire</v>
      </c>
      <c r="H3740" s="24">
        <f>IFERROR(__xludf.DUMMYFUNCTION("""COMPUTED_VALUE"""),491.0)</f>
        <v>491</v>
      </c>
      <c r="I3740" s="24" t="str">
        <f>IFERROR(__xludf.DUMMYFUNCTION("""COMPUTED_VALUE"""),"Produce")</f>
        <v>Produce</v>
      </c>
    </row>
    <row r="3741">
      <c r="A3741" s="23">
        <f>IFERROR(__xludf.DUMMYFUNCTION("""COMPUTED_VALUE"""),44861.0)</f>
        <v>44861</v>
      </c>
      <c r="B3741" s="24" t="str">
        <f>IFERROR(__xludf.DUMMYFUNCTION("""COMPUTED_VALUE"""),"Melissa Thomas")</f>
        <v>Melissa Thomas</v>
      </c>
      <c r="C3741" s="24">
        <f>IFERROR(__xludf.DUMMYFUNCTION("""COMPUTED_VALUE"""),20.0)</f>
        <v>20</v>
      </c>
      <c r="D3741" s="24" t="str">
        <f>IFERROR(__xludf.DUMMYFUNCTION("""COMPUTED_VALUE"""),"Regular (up to 20lbs)")</f>
        <v>Regular (up to 20lbs)</v>
      </c>
      <c r="F3741" s="23">
        <f>IFERROR(__xludf.DUMMYFUNCTION("""COMPUTED_VALUE"""),44884.0)</f>
        <v>44884</v>
      </c>
      <c r="G3741" s="24" t="str">
        <f>IFERROR(__xludf.DUMMYFUNCTION("""COMPUTED_VALUE"""),"Claire")</f>
        <v>Claire</v>
      </c>
      <c r="H3741" s="24">
        <f>IFERROR(__xludf.DUMMYFUNCTION("""COMPUTED_VALUE"""),695.0)</f>
        <v>695</v>
      </c>
      <c r="I3741" s="24" t="str">
        <f>IFERROR(__xludf.DUMMYFUNCTION("""COMPUTED_VALUE"""),"Produce")</f>
        <v>Produce</v>
      </c>
    </row>
    <row r="3742">
      <c r="A3742" s="23">
        <f>IFERROR(__xludf.DUMMYFUNCTION("""COMPUTED_VALUE"""),44861.0)</f>
        <v>44861</v>
      </c>
      <c r="B3742" s="24" t="str">
        <f>IFERROR(__xludf.DUMMYFUNCTION("""COMPUTED_VALUE"""),"Julia Buckson")</f>
        <v>Julia Buckson</v>
      </c>
      <c r="C3742" s="24">
        <f>IFERROR(__xludf.DUMMYFUNCTION("""COMPUTED_VALUE"""),1.0)</f>
        <v>1</v>
      </c>
      <c r="D3742" s="24" t="str">
        <f>IFERROR(__xludf.DUMMYFUNCTION("""COMPUTED_VALUE"""),"Regular (up to 20lbs)")</f>
        <v>Regular (up to 20lbs)</v>
      </c>
      <c r="F3742" s="23">
        <f>IFERROR(__xludf.DUMMYFUNCTION("""COMPUTED_VALUE"""),44884.0)</f>
        <v>44884</v>
      </c>
      <c r="G3742" s="24" t="str">
        <f>IFERROR(__xludf.DUMMYFUNCTION("""COMPUTED_VALUE"""),"Claire")</f>
        <v>Claire</v>
      </c>
      <c r="H3742" s="24">
        <f>IFERROR(__xludf.DUMMYFUNCTION("""COMPUTED_VALUE"""),876.0)</f>
        <v>876</v>
      </c>
      <c r="I3742" s="24" t="str">
        <f>IFERROR(__xludf.DUMMYFUNCTION("""COMPUTED_VALUE"""),"Frozen [Not Meat]")</f>
        <v>Frozen [Not Meat]</v>
      </c>
    </row>
    <row r="3743">
      <c r="A3743" s="23">
        <f>IFERROR(__xludf.DUMMYFUNCTION("""COMPUTED_VALUE"""),44861.0)</f>
        <v>44861</v>
      </c>
      <c r="B3743" s="24" t="str">
        <f>IFERROR(__xludf.DUMMYFUNCTION("""COMPUTED_VALUE"""),"Julia Buckson")</f>
        <v>Julia Buckson</v>
      </c>
      <c r="C3743" s="24">
        <f>IFERROR(__xludf.DUMMYFUNCTION("""COMPUTED_VALUE"""),18.0)</f>
        <v>18</v>
      </c>
      <c r="D3743" s="24" t="str">
        <f>IFERROR(__xludf.DUMMYFUNCTION("""COMPUTED_VALUE"""),"Damage/expired/extra")</f>
        <v>Damage/expired/extra</v>
      </c>
      <c r="F3743" s="23">
        <f>IFERROR(__xludf.DUMMYFUNCTION("""COMPUTED_VALUE"""),44884.0)</f>
        <v>44884</v>
      </c>
      <c r="G3743" s="24" t="str">
        <f>IFERROR(__xludf.DUMMYFUNCTION("""COMPUTED_VALUE"""),"Claire")</f>
        <v>Claire</v>
      </c>
      <c r="H3743" s="24">
        <f>IFERROR(__xludf.DUMMYFUNCTION("""COMPUTED_VALUE"""),-120.0)</f>
        <v>-120</v>
      </c>
      <c r="I3743" s="24" t="str">
        <f>IFERROR(__xludf.DUMMYFUNCTION("""COMPUTED_VALUE"""),"Produce")</f>
        <v>Produce</v>
      </c>
    </row>
    <row r="3744">
      <c r="A3744" s="23">
        <f>IFERROR(__xludf.DUMMYFUNCTION("""COMPUTED_VALUE"""),44861.0)</f>
        <v>44861</v>
      </c>
      <c r="B3744" s="24" t="str">
        <f>IFERROR(__xludf.DUMMYFUNCTION("""COMPUTED_VALUE"""),"Aziza Frank")</f>
        <v>Aziza Frank</v>
      </c>
      <c r="C3744" s="24">
        <f>IFERROR(__xludf.DUMMYFUNCTION("""COMPUTED_VALUE"""),20.0)</f>
        <v>20</v>
      </c>
      <c r="D3744" s="24" t="str">
        <f>IFERROR(__xludf.DUMMYFUNCTION("""COMPUTED_VALUE"""),"Regular (up to 20lbs)")</f>
        <v>Regular (up to 20lbs)</v>
      </c>
      <c r="F3744" s="23">
        <f>IFERROR(__xludf.DUMMYFUNCTION("""COMPUTED_VALUE"""),44884.0)</f>
        <v>44884</v>
      </c>
      <c r="G3744" s="24" t="str">
        <f>IFERROR(__xludf.DUMMYFUNCTION("""COMPUTED_VALUE"""),"Juanita Chandler ")</f>
        <v>Juanita Chandler </v>
      </c>
      <c r="H3744" s="24">
        <f>IFERROR(__xludf.DUMMYFUNCTION("""COMPUTED_VALUE"""),15.0)</f>
        <v>15</v>
      </c>
      <c r="I3744" s="24" t="str">
        <f>IFERROR(__xludf.DUMMYFUNCTION("""COMPUTED_VALUE"""),"Regular (up to 20lbs)")</f>
        <v>Regular (up to 20lbs)</v>
      </c>
    </row>
    <row r="3745">
      <c r="A3745" s="23">
        <f>IFERROR(__xludf.DUMMYFUNCTION("""COMPUTED_VALUE"""),44861.0)</f>
        <v>44861</v>
      </c>
      <c r="B3745" s="24" t="str">
        <f>IFERROR(__xludf.DUMMYFUNCTION("""COMPUTED_VALUE"""),"Aziza Frank")</f>
        <v>Aziza Frank</v>
      </c>
      <c r="C3745" s="24">
        <f>IFERROR(__xludf.DUMMYFUNCTION("""COMPUTED_VALUE"""),3.0)</f>
        <v>3</v>
      </c>
      <c r="D3745" s="24" t="str">
        <f>IFERROR(__xludf.DUMMYFUNCTION("""COMPUTED_VALUE"""),"Damage/expired/extra")</f>
        <v>Damage/expired/extra</v>
      </c>
      <c r="F3745" s="23">
        <f>IFERROR(__xludf.DUMMYFUNCTION("""COMPUTED_VALUE"""),44884.0)</f>
        <v>44884</v>
      </c>
      <c r="G3745" s="24" t="str">
        <f>IFERROR(__xludf.DUMMYFUNCTION("""COMPUTED_VALUE"""),"Juanita Chandler ")</f>
        <v>Juanita Chandler </v>
      </c>
      <c r="H3745" s="24">
        <f>IFERROR(__xludf.DUMMYFUNCTION("""COMPUTED_VALUE"""),9.0)</f>
        <v>9</v>
      </c>
      <c r="I3745" s="24" t="str">
        <f>IFERROR(__xludf.DUMMYFUNCTION("""COMPUTED_VALUE"""),"Damage/expired/extra")</f>
        <v>Damage/expired/extra</v>
      </c>
    </row>
    <row r="3746">
      <c r="A3746" s="23">
        <f>IFERROR(__xludf.DUMMYFUNCTION("""COMPUTED_VALUE"""),44861.0)</f>
        <v>44861</v>
      </c>
      <c r="B3746" s="24" t="str">
        <f>IFERROR(__xludf.DUMMYFUNCTION("""COMPUTED_VALUE"""),"Raquel Bailey")</f>
        <v>Raquel Bailey</v>
      </c>
      <c r="C3746" s="24">
        <f>IFERROR(__xludf.DUMMYFUNCTION("""COMPUTED_VALUE"""),20.0)</f>
        <v>20</v>
      </c>
      <c r="D3746" s="24" t="str">
        <f>IFERROR(__xludf.DUMMYFUNCTION("""COMPUTED_VALUE"""),"Regular (up to 20lbs)")</f>
        <v>Regular (up to 20lbs)</v>
      </c>
      <c r="F3746" s="23">
        <f>IFERROR(__xludf.DUMMYFUNCTION("""COMPUTED_VALUE"""),44884.0)</f>
        <v>44884</v>
      </c>
      <c r="G3746" s="24" t="str">
        <f>IFERROR(__xludf.DUMMYFUNCTION("""COMPUTED_VALUE"""),"Malik Grace")</f>
        <v>Malik Grace</v>
      </c>
      <c r="H3746" s="24">
        <f>IFERROR(__xludf.DUMMYFUNCTION("""COMPUTED_VALUE"""),10.0)</f>
        <v>10</v>
      </c>
      <c r="I3746" s="24" t="str">
        <f>IFERROR(__xludf.DUMMYFUNCTION("""COMPUTED_VALUE"""),"Regular (up to 20lbs)")</f>
        <v>Regular (up to 20lbs)</v>
      </c>
    </row>
    <row r="3747">
      <c r="A3747" s="23">
        <f>IFERROR(__xludf.DUMMYFUNCTION("""COMPUTED_VALUE"""),44861.0)</f>
        <v>44861</v>
      </c>
      <c r="B3747" s="24" t="str">
        <f>IFERROR(__xludf.DUMMYFUNCTION("""COMPUTED_VALUE"""),"Raquel Bailey")</f>
        <v>Raquel Bailey</v>
      </c>
      <c r="C3747" s="24">
        <f>IFERROR(__xludf.DUMMYFUNCTION("""COMPUTED_VALUE"""),3.0)</f>
        <v>3</v>
      </c>
      <c r="D3747" s="24" t="str">
        <f>IFERROR(__xludf.DUMMYFUNCTION("""COMPUTED_VALUE"""),"Damage/expired/extra")</f>
        <v>Damage/expired/extra</v>
      </c>
      <c r="F3747" s="23">
        <f>IFERROR(__xludf.DUMMYFUNCTION("""COMPUTED_VALUE"""),44884.0)</f>
        <v>44884</v>
      </c>
      <c r="G3747" s="24" t="str">
        <f>IFERROR(__xludf.DUMMYFUNCTION("""COMPUTED_VALUE"""),"Malik Grace")</f>
        <v>Malik Grace</v>
      </c>
      <c r="H3747" s="24">
        <f>IFERROR(__xludf.DUMMYFUNCTION("""COMPUTED_VALUE"""),2.0)</f>
        <v>2</v>
      </c>
      <c r="I3747" s="24" t="str">
        <f>IFERROR(__xludf.DUMMYFUNCTION("""COMPUTED_VALUE"""),"Damage/expired/extra")</f>
        <v>Damage/expired/extra</v>
      </c>
    </row>
    <row r="3748">
      <c r="A3748" s="23">
        <f>IFERROR(__xludf.DUMMYFUNCTION("""COMPUTED_VALUE"""),44861.0)</f>
        <v>44861</v>
      </c>
      <c r="B3748" s="24" t="str">
        <f>IFERROR(__xludf.DUMMYFUNCTION("""COMPUTED_VALUE"""),"Sheneil Black")</f>
        <v>Sheneil Black</v>
      </c>
      <c r="C3748" s="24">
        <f>IFERROR(__xludf.DUMMYFUNCTION("""COMPUTED_VALUE"""),15.0)</f>
        <v>15</v>
      </c>
      <c r="D3748" s="24" t="str">
        <f>IFERROR(__xludf.DUMMYFUNCTION("""COMPUTED_VALUE"""),"Regular (up to 20lbs)")</f>
        <v>Regular (up to 20lbs)</v>
      </c>
      <c r="F3748" s="23">
        <f>IFERROR(__xludf.DUMMYFUNCTION("""COMPUTED_VALUE"""),44884.0)</f>
        <v>44884</v>
      </c>
      <c r="G3748" s="24" t="str">
        <f>IFERROR(__xludf.DUMMYFUNCTION("""COMPUTED_VALUE"""),"Iyana Gross")</f>
        <v>Iyana Gross</v>
      </c>
      <c r="H3748" s="24">
        <f>IFERROR(__xludf.DUMMYFUNCTION("""COMPUTED_VALUE"""),15.0)</f>
        <v>15</v>
      </c>
      <c r="I3748" s="24" t="str">
        <f>IFERROR(__xludf.DUMMYFUNCTION("""COMPUTED_VALUE"""),"Regular (up to 20lbs)")</f>
        <v>Regular (up to 20lbs)</v>
      </c>
    </row>
    <row r="3749">
      <c r="A3749" s="23">
        <f>IFERROR(__xludf.DUMMYFUNCTION("""COMPUTED_VALUE"""),44861.0)</f>
        <v>44861</v>
      </c>
      <c r="B3749" s="24" t="str">
        <f>IFERROR(__xludf.DUMMYFUNCTION("""COMPUTED_VALUE"""),"Nathaniel McClean")</f>
        <v>Nathaniel McClean</v>
      </c>
      <c r="C3749" s="24">
        <f>IFERROR(__xludf.DUMMYFUNCTION("""COMPUTED_VALUE"""),19.0)</f>
        <v>19</v>
      </c>
      <c r="D3749" s="24" t="str">
        <f>IFERROR(__xludf.DUMMYFUNCTION("""COMPUTED_VALUE"""),"Regular (up to 20lbs)")</f>
        <v>Regular (up to 20lbs)</v>
      </c>
      <c r="F3749" s="23">
        <f>IFERROR(__xludf.DUMMYFUNCTION("""COMPUTED_VALUE"""),44884.0)</f>
        <v>44884</v>
      </c>
      <c r="G3749" s="24" t="str">
        <f>IFERROR(__xludf.DUMMYFUNCTION("""COMPUTED_VALUE"""),"Angeles Cortes")</f>
        <v>Angeles Cortes</v>
      </c>
      <c r="H3749" s="24">
        <f>IFERROR(__xludf.DUMMYFUNCTION("""COMPUTED_VALUE"""),20.0)</f>
        <v>20</v>
      </c>
      <c r="I3749" s="24" t="str">
        <f>IFERROR(__xludf.DUMMYFUNCTION("""COMPUTED_VALUE"""),"Regular (up to 20lbs)")</f>
        <v>Regular (up to 20lbs)</v>
      </c>
    </row>
    <row r="3750">
      <c r="A3750" s="23">
        <f>IFERROR(__xludf.DUMMYFUNCTION("""COMPUTED_VALUE"""),44861.0)</f>
        <v>44861</v>
      </c>
      <c r="B3750" s="24" t="str">
        <f>IFERROR(__xludf.DUMMYFUNCTION("""COMPUTED_VALUE"""),"Nathaniel McClean")</f>
        <v>Nathaniel McClean</v>
      </c>
      <c r="C3750" s="24">
        <f>IFERROR(__xludf.DUMMYFUNCTION("""COMPUTED_VALUE"""),8.0)</f>
        <v>8</v>
      </c>
      <c r="D3750" s="24" t="str">
        <f>IFERROR(__xludf.DUMMYFUNCTION("""COMPUTED_VALUE"""),"Damage/expired/extra")</f>
        <v>Damage/expired/extra</v>
      </c>
      <c r="F3750" s="23">
        <f>IFERROR(__xludf.DUMMYFUNCTION("""COMPUTED_VALUE"""),44884.0)</f>
        <v>44884</v>
      </c>
      <c r="G3750" s="24" t="str">
        <f>IFERROR(__xludf.DUMMYFUNCTION("""COMPUTED_VALUE"""),"Angeles Cortes")</f>
        <v>Angeles Cortes</v>
      </c>
      <c r="H3750" s="24">
        <f>IFERROR(__xludf.DUMMYFUNCTION("""COMPUTED_VALUE"""),4.0)</f>
        <v>4</v>
      </c>
      <c r="I3750" s="24" t="str">
        <f>IFERROR(__xludf.DUMMYFUNCTION("""COMPUTED_VALUE"""),"Damage/expired/extra")</f>
        <v>Damage/expired/extra</v>
      </c>
    </row>
    <row r="3751">
      <c r="A3751" s="23">
        <f>IFERROR(__xludf.DUMMYFUNCTION("""COMPUTED_VALUE"""),44862.600988148144)</f>
        <v>44862.60099</v>
      </c>
      <c r="B3751" s="24" t="str">
        <f>IFERROR(__xludf.DUMMYFUNCTION("""COMPUTED_VALUE"""),"Jean")</f>
        <v>Jean</v>
      </c>
      <c r="C3751" s="24">
        <f>IFERROR(__xludf.DUMMYFUNCTION("""COMPUTED_VALUE"""),8.0)</f>
        <v>8</v>
      </c>
      <c r="D3751" s="24" t="str">
        <f>IFERROR(__xludf.DUMMYFUNCTION("""COMPUTED_VALUE"""),"Regular (up to 20lbs)")</f>
        <v>Regular (up to 20lbs)</v>
      </c>
      <c r="F3751" s="23">
        <f>IFERROR(__xludf.DUMMYFUNCTION("""COMPUTED_VALUE"""),44884.0)</f>
        <v>44884</v>
      </c>
      <c r="G3751" s="24" t="str">
        <f>IFERROR(__xludf.DUMMYFUNCTION("""COMPUTED_VALUE"""),"Rawan Elshobaky")</f>
        <v>Rawan Elshobaky</v>
      </c>
      <c r="H3751" s="24">
        <f>IFERROR(__xludf.DUMMYFUNCTION("""COMPUTED_VALUE"""),1.0)</f>
        <v>1</v>
      </c>
      <c r="I3751" s="24" t="str">
        <f>IFERROR(__xludf.DUMMYFUNCTION("""COMPUTED_VALUE"""),"Damage/expired/extra")</f>
        <v>Damage/expired/extra</v>
      </c>
    </row>
    <row r="3752">
      <c r="A3752" s="23">
        <f>IFERROR(__xludf.DUMMYFUNCTION("""COMPUTED_VALUE"""),44862.6562497338)</f>
        <v>44862.65625</v>
      </c>
      <c r="B3752" s="24" t="str">
        <f>IFERROR(__xludf.DUMMYFUNCTION("""COMPUTED_VALUE"""),"Raymond Gong")</f>
        <v>Raymond Gong</v>
      </c>
      <c r="C3752" s="24">
        <f>IFERROR(__xludf.DUMMYFUNCTION("""COMPUTED_VALUE"""),7.0)</f>
        <v>7</v>
      </c>
      <c r="D3752" s="24" t="str">
        <f>IFERROR(__xludf.DUMMYFUNCTION("""COMPUTED_VALUE"""),"Regular (up to 20lbs)")</f>
        <v>Regular (up to 20lbs)</v>
      </c>
      <c r="F3752" s="23">
        <f>IFERROR(__xludf.DUMMYFUNCTION("""COMPUTED_VALUE"""),44884.51884295139)</f>
        <v>44884.51884</v>
      </c>
      <c r="G3752" s="24" t="str">
        <f>IFERROR(__xludf.DUMMYFUNCTION("""COMPUTED_VALUE"""),"Beverly Pinn")</f>
        <v>Beverly Pinn</v>
      </c>
      <c r="H3752" s="24">
        <f>IFERROR(__xludf.DUMMYFUNCTION("""COMPUTED_VALUE"""),491.0)</f>
        <v>491</v>
      </c>
      <c r="I3752" s="24" t="str">
        <f>IFERROR(__xludf.DUMMYFUNCTION("""COMPUTED_VALUE"""),"First Fruits Farm")</f>
        <v>First Fruits Farm</v>
      </c>
    </row>
    <row r="3753">
      <c r="A3753" s="23">
        <f>IFERROR(__xludf.DUMMYFUNCTION("""COMPUTED_VALUE"""),44862.65657987269)</f>
        <v>44862.65658</v>
      </c>
      <c r="B3753" s="24" t="str">
        <f>IFERROR(__xludf.DUMMYFUNCTION("""COMPUTED_VALUE"""),"Maria Reyes ")</f>
        <v>Maria Reyes </v>
      </c>
      <c r="C3753" s="24">
        <f>IFERROR(__xludf.DUMMYFUNCTION("""COMPUTED_VALUE"""),13.0)</f>
        <v>13</v>
      </c>
      <c r="D3753" s="24" t="str">
        <f>IFERROR(__xludf.DUMMYFUNCTION("""COMPUTED_VALUE"""),"Regular (up to 20lbs)")</f>
        <v>Regular (up to 20lbs)</v>
      </c>
      <c r="F3753" s="23">
        <f>IFERROR(__xludf.DUMMYFUNCTION("""COMPUTED_VALUE"""),44884.51917957176)</f>
        <v>44884.51918</v>
      </c>
      <c r="G3753" s="24" t="str">
        <f>IFERROR(__xludf.DUMMYFUNCTION("""COMPUTED_VALUE"""),"Beverly Pinn")</f>
        <v>Beverly Pinn</v>
      </c>
      <c r="H3753" s="24">
        <f>IFERROR(__xludf.DUMMYFUNCTION("""COMPUTED_VALUE"""),1460.0)</f>
        <v>1460</v>
      </c>
      <c r="I3753" s="24" t="str">
        <f>IFERROR(__xludf.DUMMYFUNCTION("""COMPUTED_VALUE"""),"First Fruits Farm")</f>
        <v>First Fruits Farm</v>
      </c>
    </row>
    <row r="3754">
      <c r="A3754" s="23">
        <f>IFERROR(__xludf.DUMMYFUNCTION("""COMPUTED_VALUE"""),44862.65660934028)</f>
        <v>44862.65661</v>
      </c>
      <c r="B3754" s="24" t="str">
        <f>IFERROR(__xludf.DUMMYFUNCTION("""COMPUTED_VALUE"""),"Raymond Gong")</f>
        <v>Raymond Gong</v>
      </c>
      <c r="C3754" s="24">
        <f>IFERROR(__xludf.DUMMYFUNCTION("""COMPUTED_VALUE"""),5.0)</f>
        <v>5</v>
      </c>
      <c r="D3754" s="24" t="str">
        <f>IFERROR(__xludf.DUMMYFUNCTION("""COMPUTED_VALUE"""),"Damage/expired/extra")</f>
        <v>Damage/expired/extra</v>
      </c>
      <c r="F3754" s="23">
        <f>IFERROR(__xludf.DUMMYFUNCTION("""COMPUTED_VALUE"""),44884.52000827547)</f>
        <v>44884.52001</v>
      </c>
      <c r="G3754" s="24" t="str">
        <f>IFERROR(__xludf.DUMMYFUNCTION("""COMPUTED_VALUE"""),"Beverly Pinn")</f>
        <v>Beverly Pinn</v>
      </c>
      <c r="H3754" s="24">
        <f>IFERROR(__xludf.DUMMYFUNCTION("""COMPUTED_VALUE"""),695.0)</f>
        <v>695</v>
      </c>
      <c r="I3754" s="24" t="str">
        <f>IFERROR(__xludf.DUMMYFUNCTION("""COMPUTED_VALUE"""),"First Fruits Farm")</f>
        <v>First Fruits Farm</v>
      </c>
    </row>
    <row r="3755">
      <c r="A3755" s="23">
        <f>IFERROR(__xludf.DUMMYFUNCTION("""COMPUTED_VALUE"""),44862.6567377199)</f>
        <v>44862.65674</v>
      </c>
      <c r="B3755" s="24" t="str">
        <f>IFERROR(__xludf.DUMMYFUNCTION("""COMPUTED_VALUE"""),"Maria Reyes ")</f>
        <v>Maria Reyes </v>
      </c>
      <c r="C3755" s="24">
        <f>IFERROR(__xludf.DUMMYFUNCTION("""COMPUTED_VALUE"""),5.0)</f>
        <v>5</v>
      </c>
      <c r="D3755" s="24" t="str">
        <f>IFERROR(__xludf.DUMMYFUNCTION("""COMPUTED_VALUE"""),"Damage/expired/extra")</f>
        <v>Damage/expired/extra</v>
      </c>
      <c r="F3755" s="23">
        <f>IFERROR(__xludf.DUMMYFUNCTION("""COMPUTED_VALUE"""),44884.70193254629)</f>
        <v>44884.70193</v>
      </c>
      <c r="G3755" s="24" t="str">
        <f>IFERROR(__xludf.DUMMYFUNCTION("""COMPUTED_VALUE"""),"Claire")</f>
        <v>Claire</v>
      </c>
      <c r="H3755" s="24">
        <f>IFERROR(__xludf.DUMMYFUNCTION("""COMPUTED_VALUE"""),1460.0)</f>
        <v>1460</v>
      </c>
      <c r="I3755" s="24" t="str">
        <f>IFERROR(__xludf.DUMMYFUNCTION("""COMPUTED_VALUE"""),"Produce")</f>
        <v>Produce</v>
      </c>
    </row>
    <row r="3756">
      <c r="A3756" s="23">
        <f>IFERROR(__xludf.DUMMYFUNCTION("""COMPUTED_VALUE"""),44862.66480103009)</f>
        <v>44862.6648</v>
      </c>
      <c r="B3756" s="24" t="str">
        <f>IFERROR(__xludf.DUMMYFUNCTION("""COMPUTED_VALUE"""),"Teresa  C")</f>
        <v>Teresa  C</v>
      </c>
      <c r="C3756" s="24">
        <f>IFERROR(__xludf.DUMMYFUNCTION("""COMPUTED_VALUE"""),18.0)</f>
        <v>18</v>
      </c>
      <c r="D3756" s="24" t="str">
        <f>IFERROR(__xludf.DUMMYFUNCTION("""COMPUTED_VALUE"""),"Regular (up to 20lbs)")</f>
        <v>Regular (up to 20lbs)</v>
      </c>
      <c r="F3756" s="23">
        <f>IFERROR(__xludf.DUMMYFUNCTION("""COMPUTED_VALUE"""),44884.70270357639)</f>
        <v>44884.7027</v>
      </c>
      <c r="G3756" s="24" t="str">
        <f>IFERROR(__xludf.DUMMYFUNCTION("""COMPUTED_VALUE"""),"Claire")</f>
        <v>Claire</v>
      </c>
      <c r="H3756" s="24">
        <f>IFERROR(__xludf.DUMMYFUNCTION("""COMPUTED_VALUE"""),1234.0)</f>
        <v>1234</v>
      </c>
      <c r="I3756" s="24" t="str">
        <f>IFERROR(__xludf.DUMMYFUNCTION("""COMPUTED_VALUE"""),"Fruit cups")</f>
        <v>Fruit cups</v>
      </c>
    </row>
    <row r="3757">
      <c r="A3757" s="23">
        <f>IFERROR(__xludf.DUMMYFUNCTION("""COMPUTED_VALUE"""),44862.66507538194)</f>
        <v>44862.66508</v>
      </c>
      <c r="B3757" s="24" t="str">
        <f>IFERROR(__xludf.DUMMYFUNCTION("""COMPUTED_VALUE"""),"Teresa C")</f>
        <v>Teresa C</v>
      </c>
      <c r="C3757" s="24">
        <f>IFERROR(__xludf.DUMMYFUNCTION("""COMPUTED_VALUE"""),3.0)</f>
        <v>3</v>
      </c>
      <c r="D3757" s="24" t="str">
        <f>IFERROR(__xludf.DUMMYFUNCTION("""COMPUTED_VALUE"""),"Damage/expired/extra")</f>
        <v>Damage/expired/extra</v>
      </c>
      <c r="F3757" s="23">
        <f>IFERROR(__xludf.DUMMYFUNCTION("""COMPUTED_VALUE"""),44884.70292038194)</f>
        <v>44884.70292</v>
      </c>
      <c r="G3757" s="24" t="str">
        <f>IFERROR(__xludf.DUMMYFUNCTION("""COMPUTED_VALUE"""),"Claire")</f>
        <v>Claire</v>
      </c>
      <c r="H3757" s="24">
        <f>IFERROR(__xludf.DUMMYFUNCTION("""COMPUTED_VALUE"""),964.0)</f>
        <v>964</v>
      </c>
      <c r="I3757" s="24" t="str">
        <f>IFERROR(__xludf.DUMMYFUNCTION("""COMPUTED_VALUE"""),"Fruit cups")</f>
        <v>Fruit cups</v>
      </c>
    </row>
    <row r="3758">
      <c r="A3758" s="23">
        <f>IFERROR(__xludf.DUMMYFUNCTION("""COMPUTED_VALUE"""),44862.665654791665)</f>
        <v>44862.66565</v>
      </c>
      <c r="B3758" s="24" t="str">
        <f>IFERROR(__xludf.DUMMYFUNCTION("""COMPUTED_VALUE"""),"Juanita Chandler ")</f>
        <v>Juanita Chandler </v>
      </c>
      <c r="C3758" s="24">
        <f>IFERROR(__xludf.DUMMYFUNCTION("""COMPUTED_VALUE"""),8.0)</f>
        <v>8</v>
      </c>
      <c r="D3758" s="24" t="str">
        <f>IFERROR(__xludf.DUMMYFUNCTION("""COMPUTED_VALUE"""),"Regular (up to 20lbs)")</f>
        <v>Regular (up to 20lbs)</v>
      </c>
      <c r="F3758" s="23">
        <f>IFERROR(__xludf.DUMMYFUNCTION("""COMPUTED_VALUE"""),44884.70319460648)</f>
        <v>44884.70319</v>
      </c>
      <c r="G3758" s="24" t="str">
        <f>IFERROR(__xludf.DUMMYFUNCTION("""COMPUTED_VALUE"""),"Claire")</f>
        <v>Claire</v>
      </c>
      <c r="H3758" s="24">
        <f>IFERROR(__xludf.DUMMYFUNCTION("""COMPUTED_VALUE"""),87.0)</f>
        <v>87</v>
      </c>
      <c r="I3758" s="24" t="str">
        <f>IFERROR(__xludf.DUMMYFUNCTION("""COMPUTED_VALUE"""),"Household")</f>
        <v>Household</v>
      </c>
    </row>
    <row r="3759">
      <c r="A3759" s="23">
        <f>IFERROR(__xludf.DUMMYFUNCTION("""COMPUTED_VALUE"""),44862.6659959375)</f>
        <v>44862.666</v>
      </c>
      <c r="B3759" s="24" t="str">
        <f>IFERROR(__xludf.DUMMYFUNCTION("""COMPUTED_VALUE"""),"Juanita Chandler ")</f>
        <v>Juanita Chandler </v>
      </c>
      <c r="C3759" s="24">
        <f>IFERROR(__xludf.DUMMYFUNCTION("""COMPUTED_VALUE"""),8.0)</f>
        <v>8</v>
      </c>
      <c r="D3759" s="24" t="str">
        <f>IFERROR(__xludf.DUMMYFUNCTION("""COMPUTED_VALUE"""),"Damage/expired/extra")</f>
        <v>Damage/expired/extra</v>
      </c>
      <c r="F3759" s="23">
        <f>IFERROR(__xludf.DUMMYFUNCTION("""COMPUTED_VALUE"""),44884.70338057871)</f>
        <v>44884.70338</v>
      </c>
      <c r="G3759" s="24" t="str">
        <f>IFERROR(__xludf.DUMMYFUNCTION("""COMPUTED_VALUE"""),"Claire")</f>
        <v>Claire</v>
      </c>
      <c r="H3759" s="24">
        <f>IFERROR(__xludf.DUMMYFUNCTION("""COMPUTED_VALUE"""),171.0)</f>
        <v>171</v>
      </c>
      <c r="I3759" s="24" t="str">
        <f>IFERROR(__xludf.DUMMYFUNCTION("""COMPUTED_VALUE"""),"Produce")</f>
        <v>Produce</v>
      </c>
    </row>
    <row r="3760">
      <c r="A3760" s="23">
        <f>IFERROR(__xludf.DUMMYFUNCTION("""COMPUTED_VALUE"""),44863.0)</f>
        <v>44863</v>
      </c>
      <c r="B3760" s="24" t="str">
        <f>IFERROR(__xludf.DUMMYFUNCTION("""COMPUTED_VALUE"""),"Ryan Murphy")</f>
        <v>Ryan Murphy</v>
      </c>
      <c r="C3760" s="24">
        <f>IFERROR(__xludf.DUMMYFUNCTION("""COMPUTED_VALUE"""),5.0)</f>
        <v>5</v>
      </c>
      <c r="D3760" s="24" t="str">
        <f>IFERROR(__xludf.DUMMYFUNCTION("""COMPUTED_VALUE"""),"Regular (up to 20lbs)")</f>
        <v>Regular (up to 20lbs)</v>
      </c>
      <c r="F3760" s="23">
        <f>IFERROR(__xludf.DUMMYFUNCTION("""COMPUTED_VALUE"""),44884.706963136574)</f>
        <v>44884.70696</v>
      </c>
      <c r="G3760" s="24" t="str">
        <f>IFERROR(__xludf.DUMMYFUNCTION("""COMPUTED_VALUE"""),"Elaineda Wilson")</f>
        <v>Elaineda Wilson</v>
      </c>
      <c r="H3760" s="24">
        <f>IFERROR(__xludf.DUMMYFUNCTION("""COMPUTED_VALUE"""),20.0)</f>
        <v>20</v>
      </c>
      <c r="I3760" s="24" t="str">
        <f>IFERROR(__xludf.DUMMYFUNCTION("""COMPUTED_VALUE"""),"Regular (up to 20lbs)")</f>
        <v>Regular (up to 20lbs)</v>
      </c>
    </row>
    <row r="3761">
      <c r="A3761" s="23">
        <f>IFERROR(__xludf.DUMMYFUNCTION("""COMPUTED_VALUE"""),44863.0)</f>
        <v>44863</v>
      </c>
      <c r="B3761" s="24" t="str">
        <f>IFERROR(__xludf.DUMMYFUNCTION("""COMPUTED_VALUE"""),"Beverly Pinn")</f>
        <v>Beverly Pinn</v>
      </c>
      <c r="C3761" s="24">
        <f>IFERROR(__xludf.DUMMYFUNCTION("""COMPUTED_VALUE"""),15.0)</f>
        <v>15</v>
      </c>
      <c r="D3761" s="24" t="str">
        <f>IFERROR(__xludf.DUMMYFUNCTION("""COMPUTED_VALUE"""),"Regular (up to 20lbs)")</f>
        <v>Regular (up to 20lbs)</v>
      </c>
      <c r="F3761" s="23">
        <f>IFERROR(__xludf.DUMMYFUNCTION("""COMPUTED_VALUE"""),44884.70918200231)</f>
        <v>44884.70918</v>
      </c>
      <c r="G3761" s="24" t="str">
        <f>IFERROR(__xludf.DUMMYFUNCTION("""COMPUTED_VALUE"""),"Amari")</f>
        <v>Amari</v>
      </c>
      <c r="H3761" s="24">
        <f>IFERROR(__xludf.DUMMYFUNCTION("""COMPUTED_VALUE"""),6.0)</f>
        <v>6</v>
      </c>
      <c r="I3761" s="24" t="str">
        <f>IFERROR(__xludf.DUMMYFUNCTION("""COMPUTED_VALUE"""),"Regular (up to 20lbs)")</f>
        <v>Regular (up to 20lbs)</v>
      </c>
    </row>
    <row r="3762">
      <c r="A3762" s="23">
        <f>IFERROR(__xludf.DUMMYFUNCTION("""COMPUTED_VALUE"""),44863.0)</f>
        <v>44863</v>
      </c>
      <c r="B3762" s="24" t="str">
        <f>IFERROR(__xludf.DUMMYFUNCTION("""COMPUTED_VALUE"""),"Janet Lomax")</f>
        <v>Janet Lomax</v>
      </c>
      <c r="C3762" s="24">
        <f>IFERROR(__xludf.DUMMYFUNCTION("""COMPUTED_VALUE"""),13.0)</f>
        <v>13</v>
      </c>
      <c r="D3762" s="24" t="str">
        <f>IFERROR(__xludf.DUMMYFUNCTION("""COMPUTED_VALUE"""),"Regular (up to 20lbs)")</f>
        <v>Regular (up to 20lbs)</v>
      </c>
      <c r="F3762" s="23">
        <f>IFERROR(__xludf.DUMMYFUNCTION("""COMPUTED_VALUE"""),44884.71353223379)</f>
        <v>44884.71353</v>
      </c>
      <c r="G3762" s="24" t="str">
        <f>IFERROR(__xludf.DUMMYFUNCTION("""COMPUTED_VALUE"""),"Emily Stucke")</f>
        <v>Emily Stucke</v>
      </c>
      <c r="H3762" s="24">
        <f>IFERROR(__xludf.DUMMYFUNCTION("""COMPUTED_VALUE"""),10.0)</f>
        <v>10</v>
      </c>
      <c r="I3762" s="24" t="str">
        <f>IFERROR(__xludf.DUMMYFUNCTION("""COMPUTED_VALUE"""),"Regular (up to 20lbs)")</f>
        <v>Regular (up to 20lbs)</v>
      </c>
    </row>
    <row r="3763">
      <c r="A3763" s="23">
        <f>IFERROR(__xludf.DUMMYFUNCTION("""COMPUTED_VALUE"""),44863.68036349537)</f>
        <v>44863.68036</v>
      </c>
      <c r="B3763" s="24" t="str">
        <f>IFERROR(__xludf.DUMMYFUNCTION("""COMPUTED_VALUE"""),"Nicolle diaz ")</f>
        <v>Nicolle diaz </v>
      </c>
      <c r="C3763" s="24">
        <f>IFERROR(__xludf.DUMMYFUNCTION("""COMPUTED_VALUE"""),13.0)</f>
        <v>13</v>
      </c>
      <c r="D3763" s="24" t="str">
        <f>IFERROR(__xludf.DUMMYFUNCTION("""COMPUTED_VALUE"""),"Regular (up to 20lbs)")</f>
        <v>Regular (up to 20lbs)</v>
      </c>
      <c r="F3763" s="23">
        <f>IFERROR(__xludf.DUMMYFUNCTION("""COMPUTED_VALUE"""),44884.714544768525)</f>
        <v>44884.71454</v>
      </c>
      <c r="G3763" s="24" t="str">
        <f>IFERROR(__xludf.DUMMYFUNCTION("""COMPUTED_VALUE"""),"Justin Zhong")</f>
        <v>Justin Zhong</v>
      </c>
      <c r="H3763" s="24">
        <f>IFERROR(__xludf.DUMMYFUNCTION("""COMPUTED_VALUE"""),15.0)</f>
        <v>15</v>
      </c>
      <c r="I3763" s="24" t="str">
        <f>IFERROR(__xludf.DUMMYFUNCTION("""COMPUTED_VALUE"""),"Regular (up to 20lbs)")</f>
        <v>Regular (up to 20lbs)</v>
      </c>
    </row>
    <row r="3764">
      <c r="A3764" s="23">
        <f>IFERROR(__xludf.DUMMYFUNCTION("""COMPUTED_VALUE"""),44863.682296087965)</f>
        <v>44863.6823</v>
      </c>
      <c r="B3764" s="24" t="str">
        <f>IFERROR(__xludf.DUMMYFUNCTION("""COMPUTED_VALUE"""),"Emily Engelbrecht-Wiggans ")</f>
        <v>Emily Engelbrecht-Wiggans </v>
      </c>
      <c r="C3764" s="24">
        <f>IFERROR(__xludf.DUMMYFUNCTION("""COMPUTED_VALUE"""),12.0)</f>
        <v>12</v>
      </c>
      <c r="D3764" s="24" t="str">
        <f>IFERROR(__xludf.DUMMYFUNCTION("""COMPUTED_VALUE"""),"Regular (up to 20lbs)")</f>
        <v>Regular (up to 20lbs)</v>
      </c>
      <c r="F3764" s="23">
        <f>IFERROR(__xludf.DUMMYFUNCTION("""COMPUTED_VALUE"""),44884.714824282404)</f>
        <v>44884.71482</v>
      </c>
      <c r="G3764" s="24" t="str">
        <f>IFERROR(__xludf.DUMMYFUNCTION("""COMPUTED_VALUE"""),"Rawan Elshobaky")</f>
        <v>Rawan Elshobaky</v>
      </c>
      <c r="H3764" s="24">
        <f>IFERROR(__xludf.DUMMYFUNCTION("""COMPUTED_VALUE"""),12.0)</f>
        <v>12</v>
      </c>
      <c r="I3764" s="24" t="str">
        <f>IFERROR(__xludf.DUMMYFUNCTION("""COMPUTED_VALUE"""),"Regular (up to 20lbs)")</f>
        <v>Regular (up to 20lbs)</v>
      </c>
    </row>
    <row r="3765">
      <c r="A3765" s="23">
        <f>IFERROR(__xludf.DUMMYFUNCTION("""COMPUTED_VALUE"""),44863.68255506944)</f>
        <v>44863.68256</v>
      </c>
      <c r="B3765" s="24" t="str">
        <f>IFERROR(__xludf.DUMMYFUNCTION("""COMPUTED_VALUE"""),"Nicolle diaz")</f>
        <v>Nicolle diaz</v>
      </c>
      <c r="C3765" s="24">
        <f>IFERROR(__xludf.DUMMYFUNCTION("""COMPUTED_VALUE"""),8.0)</f>
        <v>8</v>
      </c>
      <c r="D3765" s="24" t="str">
        <f>IFERROR(__xludf.DUMMYFUNCTION("""COMPUTED_VALUE"""),"Damage/expired/extra")</f>
        <v>Damage/expired/extra</v>
      </c>
      <c r="F3765" s="23">
        <f>IFERROR(__xludf.DUMMYFUNCTION("""COMPUTED_VALUE"""),44884.71498001157)</f>
        <v>44884.71498</v>
      </c>
      <c r="G3765" s="24" t="str">
        <f>IFERROR(__xludf.DUMMYFUNCTION("""COMPUTED_VALUE"""),"Claire")</f>
        <v>Claire</v>
      </c>
      <c r="H3765" s="24">
        <f>IFERROR(__xludf.DUMMYFUNCTION("""COMPUTED_VALUE"""),307.0)</f>
        <v>307</v>
      </c>
      <c r="I3765" s="24" t="str">
        <f>IFERROR(__xludf.DUMMYFUNCTION("""COMPUTED_VALUE"""),"Produce")</f>
        <v>Produce</v>
      </c>
    </row>
    <row r="3766">
      <c r="A3766" s="23">
        <f>IFERROR(__xludf.DUMMYFUNCTION("""COMPUTED_VALUE"""),44863.687138726855)</f>
        <v>44863.68714</v>
      </c>
      <c r="B3766" s="24" t="str">
        <f>IFERROR(__xludf.DUMMYFUNCTION("""COMPUTED_VALUE"""),"Naomi Johnson-Smith")</f>
        <v>Naomi Johnson-Smith</v>
      </c>
      <c r="C3766" s="24">
        <f>IFERROR(__xludf.DUMMYFUNCTION("""COMPUTED_VALUE"""),15.0)</f>
        <v>15</v>
      </c>
      <c r="D3766" s="24" t="str">
        <f>IFERROR(__xludf.DUMMYFUNCTION("""COMPUTED_VALUE"""),"Regular (up to 20lbs)")</f>
        <v>Regular (up to 20lbs)</v>
      </c>
      <c r="F3766" s="23">
        <f>IFERROR(__xludf.DUMMYFUNCTION("""COMPUTED_VALUE"""),44884.71566372685)</f>
        <v>44884.71566</v>
      </c>
      <c r="G3766" s="24" t="str">
        <f>IFERROR(__xludf.DUMMYFUNCTION("""COMPUTED_VALUE"""),"Ritwik Raj")</f>
        <v>Ritwik Raj</v>
      </c>
      <c r="H3766" s="24">
        <f>IFERROR(__xludf.DUMMYFUNCTION("""COMPUTED_VALUE"""),6.0)</f>
        <v>6</v>
      </c>
      <c r="I3766" s="24" t="str">
        <f>IFERROR(__xludf.DUMMYFUNCTION("""COMPUTED_VALUE"""),"Regular (up to 20lbs)")</f>
        <v>Regular (up to 20lbs)</v>
      </c>
    </row>
    <row r="3767">
      <c r="A3767" s="23">
        <f>IFERROR(__xludf.DUMMYFUNCTION("""COMPUTED_VALUE"""),44863.68767990741)</f>
        <v>44863.68768</v>
      </c>
      <c r="B3767" s="24" t="str">
        <f>IFERROR(__xludf.DUMMYFUNCTION("""COMPUTED_VALUE"""),"Sara B. ")</f>
        <v>Sara B. </v>
      </c>
      <c r="C3767" s="24">
        <f>IFERROR(__xludf.DUMMYFUNCTION("""COMPUTED_VALUE"""),6.0)</f>
        <v>6</v>
      </c>
      <c r="D3767" s="24" t="str">
        <f>IFERROR(__xludf.DUMMYFUNCTION("""COMPUTED_VALUE"""),"Regular (up to 20lbs)")</f>
        <v>Regular (up to 20lbs)</v>
      </c>
      <c r="F3767" s="23">
        <f>IFERROR(__xludf.DUMMYFUNCTION("""COMPUTED_VALUE"""),44884.71568188658)</f>
        <v>44884.71568</v>
      </c>
      <c r="G3767" s="24" t="str">
        <f>IFERROR(__xludf.DUMMYFUNCTION("""COMPUTED_VALUE"""),"Claire")</f>
        <v>Claire</v>
      </c>
      <c r="H3767" s="24">
        <f>IFERROR(__xludf.DUMMYFUNCTION("""COMPUTED_VALUE"""),620.0)</f>
        <v>620</v>
      </c>
      <c r="I3767" s="24" t="str">
        <f>IFERROR(__xludf.DUMMYFUNCTION("""COMPUTED_VALUE"""),"Produce")</f>
        <v>Produce</v>
      </c>
    </row>
    <row r="3768">
      <c r="A3768" s="23">
        <f>IFERROR(__xludf.DUMMYFUNCTION("""COMPUTED_VALUE"""),44863.69257532407)</f>
        <v>44863.69258</v>
      </c>
      <c r="B3768" s="24" t="str">
        <f>IFERROR(__xludf.DUMMYFUNCTION("""COMPUTED_VALUE"""),"Kianna Wills")</f>
        <v>Kianna Wills</v>
      </c>
      <c r="C3768" s="24">
        <f>IFERROR(__xludf.DUMMYFUNCTION("""COMPUTED_VALUE"""),14.0)</f>
        <v>14</v>
      </c>
      <c r="D3768" s="24" t="str">
        <f>IFERROR(__xludf.DUMMYFUNCTION("""COMPUTED_VALUE"""),"Regular (up to 20lbs)")</f>
        <v>Regular (up to 20lbs)</v>
      </c>
      <c r="F3768" s="23">
        <f>IFERROR(__xludf.DUMMYFUNCTION("""COMPUTED_VALUE"""),44884.71594734954)</f>
        <v>44884.71595</v>
      </c>
      <c r="G3768" s="24" t="str">
        <f>IFERROR(__xludf.DUMMYFUNCTION("""COMPUTED_VALUE"""),"Claire")</f>
        <v>Claire</v>
      </c>
      <c r="H3768" s="24">
        <f>IFERROR(__xludf.DUMMYFUNCTION("""COMPUTED_VALUE"""),108.0)</f>
        <v>108</v>
      </c>
      <c r="I3768" s="24" t="str">
        <f>IFERROR(__xludf.DUMMYFUNCTION("""COMPUTED_VALUE"""),"Snacks")</f>
        <v>Snacks</v>
      </c>
    </row>
    <row r="3769">
      <c r="A3769" s="23">
        <f>IFERROR(__xludf.DUMMYFUNCTION("""COMPUTED_VALUE"""),44863.69415891203)</f>
        <v>44863.69416</v>
      </c>
      <c r="B3769" s="24" t="str">
        <f>IFERROR(__xludf.DUMMYFUNCTION("""COMPUTED_VALUE"""),"Jaydan Ziglar")</f>
        <v>Jaydan Ziglar</v>
      </c>
      <c r="C3769" s="24">
        <f>IFERROR(__xludf.DUMMYFUNCTION("""COMPUTED_VALUE"""),7.0)</f>
        <v>7</v>
      </c>
      <c r="D3769" s="24" t="str">
        <f>IFERROR(__xludf.DUMMYFUNCTION("""COMPUTED_VALUE"""),"Regular (up to 20lbs)")</f>
        <v>Regular (up to 20lbs)</v>
      </c>
      <c r="F3769" s="23">
        <f>IFERROR(__xludf.DUMMYFUNCTION("""COMPUTED_VALUE"""),44884.71609350695)</f>
        <v>44884.71609</v>
      </c>
      <c r="G3769" s="24" t="str">
        <f>IFERROR(__xludf.DUMMYFUNCTION("""COMPUTED_VALUE"""),"Cameron Minor ")</f>
        <v>Cameron Minor </v>
      </c>
      <c r="H3769" s="24">
        <f>IFERROR(__xludf.DUMMYFUNCTION("""COMPUTED_VALUE"""),5.0)</f>
        <v>5</v>
      </c>
      <c r="I3769" s="24" t="str">
        <f>IFERROR(__xludf.DUMMYFUNCTION("""COMPUTED_VALUE"""),"Regular (up to 20lbs)")</f>
        <v>Regular (up to 20lbs)</v>
      </c>
    </row>
    <row r="3770">
      <c r="A3770" s="23">
        <f>IFERROR(__xludf.DUMMYFUNCTION("""COMPUTED_VALUE"""),44863.0)</f>
        <v>44863</v>
      </c>
      <c r="B3770" s="24" t="str">
        <f>IFERROR(__xludf.DUMMYFUNCTION("""COMPUTED_VALUE"""),"Jaydan Ziglar")</f>
        <v>Jaydan Ziglar</v>
      </c>
      <c r="C3770" s="24">
        <f>IFERROR(__xludf.DUMMYFUNCTION("""COMPUTED_VALUE"""),17.0)</f>
        <v>17</v>
      </c>
      <c r="D3770" s="24" t="str">
        <f>IFERROR(__xludf.DUMMYFUNCTION("""COMPUTED_VALUE"""),"Damage/expired/extra")</f>
        <v>Damage/expired/extra</v>
      </c>
      <c r="F3770" s="23">
        <f>IFERROR(__xludf.DUMMYFUNCTION("""COMPUTED_VALUE"""),44884.7161567361)</f>
        <v>44884.71616</v>
      </c>
      <c r="G3770" s="24" t="str">
        <f>IFERROR(__xludf.DUMMYFUNCTION("""COMPUTED_VALUE"""),"Claire")</f>
        <v>Claire</v>
      </c>
      <c r="H3770" s="24">
        <f>IFERROR(__xludf.DUMMYFUNCTION("""COMPUTED_VALUE"""),219.0)</f>
        <v>219</v>
      </c>
      <c r="I3770" s="24" t="str">
        <f>IFERROR(__xludf.DUMMYFUNCTION("""COMPUTED_VALUE"""),"Snacks")</f>
        <v>Snacks</v>
      </c>
    </row>
    <row r="3771">
      <c r="A3771" s="23">
        <f>IFERROR(__xludf.DUMMYFUNCTION("""COMPUTED_VALUE"""),44863.69513712963)</f>
        <v>44863.69514</v>
      </c>
      <c r="B3771" s="24" t="str">
        <f>IFERROR(__xludf.DUMMYFUNCTION("""COMPUTED_VALUE"""),"Evelyn jiang")</f>
        <v>Evelyn jiang</v>
      </c>
      <c r="C3771" s="24">
        <f>IFERROR(__xludf.DUMMYFUNCTION("""COMPUTED_VALUE"""),18.0)</f>
        <v>18</v>
      </c>
      <c r="D3771" s="24" t="str">
        <f>IFERROR(__xludf.DUMMYFUNCTION("""COMPUTED_VALUE"""),"Regular (up to 20lbs)")</f>
        <v>Regular (up to 20lbs)</v>
      </c>
      <c r="F3771" s="23">
        <f>IFERROR(__xludf.DUMMYFUNCTION("""COMPUTED_VALUE"""),44884.71640915509)</f>
        <v>44884.71641</v>
      </c>
      <c r="G3771" s="24" t="str">
        <f>IFERROR(__xludf.DUMMYFUNCTION("""COMPUTED_VALUE"""),"Claire")</f>
        <v>Claire</v>
      </c>
      <c r="H3771" s="24">
        <f>IFERROR(__xludf.DUMMYFUNCTION("""COMPUTED_VALUE"""),1486.0)</f>
        <v>1486</v>
      </c>
      <c r="I3771" s="24" t="str">
        <f>IFERROR(__xludf.DUMMYFUNCTION("""COMPUTED_VALUE"""),"Drinks [Dry]")</f>
        <v>Drinks [Dry]</v>
      </c>
    </row>
    <row r="3772">
      <c r="A3772" s="23">
        <f>IFERROR(__xludf.DUMMYFUNCTION("""COMPUTED_VALUE"""),44863.0)</f>
        <v>44863</v>
      </c>
      <c r="B3772" s="24" t="str">
        <f>IFERROR(__xludf.DUMMYFUNCTION("""COMPUTED_VALUE"""),"Evelyn jiang")</f>
        <v>Evelyn jiang</v>
      </c>
      <c r="C3772" s="24">
        <f>IFERROR(__xludf.DUMMYFUNCTION("""COMPUTED_VALUE"""),17.0)</f>
        <v>17</v>
      </c>
      <c r="D3772" s="24" t="str">
        <f>IFERROR(__xludf.DUMMYFUNCTION("""COMPUTED_VALUE"""),"Damage/expired/extra")</f>
        <v>Damage/expired/extra</v>
      </c>
      <c r="F3772" s="23">
        <f>IFERROR(__xludf.DUMMYFUNCTION("""COMPUTED_VALUE"""),44884.71666783565)</f>
        <v>44884.71667</v>
      </c>
      <c r="G3772" s="24" t="str">
        <f>IFERROR(__xludf.DUMMYFUNCTION("""COMPUTED_VALUE"""),"Claire")</f>
        <v>Claire</v>
      </c>
      <c r="H3772" s="24">
        <f>IFERROR(__xludf.DUMMYFUNCTION("""COMPUTED_VALUE"""),1023.0)</f>
        <v>1023</v>
      </c>
      <c r="I3772" s="24" t="str">
        <f>IFERROR(__xludf.DUMMYFUNCTION("""COMPUTED_VALUE"""),"Drinks [Dry]")</f>
        <v>Drinks [Dry]</v>
      </c>
    </row>
    <row r="3773">
      <c r="A3773" s="23">
        <f>IFERROR(__xludf.DUMMYFUNCTION("""COMPUTED_VALUE"""),44863.695578067134)</f>
        <v>44863.69558</v>
      </c>
      <c r="B3773" s="24" t="str">
        <f>IFERROR(__xludf.DUMMYFUNCTION("""COMPUTED_VALUE"""),"Justin Zhong")</f>
        <v>Justin Zhong</v>
      </c>
      <c r="C3773" s="24">
        <f>IFERROR(__xludf.DUMMYFUNCTION("""COMPUTED_VALUE"""),8.0)</f>
        <v>8</v>
      </c>
      <c r="D3773" s="24" t="str">
        <f>IFERROR(__xludf.DUMMYFUNCTION("""COMPUTED_VALUE"""),"Regular (up to 20lbs)")</f>
        <v>Regular (up to 20lbs)</v>
      </c>
      <c r="F3773" s="23">
        <f>IFERROR(__xludf.DUMMYFUNCTION("""COMPUTED_VALUE"""),44884.71693232639)</f>
        <v>44884.71693</v>
      </c>
      <c r="G3773" s="24" t="str">
        <f>IFERROR(__xludf.DUMMYFUNCTION("""COMPUTED_VALUE"""),"Claire")</f>
        <v>Claire</v>
      </c>
      <c r="H3773" s="24">
        <f>IFERROR(__xludf.DUMMYFUNCTION("""COMPUTED_VALUE"""),241.0)</f>
        <v>241</v>
      </c>
      <c r="I3773" s="24" t="str">
        <f>IFERROR(__xludf.DUMMYFUNCTION("""COMPUTED_VALUE"""),"Meat [Raw]")</f>
        <v>Meat [Raw]</v>
      </c>
    </row>
    <row r="3774">
      <c r="A3774" s="23">
        <f>IFERROR(__xludf.DUMMYFUNCTION("""COMPUTED_VALUE"""),44863.0)</f>
        <v>44863</v>
      </c>
      <c r="B3774" s="24" t="str">
        <f>IFERROR(__xludf.DUMMYFUNCTION("""COMPUTED_VALUE"""),"Justin Zhong")</f>
        <v>Justin Zhong</v>
      </c>
      <c r="C3774" s="24">
        <f>IFERROR(__xludf.DUMMYFUNCTION("""COMPUTED_VALUE"""),17.0)</f>
        <v>17</v>
      </c>
      <c r="D3774" s="24" t="str">
        <f>IFERROR(__xludf.DUMMYFUNCTION("""COMPUTED_VALUE"""),"Damage/expired/extra")</f>
        <v>Damage/expired/extra</v>
      </c>
      <c r="F3774" s="23">
        <f>IFERROR(__xludf.DUMMYFUNCTION("""COMPUTED_VALUE"""),44884.717159432876)</f>
        <v>44884.71716</v>
      </c>
      <c r="G3774" s="24" t="str">
        <f>IFERROR(__xludf.DUMMYFUNCTION("""COMPUTED_VALUE"""),"Claire")</f>
        <v>Claire</v>
      </c>
      <c r="H3774" s="24">
        <f>IFERROR(__xludf.DUMMYFUNCTION("""COMPUTED_VALUE"""),37.0)</f>
        <v>37</v>
      </c>
      <c r="I3774" s="24" t="str">
        <f>IFERROR(__xludf.DUMMYFUNCTION("""COMPUTED_VALUE"""),"Meat [Raw]")</f>
        <v>Meat [Raw]</v>
      </c>
    </row>
    <row r="3775">
      <c r="A3775" s="23">
        <f>IFERROR(__xludf.DUMMYFUNCTION("""COMPUTED_VALUE"""),44863.696432418976)</f>
        <v>44863.69643</v>
      </c>
      <c r="B3775" s="24" t="str">
        <f>IFERROR(__xludf.DUMMYFUNCTION("""COMPUTED_VALUE"""),"Nathan")</f>
        <v>Nathan</v>
      </c>
      <c r="C3775" s="24">
        <f>IFERROR(__xludf.DUMMYFUNCTION("""COMPUTED_VALUE"""),19.0)</f>
        <v>19</v>
      </c>
      <c r="D3775" s="24" t="str">
        <f>IFERROR(__xludf.DUMMYFUNCTION("""COMPUTED_VALUE"""),"Regular (up to 20lbs)")</f>
        <v>Regular (up to 20lbs)</v>
      </c>
      <c r="F3775" s="23">
        <f>IFERROR(__xludf.DUMMYFUNCTION("""COMPUTED_VALUE"""),44884.71737810186)</f>
        <v>44884.71738</v>
      </c>
      <c r="G3775" s="24" t="str">
        <f>IFERROR(__xludf.DUMMYFUNCTION("""COMPUTED_VALUE"""),"Claire")</f>
        <v>Claire</v>
      </c>
      <c r="H3775" s="24">
        <f>IFERROR(__xludf.DUMMYFUNCTION("""COMPUTED_VALUE"""),165.0)</f>
        <v>165</v>
      </c>
      <c r="I3775" s="24" t="str">
        <f>IFERROR(__xludf.DUMMYFUNCTION("""COMPUTED_VALUE"""),"Grains (rice, pasta, etc.)")</f>
        <v>Grains (rice, pasta, etc.)</v>
      </c>
    </row>
    <row r="3776">
      <c r="A3776" s="23">
        <f>IFERROR(__xludf.DUMMYFUNCTION("""COMPUTED_VALUE"""),44863.0)</f>
        <v>44863</v>
      </c>
      <c r="B3776" s="24" t="str">
        <f>IFERROR(__xludf.DUMMYFUNCTION("""COMPUTED_VALUE"""),"Nathan")</f>
        <v>Nathan</v>
      </c>
      <c r="C3776" s="24">
        <f>IFERROR(__xludf.DUMMYFUNCTION("""COMPUTED_VALUE"""),17.0)</f>
        <v>17</v>
      </c>
      <c r="D3776" s="24" t="str">
        <f>IFERROR(__xludf.DUMMYFUNCTION("""COMPUTED_VALUE"""),"Damage/expired/extra")</f>
        <v>Damage/expired/extra</v>
      </c>
      <c r="F3776" s="23">
        <f>IFERROR(__xludf.DUMMYFUNCTION("""COMPUTED_VALUE"""),44884.71757599537)</f>
        <v>44884.71758</v>
      </c>
      <c r="G3776" s="24" t="str">
        <f>IFERROR(__xludf.DUMMYFUNCTION("""COMPUTED_VALUE"""),"Claire")</f>
        <v>Claire</v>
      </c>
      <c r="H3776" s="24">
        <f>IFERROR(__xludf.DUMMYFUNCTION("""COMPUTED_VALUE"""),262.0)</f>
        <v>262</v>
      </c>
      <c r="I3776" s="24" t="str">
        <f>IFERROR(__xludf.DUMMYFUNCTION("""COMPUTED_VALUE"""),"Frozen [Not Meat]")</f>
        <v>Frozen [Not Meat]</v>
      </c>
    </row>
    <row r="3777">
      <c r="A3777" s="23">
        <f>IFERROR(__xludf.DUMMYFUNCTION("""COMPUTED_VALUE"""),44863.698556435185)</f>
        <v>44863.69856</v>
      </c>
      <c r="B3777" s="24" t="str">
        <f>IFERROR(__xludf.DUMMYFUNCTION("""COMPUTED_VALUE"""),"Nadia Simmons ")</f>
        <v>Nadia Simmons </v>
      </c>
      <c r="C3777" s="24">
        <f>IFERROR(__xludf.DUMMYFUNCTION("""COMPUTED_VALUE"""),3.0)</f>
        <v>3</v>
      </c>
      <c r="D3777" s="24" t="str">
        <f>IFERROR(__xludf.DUMMYFUNCTION("""COMPUTED_VALUE"""),"Regular (up to 20lbs)")</f>
        <v>Regular (up to 20lbs)</v>
      </c>
      <c r="F3777" s="23">
        <f>IFERROR(__xludf.DUMMYFUNCTION("""COMPUTED_VALUE"""),44884.71790055556)</f>
        <v>44884.7179</v>
      </c>
      <c r="G3777" s="24" t="str">
        <f>IFERROR(__xludf.DUMMYFUNCTION("""COMPUTED_VALUE"""),"Claire")</f>
        <v>Claire</v>
      </c>
      <c r="H3777" s="24">
        <f>IFERROR(__xludf.DUMMYFUNCTION("""COMPUTED_VALUE"""),127.0)</f>
        <v>127</v>
      </c>
      <c r="I3777" s="24" t="str">
        <f>IFERROR(__xludf.DUMMYFUNCTION("""COMPUTED_VALUE"""),"Produce")</f>
        <v>Produce</v>
      </c>
    </row>
    <row r="3778">
      <c r="A3778" s="23">
        <f>IFERROR(__xludf.DUMMYFUNCTION("""COMPUTED_VALUE"""),44863.0)</f>
        <v>44863</v>
      </c>
      <c r="B3778" s="24" t="str">
        <f>IFERROR(__xludf.DUMMYFUNCTION("""COMPUTED_VALUE"""),"Nadia Simmons ")</f>
        <v>Nadia Simmons </v>
      </c>
      <c r="C3778" s="24">
        <f>IFERROR(__xludf.DUMMYFUNCTION("""COMPUTED_VALUE"""),17.0)</f>
        <v>17</v>
      </c>
      <c r="D3778" s="24" t="str">
        <f>IFERROR(__xludf.DUMMYFUNCTION("""COMPUTED_VALUE"""),"Damage/expired/extra")</f>
        <v>Damage/expired/extra</v>
      </c>
      <c r="F3778" s="23">
        <f>IFERROR(__xludf.DUMMYFUNCTION("""COMPUTED_VALUE"""),44884.71810244213)</f>
        <v>44884.7181</v>
      </c>
      <c r="G3778" s="24" t="str">
        <f>IFERROR(__xludf.DUMMYFUNCTION("""COMPUTED_VALUE"""),"Claire")</f>
        <v>Claire</v>
      </c>
      <c r="H3778" s="24">
        <f>IFERROR(__xludf.DUMMYFUNCTION("""COMPUTED_VALUE"""),-162.0)</f>
        <v>-162</v>
      </c>
      <c r="I3778" s="24" t="str">
        <f>IFERROR(__xludf.DUMMYFUNCTION("""COMPUTED_VALUE"""),"Produce")</f>
        <v>Produce</v>
      </c>
    </row>
    <row r="3779">
      <c r="A3779" s="23">
        <f>IFERROR(__xludf.DUMMYFUNCTION("""COMPUTED_VALUE"""),44863.6989694213)</f>
        <v>44863.69897</v>
      </c>
      <c r="B3779" s="24" t="str">
        <f>IFERROR(__xludf.DUMMYFUNCTION("""COMPUTED_VALUE"""),"Danaysha Samuel")</f>
        <v>Danaysha Samuel</v>
      </c>
      <c r="C3779" s="24">
        <f>IFERROR(__xludf.DUMMYFUNCTION("""COMPUTED_VALUE"""),13.0)</f>
        <v>13</v>
      </c>
      <c r="D3779" s="24" t="str">
        <f>IFERROR(__xludf.DUMMYFUNCTION("""COMPUTED_VALUE"""),"Regular (up to 20lbs)")</f>
        <v>Regular (up to 20lbs)</v>
      </c>
      <c r="F3779" s="23">
        <f>IFERROR(__xludf.DUMMYFUNCTION("""COMPUTED_VALUE"""),44884.71830822917)</f>
        <v>44884.71831</v>
      </c>
      <c r="G3779" s="24" t="str">
        <f>IFERROR(__xludf.DUMMYFUNCTION("""COMPUTED_VALUE"""),"Claire")</f>
        <v>Claire</v>
      </c>
      <c r="H3779" s="24">
        <f>IFERROR(__xludf.DUMMYFUNCTION("""COMPUTED_VALUE"""),-451.0)</f>
        <v>-451</v>
      </c>
      <c r="I3779" s="24" t="str">
        <f>IFERROR(__xludf.DUMMYFUNCTION("""COMPUTED_VALUE"""),"Produce")</f>
        <v>Produce</v>
      </c>
    </row>
    <row r="3780">
      <c r="A3780" s="23">
        <f>IFERROR(__xludf.DUMMYFUNCTION("""COMPUTED_VALUE"""),44863.0)</f>
        <v>44863</v>
      </c>
      <c r="B3780" s="24" t="str">
        <f>IFERROR(__xludf.DUMMYFUNCTION("""COMPUTED_VALUE"""),"Danaysha Samuel")</f>
        <v>Danaysha Samuel</v>
      </c>
      <c r="C3780" s="24">
        <f>IFERROR(__xludf.DUMMYFUNCTION("""COMPUTED_VALUE"""),17.0)</f>
        <v>17</v>
      </c>
      <c r="D3780" s="24" t="str">
        <f>IFERROR(__xludf.DUMMYFUNCTION("""COMPUTED_VALUE"""),"Damage/expired/extra")</f>
        <v>Damage/expired/extra</v>
      </c>
      <c r="F3780" s="23">
        <f>IFERROR(__xludf.DUMMYFUNCTION("""COMPUTED_VALUE"""),44884.718533148145)</f>
        <v>44884.71853</v>
      </c>
      <c r="G3780" s="24" t="str">
        <f>IFERROR(__xludf.DUMMYFUNCTION("""COMPUTED_VALUE"""),"Claire")</f>
        <v>Claire</v>
      </c>
      <c r="H3780" s="24">
        <f>IFERROR(__xludf.DUMMYFUNCTION("""COMPUTED_VALUE"""),-627.0)</f>
        <v>-627</v>
      </c>
      <c r="I3780" s="24" t="str">
        <f>IFERROR(__xludf.DUMMYFUNCTION("""COMPUTED_VALUE"""),"Fruit cups")</f>
        <v>Fruit cups</v>
      </c>
    </row>
    <row r="3781">
      <c r="A3781" s="23">
        <f>IFERROR(__xludf.DUMMYFUNCTION("""COMPUTED_VALUE"""),44863.70019943287)</f>
        <v>44863.7002</v>
      </c>
      <c r="B3781" s="24" t="str">
        <f>IFERROR(__xludf.DUMMYFUNCTION("""COMPUTED_VALUE"""),"Raven Fernandes ")</f>
        <v>Raven Fernandes </v>
      </c>
      <c r="C3781" s="24">
        <f>IFERROR(__xludf.DUMMYFUNCTION("""COMPUTED_VALUE"""),6.5)</f>
        <v>6.5</v>
      </c>
      <c r="D3781" s="24" t="str">
        <f>IFERROR(__xludf.DUMMYFUNCTION("""COMPUTED_VALUE"""),"Regular (up to 20lbs)")</f>
        <v>Regular (up to 20lbs)</v>
      </c>
      <c r="F3781" s="23">
        <f>IFERROR(__xludf.DUMMYFUNCTION("""COMPUTED_VALUE"""),44884.718751203705)</f>
        <v>44884.71875</v>
      </c>
      <c r="G3781" s="24" t="str">
        <f>IFERROR(__xludf.DUMMYFUNCTION("""COMPUTED_VALUE"""),"Claire")</f>
        <v>Claire</v>
      </c>
      <c r="H3781" s="24">
        <f>IFERROR(__xludf.DUMMYFUNCTION("""COMPUTED_VALUE"""),-540.0)</f>
        <v>-540</v>
      </c>
      <c r="I3781" s="24" t="str">
        <f>IFERROR(__xludf.DUMMYFUNCTION("""COMPUTED_VALUE"""),"Fruit cups")</f>
        <v>Fruit cups</v>
      </c>
    </row>
    <row r="3782">
      <c r="A3782" s="23">
        <f>IFERROR(__xludf.DUMMYFUNCTION("""COMPUTED_VALUE"""),44863.70023375)</f>
        <v>44863.70023</v>
      </c>
      <c r="B3782" s="24" t="str">
        <f>IFERROR(__xludf.DUMMYFUNCTION("""COMPUTED_VALUE"""),"Aisha Frazier ")</f>
        <v>Aisha Frazier </v>
      </c>
      <c r="C3782" s="24">
        <f>IFERROR(__xludf.DUMMYFUNCTION("""COMPUTED_VALUE"""),19.0)</f>
        <v>19</v>
      </c>
      <c r="D3782" s="24" t="str">
        <f>IFERROR(__xludf.DUMMYFUNCTION("""COMPUTED_VALUE"""),"Regular (up to 20lbs)")</f>
        <v>Regular (up to 20lbs)</v>
      </c>
      <c r="F3782" s="23">
        <f>IFERROR(__xludf.DUMMYFUNCTION("""COMPUTED_VALUE"""),44884.7189427662)</f>
        <v>44884.71894</v>
      </c>
      <c r="G3782" s="24" t="str">
        <f>IFERROR(__xludf.DUMMYFUNCTION("""COMPUTED_VALUE"""),"Claire")</f>
        <v>Claire</v>
      </c>
      <c r="H3782" s="24">
        <f>IFERROR(__xludf.DUMMYFUNCTION("""COMPUTED_VALUE"""),-50.0)</f>
        <v>-50</v>
      </c>
      <c r="I3782" s="24" t="str">
        <f>IFERROR(__xludf.DUMMYFUNCTION("""COMPUTED_VALUE"""),"Snacks")</f>
        <v>Snacks</v>
      </c>
    </row>
    <row r="3783">
      <c r="A3783" s="23">
        <f>IFERROR(__xludf.DUMMYFUNCTION("""COMPUTED_VALUE"""),44863.70039702547)</f>
        <v>44863.7004</v>
      </c>
      <c r="B3783" s="24" t="str">
        <f>IFERROR(__xludf.DUMMYFUNCTION("""COMPUTED_VALUE"""),"Kayla Mack-Easley ")</f>
        <v>Kayla Mack-Easley </v>
      </c>
      <c r="C3783" s="24">
        <f>IFERROR(__xludf.DUMMYFUNCTION("""COMPUTED_VALUE"""),8.4)</f>
        <v>8.4</v>
      </c>
      <c r="D3783" s="24" t="str">
        <f>IFERROR(__xludf.DUMMYFUNCTION("""COMPUTED_VALUE"""),"Regular (up to 20lbs)")</f>
        <v>Regular (up to 20lbs)</v>
      </c>
      <c r="F3783" s="23">
        <f>IFERROR(__xludf.DUMMYFUNCTION("""COMPUTED_VALUE"""),44884.71913660879)</f>
        <v>44884.71914</v>
      </c>
      <c r="G3783" s="24" t="str">
        <f>IFERROR(__xludf.DUMMYFUNCTION("""COMPUTED_VALUE"""),"Claire")</f>
        <v>Claire</v>
      </c>
      <c r="H3783" s="24">
        <f>IFERROR(__xludf.DUMMYFUNCTION("""COMPUTED_VALUE"""),-615.0)</f>
        <v>-615</v>
      </c>
      <c r="I3783" s="24" t="str">
        <f>IFERROR(__xludf.DUMMYFUNCTION("""COMPUTED_VALUE"""),"Drinks [Dry]")</f>
        <v>Drinks [Dry]</v>
      </c>
    </row>
    <row r="3784">
      <c r="A3784" s="23">
        <f>IFERROR(__xludf.DUMMYFUNCTION("""COMPUTED_VALUE"""),44863.7073906713)</f>
        <v>44863.70739</v>
      </c>
      <c r="B3784" s="24" t="str">
        <f>IFERROR(__xludf.DUMMYFUNCTION("""COMPUTED_VALUE"""),"Dean Chien")</f>
        <v>Dean Chien</v>
      </c>
      <c r="C3784" s="24">
        <f>IFERROR(__xludf.DUMMYFUNCTION("""COMPUTED_VALUE"""),10.0)</f>
        <v>10</v>
      </c>
      <c r="D3784" s="24" t="str">
        <f>IFERROR(__xludf.DUMMYFUNCTION("""COMPUTED_VALUE"""),"Regular (up to 20lbs)")</f>
        <v>Regular (up to 20lbs)</v>
      </c>
      <c r="F3784" s="23">
        <f>IFERROR(__xludf.DUMMYFUNCTION("""COMPUTED_VALUE"""),44884.742264988425)</f>
        <v>44884.74226</v>
      </c>
      <c r="G3784" s="24" t="str">
        <f>IFERROR(__xludf.DUMMYFUNCTION("""COMPUTED_VALUE"""),"Beverly Pinn")</f>
        <v>Beverly Pinn</v>
      </c>
      <c r="H3784" s="24">
        <f>IFERROR(__xludf.DUMMYFUNCTION("""COMPUTED_VALUE"""),15.0)</f>
        <v>15</v>
      </c>
      <c r="I3784" s="24" t="str">
        <f>IFERROR(__xludf.DUMMYFUNCTION("""COMPUTED_VALUE"""),"Regular (up to 20lbs)")</f>
        <v>Regular (up to 20lbs)</v>
      </c>
    </row>
    <row r="3785">
      <c r="A3785" s="23">
        <f>IFERROR(__xludf.DUMMYFUNCTION("""COMPUTED_VALUE"""),44863.72888091436)</f>
        <v>44863.72888</v>
      </c>
      <c r="B3785" s="24" t="str">
        <f>IFERROR(__xludf.DUMMYFUNCTION("""COMPUTED_VALUE"""),"Lynnette")</f>
        <v>Lynnette</v>
      </c>
      <c r="C3785" s="24">
        <f>IFERROR(__xludf.DUMMYFUNCTION("""COMPUTED_VALUE"""),6.0)</f>
        <v>6</v>
      </c>
      <c r="D3785" s="24" t="str">
        <f>IFERROR(__xludf.DUMMYFUNCTION("""COMPUTED_VALUE"""),"Regular (up to 20lbs)")</f>
        <v>Regular (up to 20lbs)</v>
      </c>
      <c r="F3785" s="23">
        <f>IFERROR(__xludf.DUMMYFUNCTION("""COMPUTED_VALUE"""),44884.742435057866)</f>
        <v>44884.74244</v>
      </c>
      <c r="G3785" s="24" t="str">
        <f>IFERROR(__xludf.DUMMYFUNCTION("""COMPUTED_VALUE"""),"Beverly Pinn")</f>
        <v>Beverly Pinn</v>
      </c>
      <c r="H3785" s="24">
        <f>IFERROR(__xludf.DUMMYFUNCTION("""COMPUTED_VALUE"""),10.0)</f>
        <v>10</v>
      </c>
      <c r="I3785" s="24" t="str">
        <f>IFERROR(__xludf.DUMMYFUNCTION("""COMPUTED_VALUE"""),"Damage/expired/extra")</f>
        <v>Damage/expired/extra</v>
      </c>
    </row>
    <row r="3786">
      <c r="A3786" s="23">
        <f>IFERROR(__xludf.DUMMYFUNCTION("""COMPUTED_VALUE"""),44863.0)</f>
        <v>44863</v>
      </c>
      <c r="B3786" s="24" t="str">
        <f>IFERROR(__xludf.DUMMYFUNCTION("""COMPUTED_VALUE"""),"Teaunia Mcintyre")</f>
        <v>Teaunia Mcintyre</v>
      </c>
      <c r="C3786" s="24">
        <f>IFERROR(__xludf.DUMMYFUNCTION("""COMPUTED_VALUE"""),9.0)</f>
        <v>9</v>
      </c>
      <c r="D3786" s="24" t="str">
        <f>IFERROR(__xludf.DUMMYFUNCTION("""COMPUTED_VALUE"""),"Regular (up to 20lbs)")</f>
        <v>Regular (up to 20lbs)</v>
      </c>
      <c r="F3786" s="23">
        <f>IFERROR(__xludf.DUMMYFUNCTION("""COMPUTED_VALUE"""),44885.0)</f>
        <v>44885</v>
      </c>
      <c r="G3786" s="24" t="str">
        <f>IFERROR(__xludf.DUMMYFUNCTION("""COMPUTED_VALUE"""),"Claire")</f>
        <v>Claire</v>
      </c>
      <c r="H3786" s="24">
        <f>IFERROR(__xludf.DUMMYFUNCTION("""COMPUTED_VALUE"""),130.0)</f>
        <v>130</v>
      </c>
      <c r="I3786" s="24" t="str">
        <f>IFERROR(__xludf.DUMMYFUNCTION("""COMPUTED_VALUE"""),"Produce")</f>
        <v>Produce</v>
      </c>
    </row>
    <row r="3787">
      <c r="A3787" s="23">
        <f>IFERROR(__xludf.DUMMYFUNCTION("""COMPUTED_VALUE"""),44863.0)</f>
        <v>44863</v>
      </c>
      <c r="B3787" s="24" t="str">
        <f>IFERROR(__xludf.DUMMYFUNCTION("""COMPUTED_VALUE"""),"Wubbie Taye")</f>
        <v>Wubbie Taye</v>
      </c>
      <c r="C3787" s="24">
        <f>IFERROR(__xludf.DUMMYFUNCTION("""COMPUTED_VALUE"""),21.0)</f>
        <v>21</v>
      </c>
      <c r="D3787" s="24" t="str">
        <f>IFERROR(__xludf.DUMMYFUNCTION("""COMPUTED_VALUE"""),"Regular (up to 20lbs)")</f>
        <v>Regular (up to 20lbs)</v>
      </c>
      <c r="F3787" s="23">
        <f>IFERROR(__xludf.DUMMYFUNCTION("""COMPUTED_VALUE"""),44885.0)</f>
        <v>44885</v>
      </c>
      <c r="G3787" s="24" t="str">
        <f>IFERROR(__xludf.DUMMYFUNCTION("""COMPUTED_VALUE"""),"Denise Rivers")</f>
        <v>Denise Rivers</v>
      </c>
      <c r="H3787" s="24">
        <f>IFERROR(__xludf.DUMMYFUNCTION("""COMPUTED_VALUE"""),15.0)</f>
        <v>15</v>
      </c>
      <c r="I3787" s="24" t="str">
        <f>IFERROR(__xludf.DUMMYFUNCTION("""COMPUTED_VALUE"""),"Regular (up to 20lbs)")</f>
        <v>Regular (up to 20lbs)</v>
      </c>
    </row>
    <row r="3788">
      <c r="A3788" s="23">
        <f>IFERROR(__xludf.DUMMYFUNCTION("""COMPUTED_VALUE"""),44863.0)</f>
        <v>44863</v>
      </c>
      <c r="B3788" s="24" t="str">
        <f>IFERROR(__xludf.DUMMYFUNCTION("""COMPUTED_VALUE"""),"Wubbie Taye")</f>
        <v>Wubbie Taye</v>
      </c>
      <c r="C3788" s="24">
        <f>IFERROR(__xludf.DUMMYFUNCTION("""COMPUTED_VALUE"""),17.0)</f>
        <v>17</v>
      </c>
      <c r="D3788" s="24" t="str">
        <f>IFERROR(__xludf.DUMMYFUNCTION("""COMPUTED_VALUE"""),"Damage/expired/extra")</f>
        <v>Damage/expired/extra</v>
      </c>
      <c r="F3788" s="23">
        <f>IFERROR(__xludf.DUMMYFUNCTION("""COMPUTED_VALUE"""),44885.0)</f>
        <v>44885</v>
      </c>
      <c r="G3788" s="24" t="str">
        <f>IFERROR(__xludf.DUMMYFUNCTION("""COMPUTED_VALUE"""),"Denise Rivers")</f>
        <v>Denise Rivers</v>
      </c>
      <c r="H3788" s="24">
        <f>IFERROR(__xludf.DUMMYFUNCTION("""COMPUTED_VALUE"""),20.0)</f>
        <v>20</v>
      </c>
      <c r="I3788" s="24" t="str">
        <f>IFERROR(__xludf.DUMMYFUNCTION("""COMPUTED_VALUE"""),"Damage/expired/extra")</f>
        <v>Damage/expired/extra</v>
      </c>
    </row>
    <row r="3789">
      <c r="A3789" s="23">
        <f>IFERROR(__xludf.DUMMYFUNCTION("""COMPUTED_VALUE"""),44864.0)</f>
        <v>44864</v>
      </c>
      <c r="B3789" s="24" t="str">
        <f>IFERROR(__xludf.DUMMYFUNCTION("""COMPUTED_VALUE"""),"Katelyn")</f>
        <v>Katelyn</v>
      </c>
      <c r="C3789" s="24">
        <f>IFERROR(__xludf.DUMMYFUNCTION("""COMPUTED_VALUE"""),7.0)</f>
        <v>7</v>
      </c>
      <c r="D3789" s="24" t="str">
        <f>IFERROR(__xludf.DUMMYFUNCTION("""COMPUTED_VALUE"""),"Damage/expired/extra")</f>
        <v>Damage/expired/extra</v>
      </c>
      <c r="F3789" s="23">
        <f>IFERROR(__xludf.DUMMYFUNCTION("""COMPUTED_VALUE"""),44885.0)</f>
        <v>44885</v>
      </c>
      <c r="G3789" s="24" t="str">
        <f>IFERROR(__xludf.DUMMYFUNCTION("""COMPUTED_VALUE"""),"Dorja")</f>
        <v>Dorja</v>
      </c>
      <c r="H3789" s="24">
        <f>IFERROR(__xludf.DUMMYFUNCTION("""COMPUTED_VALUE"""),18.0)</f>
        <v>18</v>
      </c>
      <c r="I3789" s="24" t="str">
        <f>IFERROR(__xludf.DUMMYFUNCTION("""COMPUTED_VALUE"""),"Regular (up to 20lbs)")</f>
        <v>Regular (up to 20lbs)</v>
      </c>
    </row>
    <row r="3790">
      <c r="A3790" s="23">
        <f>IFERROR(__xludf.DUMMYFUNCTION("""COMPUTED_VALUE"""),44864.0)</f>
        <v>44864</v>
      </c>
      <c r="B3790" s="24" t="str">
        <f>IFERROR(__xludf.DUMMYFUNCTION("""COMPUTED_VALUE"""),"Dorja")</f>
        <v>Dorja</v>
      </c>
      <c r="C3790" s="24">
        <f>IFERROR(__xludf.DUMMYFUNCTION("""COMPUTED_VALUE"""),19.0)</f>
        <v>19</v>
      </c>
      <c r="D3790" s="24" t="str">
        <f>IFERROR(__xludf.DUMMYFUNCTION("""COMPUTED_VALUE"""),"Regular (up to 20lbs)")</f>
        <v>Regular (up to 20lbs)</v>
      </c>
      <c r="F3790" s="23">
        <f>IFERROR(__xludf.DUMMYFUNCTION("""COMPUTED_VALUE"""),44885.0)</f>
        <v>44885</v>
      </c>
      <c r="G3790" s="24" t="str">
        <f>IFERROR(__xludf.DUMMYFUNCTION("""COMPUTED_VALUE"""),"Marci")</f>
        <v>Marci</v>
      </c>
      <c r="H3790" s="24">
        <f>IFERROR(__xludf.DUMMYFUNCTION("""COMPUTED_VALUE"""),20.0)</f>
        <v>20</v>
      </c>
      <c r="I3790" s="24" t="str">
        <f>IFERROR(__xludf.DUMMYFUNCTION("""COMPUTED_VALUE"""),"Regular (up to 20lbs)")</f>
        <v>Regular (up to 20lbs)</v>
      </c>
    </row>
    <row r="3791">
      <c r="A3791" s="23">
        <f>IFERROR(__xludf.DUMMYFUNCTION("""COMPUTED_VALUE"""),44864.0)</f>
        <v>44864</v>
      </c>
      <c r="B3791" s="24" t="str">
        <f>IFERROR(__xludf.DUMMYFUNCTION("""COMPUTED_VALUE"""),"Dorja")</f>
        <v>Dorja</v>
      </c>
      <c r="C3791" s="24">
        <f>IFERROR(__xludf.DUMMYFUNCTION("""COMPUTED_VALUE"""),35.0)</f>
        <v>35</v>
      </c>
      <c r="D3791" s="24" t="str">
        <f>IFERROR(__xludf.DUMMYFUNCTION("""COMPUTED_VALUE"""),"Damage/expired/extra")</f>
        <v>Damage/expired/extra</v>
      </c>
      <c r="F3791" s="23">
        <f>IFERROR(__xludf.DUMMYFUNCTION("""COMPUTED_VALUE"""),44885.0)</f>
        <v>44885</v>
      </c>
      <c r="G3791" s="24" t="str">
        <f>IFERROR(__xludf.DUMMYFUNCTION("""COMPUTED_VALUE"""),"Marci")</f>
        <v>Marci</v>
      </c>
      <c r="H3791" s="24">
        <f>IFERROR(__xludf.DUMMYFUNCTION("""COMPUTED_VALUE"""),42.0)</f>
        <v>42</v>
      </c>
      <c r="I3791" s="24" t="str">
        <f>IFERROR(__xludf.DUMMYFUNCTION("""COMPUTED_VALUE"""),"Damage/expired/extra")</f>
        <v>Damage/expired/extra</v>
      </c>
    </row>
    <row r="3792">
      <c r="A3792" s="23">
        <f>IFERROR(__xludf.DUMMYFUNCTION("""COMPUTED_VALUE"""),44864.66816746527)</f>
        <v>44864.66817</v>
      </c>
      <c r="B3792" s="24" t="str">
        <f>IFERROR(__xludf.DUMMYFUNCTION("""COMPUTED_VALUE"""),"Opey")</f>
        <v>Opey</v>
      </c>
      <c r="C3792" s="24">
        <f>IFERROR(__xludf.DUMMYFUNCTION("""COMPUTED_VALUE"""),20.0)</f>
        <v>20</v>
      </c>
      <c r="D3792" s="24" t="str">
        <f>IFERROR(__xludf.DUMMYFUNCTION("""COMPUTED_VALUE"""),"Regular (up to 20lbs)")</f>
        <v>Regular (up to 20lbs)</v>
      </c>
      <c r="F3792" s="23">
        <f>IFERROR(__xludf.DUMMYFUNCTION("""COMPUTED_VALUE"""),44885.551344490734)</f>
        <v>44885.55134</v>
      </c>
      <c r="G3792" s="24" t="str">
        <f>IFERROR(__xludf.DUMMYFUNCTION("""COMPUTED_VALUE"""),"Claire")</f>
        <v>Claire</v>
      </c>
      <c r="H3792" s="24">
        <f>IFERROR(__xludf.DUMMYFUNCTION("""COMPUTED_VALUE"""),203.0)</f>
        <v>203</v>
      </c>
      <c r="I3792" s="24" t="str">
        <f>IFERROR(__xludf.DUMMYFUNCTION("""COMPUTED_VALUE"""),"Homewood (donation)")</f>
        <v>Homewood (donation)</v>
      </c>
    </row>
    <row r="3793">
      <c r="A3793" s="23">
        <f>IFERROR(__xludf.DUMMYFUNCTION("""COMPUTED_VALUE"""),44864.66830928241)</f>
        <v>44864.66831</v>
      </c>
      <c r="B3793" s="24" t="str">
        <f>IFERROR(__xludf.DUMMYFUNCTION("""COMPUTED_VALUE"""),"Zoe")</f>
        <v>Zoe</v>
      </c>
      <c r="C3793" s="24">
        <f>IFERROR(__xludf.DUMMYFUNCTION("""COMPUTED_VALUE"""),17.0)</f>
        <v>17</v>
      </c>
      <c r="D3793" s="24" t="str">
        <f>IFERROR(__xludf.DUMMYFUNCTION("""COMPUTED_VALUE"""),"Regular (up to 20lbs)")</f>
        <v>Regular (up to 20lbs)</v>
      </c>
      <c r="F3793" s="23">
        <f>IFERROR(__xludf.DUMMYFUNCTION("""COMPUTED_VALUE"""),44885.5517912963)</f>
        <v>44885.55179</v>
      </c>
      <c r="G3793" s="24" t="str">
        <f>IFERROR(__xludf.DUMMYFUNCTION("""COMPUTED_VALUE"""),"Claire")</f>
        <v>Claire</v>
      </c>
      <c r="H3793" s="24">
        <f>IFERROR(__xludf.DUMMYFUNCTION("""COMPUTED_VALUE"""),702.0)</f>
        <v>702</v>
      </c>
      <c r="I3793" s="24" t="str">
        <f>IFERROR(__xludf.DUMMYFUNCTION("""COMPUTED_VALUE"""),"Amazon")</f>
        <v>Amazon</v>
      </c>
    </row>
    <row r="3794">
      <c r="A3794" s="23">
        <f>IFERROR(__xludf.DUMMYFUNCTION("""COMPUTED_VALUE"""),44864.673162280094)</f>
        <v>44864.67316</v>
      </c>
      <c r="B3794" s="24" t="str">
        <f>IFERROR(__xludf.DUMMYFUNCTION("""COMPUTED_VALUE"""),"Kaneesha ")</f>
        <v>Kaneesha </v>
      </c>
      <c r="C3794" s="24">
        <f>IFERROR(__xludf.DUMMYFUNCTION("""COMPUTED_VALUE"""),20.0)</f>
        <v>20</v>
      </c>
      <c r="D3794" s="24" t="str">
        <f>IFERROR(__xludf.DUMMYFUNCTION("""COMPUTED_VALUE"""),"Regular (up to 20lbs)")</f>
        <v>Regular (up to 20lbs)</v>
      </c>
      <c r="F3794" s="23">
        <f>IFERROR(__xludf.DUMMYFUNCTION("""COMPUTED_VALUE"""),44885.55200038195)</f>
        <v>44885.552</v>
      </c>
      <c r="G3794" s="24" t="str">
        <f>IFERROR(__xludf.DUMMYFUNCTION("""COMPUTED_VALUE"""),"Claire")</f>
        <v>Claire</v>
      </c>
      <c r="H3794" s="24">
        <f>IFERROR(__xludf.DUMMYFUNCTION("""COMPUTED_VALUE"""),822.0)</f>
        <v>822</v>
      </c>
      <c r="I3794" s="24" t="str">
        <f>IFERROR(__xludf.DUMMYFUNCTION("""COMPUTED_VALUE"""),"Amazon")</f>
        <v>Amazon</v>
      </c>
    </row>
    <row r="3795">
      <c r="A3795" s="23">
        <f>IFERROR(__xludf.DUMMYFUNCTION("""COMPUTED_VALUE"""),44864.67332533564)</f>
        <v>44864.67333</v>
      </c>
      <c r="B3795" s="24" t="str">
        <f>IFERROR(__xludf.DUMMYFUNCTION("""COMPUTED_VALUE"""),"Kaneesha ")</f>
        <v>Kaneesha </v>
      </c>
      <c r="C3795" s="24">
        <f>IFERROR(__xludf.DUMMYFUNCTION("""COMPUTED_VALUE"""),40.0)</f>
        <v>40</v>
      </c>
      <c r="D3795" s="24" t="str">
        <f>IFERROR(__xludf.DUMMYFUNCTION("""COMPUTED_VALUE"""),"Damage/expired/extra")</f>
        <v>Damage/expired/extra</v>
      </c>
      <c r="F3795" s="23">
        <f>IFERROR(__xludf.DUMMYFUNCTION("""COMPUTED_VALUE"""),44885.552189131944)</f>
        <v>44885.55219</v>
      </c>
      <c r="G3795" s="24" t="str">
        <f>IFERROR(__xludf.DUMMYFUNCTION("""COMPUTED_VALUE"""),"Claire")</f>
        <v>Claire</v>
      </c>
      <c r="H3795" s="24">
        <f>IFERROR(__xludf.DUMMYFUNCTION("""COMPUTED_VALUE"""),942.0)</f>
        <v>942</v>
      </c>
      <c r="I3795" s="24" t="str">
        <f>IFERROR(__xludf.DUMMYFUNCTION("""COMPUTED_VALUE"""),"Amazon")</f>
        <v>Amazon</v>
      </c>
    </row>
    <row r="3796">
      <c r="A3796" s="23">
        <f>IFERROR(__xludf.DUMMYFUNCTION("""COMPUTED_VALUE"""),44864.677939780086)</f>
        <v>44864.67794</v>
      </c>
      <c r="B3796" s="24" t="str">
        <f>IFERROR(__xludf.DUMMYFUNCTION("""COMPUTED_VALUE"""),"Kate Weeks")</f>
        <v>Kate Weeks</v>
      </c>
      <c r="C3796" s="24">
        <f>IFERROR(__xludf.DUMMYFUNCTION("""COMPUTED_VALUE"""),20.0)</f>
        <v>20</v>
      </c>
      <c r="D3796" s="24" t="str">
        <f>IFERROR(__xludf.DUMMYFUNCTION("""COMPUTED_VALUE"""),"Regular (up to 20lbs)")</f>
        <v>Regular (up to 20lbs)</v>
      </c>
      <c r="F3796" s="23">
        <f>IFERROR(__xludf.DUMMYFUNCTION("""COMPUTED_VALUE"""),44885.55254266204)</f>
        <v>44885.55254</v>
      </c>
      <c r="G3796" s="24" t="str">
        <f>IFERROR(__xludf.DUMMYFUNCTION("""COMPUTED_VALUE"""),"Claire")</f>
        <v>Claire</v>
      </c>
      <c r="H3796" s="24">
        <f>IFERROR(__xludf.DUMMYFUNCTION("""COMPUTED_VALUE"""),540.0)</f>
        <v>540</v>
      </c>
      <c r="I3796" s="24" t="str">
        <f>IFERROR(__xludf.DUMMYFUNCTION("""COMPUTED_VALUE"""),"Fruit cups")</f>
        <v>Fruit cups</v>
      </c>
    </row>
    <row r="3797">
      <c r="A3797" s="23">
        <f>IFERROR(__xludf.DUMMYFUNCTION("""COMPUTED_VALUE"""),44864.67821613426)</f>
        <v>44864.67822</v>
      </c>
      <c r="B3797" s="24" t="str">
        <f>IFERROR(__xludf.DUMMYFUNCTION("""COMPUTED_VALUE"""),"Kate Weeks ")</f>
        <v>Kate Weeks </v>
      </c>
      <c r="C3797" s="24">
        <f>IFERROR(__xludf.DUMMYFUNCTION("""COMPUTED_VALUE"""),48.0)</f>
        <v>48</v>
      </c>
      <c r="D3797" s="24" t="str">
        <f>IFERROR(__xludf.DUMMYFUNCTION("""COMPUTED_VALUE"""),"Damage/expired/extra")</f>
        <v>Damage/expired/extra</v>
      </c>
      <c r="F3797" s="23">
        <f>IFERROR(__xludf.DUMMYFUNCTION("""COMPUTED_VALUE"""),44885.55287059028)</f>
        <v>44885.55287</v>
      </c>
      <c r="G3797" s="24" t="str">
        <f>IFERROR(__xludf.DUMMYFUNCTION("""COMPUTED_VALUE"""),"Claire")</f>
        <v>Claire</v>
      </c>
      <c r="H3797" s="24">
        <f>IFERROR(__xludf.DUMMYFUNCTION("""COMPUTED_VALUE"""),627.0)</f>
        <v>627</v>
      </c>
      <c r="I3797" s="24" t="str">
        <f>IFERROR(__xludf.DUMMYFUNCTION("""COMPUTED_VALUE"""),"Fruit cups")</f>
        <v>Fruit cups</v>
      </c>
    </row>
    <row r="3798">
      <c r="A3798" s="23">
        <f>IFERROR(__xludf.DUMMYFUNCTION("""COMPUTED_VALUE"""),44866.0)</f>
        <v>44866</v>
      </c>
      <c r="B3798" s="24" t="str">
        <f>IFERROR(__xludf.DUMMYFUNCTION("""COMPUTED_VALUE"""),"Hong Xue")</f>
        <v>Hong Xue</v>
      </c>
      <c r="C3798" s="24">
        <f>IFERROR(__xludf.DUMMYFUNCTION("""COMPUTED_VALUE"""),20.0)</f>
        <v>20</v>
      </c>
      <c r="D3798" s="24" t="str">
        <f>IFERROR(__xludf.DUMMYFUNCTION("""COMPUTED_VALUE"""),"Regular (up to 20lbs)")</f>
        <v>Regular (up to 20lbs)</v>
      </c>
      <c r="F3798" s="23">
        <f>IFERROR(__xludf.DUMMYFUNCTION("""COMPUTED_VALUE"""),44885.55310425926)</f>
        <v>44885.5531</v>
      </c>
      <c r="G3798" s="24" t="str">
        <f>IFERROR(__xludf.DUMMYFUNCTION("""COMPUTED_VALUE"""),"Claire")</f>
        <v>Claire</v>
      </c>
      <c r="H3798" s="24">
        <f>IFERROR(__xludf.DUMMYFUNCTION("""COMPUTED_VALUE"""),545.0)</f>
        <v>545</v>
      </c>
      <c r="I3798" s="24" t="str">
        <f>IFERROR(__xludf.DUMMYFUNCTION("""COMPUTED_VALUE"""),"Produce")</f>
        <v>Produce</v>
      </c>
    </row>
    <row r="3799">
      <c r="A3799" s="23">
        <f>IFERROR(__xludf.DUMMYFUNCTION("""COMPUTED_VALUE"""),44866.0)</f>
        <v>44866</v>
      </c>
      <c r="B3799" s="24" t="str">
        <f>IFERROR(__xludf.DUMMYFUNCTION("""COMPUTED_VALUE"""),"Hong Xue")</f>
        <v>Hong Xue</v>
      </c>
      <c r="C3799" s="24">
        <f>IFERROR(__xludf.DUMMYFUNCTION("""COMPUTED_VALUE"""),37.0)</f>
        <v>37</v>
      </c>
      <c r="D3799" s="24" t="str">
        <f>IFERROR(__xludf.DUMMYFUNCTION("""COMPUTED_VALUE"""),"Damage/expired/extra")</f>
        <v>Damage/expired/extra</v>
      </c>
      <c r="F3799" s="23">
        <f>IFERROR(__xludf.DUMMYFUNCTION("""COMPUTED_VALUE"""),44885.55717975694)</f>
        <v>44885.55718</v>
      </c>
      <c r="G3799" s="24" t="str">
        <f>IFERROR(__xludf.DUMMYFUNCTION("""COMPUTED_VALUE"""),"Claire")</f>
        <v>Claire</v>
      </c>
      <c r="H3799" s="24">
        <f>IFERROR(__xludf.DUMMYFUNCTION("""COMPUTED_VALUE"""),727.0)</f>
        <v>727</v>
      </c>
      <c r="I3799" s="24" t="str">
        <f>IFERROR(__xludf.DUMMYFUNCTION("""COMPUTED_VALUE"""),"Amazon")</f>
        <v>Amazon</v>
      </c>
    </row>
    <row r="3800">
      <c r="A3800" s="23">
        <f>IFERROR(__xludf.DUMMYFUNCTION("""COMPUTED_VALUE"""),44866.0)</f>
        <v>44866</v>
      </c>
      <c r="B3800" s="24" t="str">
        <f>IFERROR(__xludf.DUMMYFUNCTION("""COMPUTED_VALUE"""),"Marci")</f>
        <v>Marci</v>
      </c>
      <c r="C3800" s="24">
        <f>IFERROR(__xludf.DUMMYFUNCTION("""COMPUTED_VALUE"""),20.0)</f>
        <v>20</v>
      </c>
      <c r="D3800" s="24" t="str">
        <f>IFERROR(__xludf.DUMMYFUNCTION("""COMPUTED_VALUE"""),"Regular (up to 20lbs)")</f>
        <v>Regular (up to 20lbs)</v>
      </c>
      <c r="F3800" s="23">
        <f>IFERROR(__xludf.DUMMYFUNCTION("""COMPUTED_VALUE"""),44885.5665693287)</f>
        <v>44885.56657</v>
      </c>
      <c r="G3800" s="24" t="str">
        <f>IFERROR(__xludf.DUMMYFUNCTION("""COMPUTED_VALUE"""),"Claire")</f>
        <v>Claire</v>
      </c>
      <c r="H3800" s="24">
        <f>IFERROR(__xludf.DUMMYFUNCTION("""COMPUTED_VALUE"""),470.0)</f>
        <v>470</v>
      </c>
      <c r="I3800" s="24" t="str">
        <f>IFERROR(__xludf.DUMMYFUNCTION("""COMPUTED_VALUE"""),"Assorted Fridge")</f>
        <v>Assorted Fridge</v>
      </c>
    </row>
    <row r="3801">
      <c r="A3801" s="23">
        <f>IFERROR(__xludf.DUMMYFUNCTION("""COMPUTED_VALUE"""),44866.0)</f>
        <v>44866</v>
      </c>
      <c r="B3801" s="24" t="str">
        <f>IFERROR(__xludf.DUMMYFUNCTION("""COMPUTED_VALUE"""),"Marci")</f>
        <v>Marci</v>
      </c>
      <c r="C3801" s="24">
        <f>IFERROR(__xludf.DUMMYFUNCTION("""COMPUTED_VALUE"""),53.0)</f>
        <v>53</v>
      </c>
      <c r="D3801" s="24" t="str">
        <f>IFERROR(__xludf.DUMMYFUNCTION("""COMPUTED_VALUE"""),"Damage/expired/extra")</f>
        <v>Damage/expired/extra</v>
      </c>
      <c r="F3801" s="23">
        <f>IFERROR(__xludf.DUMMYFUNCTION("""COMPUTED_VALUE"""),44885.56944721065)</f>
        <v>44885.56945</v>
      </c>
      <c r="G3801" s="24" t="str">
        <f>IFERROR(__xludf.DUMMYFUNCTION("""COMPUTED_VALUE"""),"Claire")</f>
        <v>Claire</v>
      </c>
      <c r="H3801" s="24">
        <f>IFERROR(__xludf.DUMMYFUNCTION("""COMPUTED_VALUE"""),205.0)</f>
        <v>205</v>
      </c>
      <c r="I3801" s="24" t="str">
        <f>IFERROR(__xludf.DUMMYFUNCTION("""COMPUTED_VALUE"""),"Assorted Fridge")</f>
        <v>Assorted Fridge</v>
      </c>
    </row>
    <row r="3802">
      <c r="A3802" s="23">
        <f>IFERROR(__xludf.DUMMYFUNCTION("""COMPUTED_VALUE"""),44866.707308564815)</f>
        <v>44866.70731</v>
      </c>
      <c r="B3802" s="24" t="str">
        <f>IFERROR(__xludf.DUMMYFUNCTION("""COMPUTED_VALUE"""),"Romaine Bouldin ")</f>
        <v>Romaine Bouldin </v>
      </c>
      <c r="C3802" s="24">
        <f>IFERROR(__xludf.DUMMYFUNCTION("""COMPUTED_VALUE"""),16.0)</f>
        <v>16</v>
      </c>
      <c r="D3802" s="24" t="str">
        <f>IFERROR(__xludf.DUMMYFUNCTION("""COMPUTED_VALUE"""),"Regular (up to 20lbs)")</f>
        <v>Regular (up to 20lbs)</v>
      </c>
      <c r="F3802" s="23">
        <f>IFERROR(__xludf.DUMMYFUNCTION("""COMPUTED_VALUE"""),44885.57742483797)</f>
        <v>44885.57742</v>
      </c>
      <c r="G3802" s="24" t="str">
        <f>IFERROR(__xludf.DUMMYFUNCTION("""COMPUTED_VALUE"""),"Claire")</f>
        <v>Claire</v>
      </c>
      <c r="H3802" s="24">
        <f>IFERROR(__xludf.DUMMYFUNCTION("""COMPUTED_VALUE"""),675.0)</f>
        <v>675</v>
      </c>
      <c r="I3802" s="24" t="str">
        <f>IFERROR(__xludf.DUMMYFUNCTION("""COMPUTED_VALUE"""),"Amazon")</f>
        <v>Amazon</v>
      </c>
    </row>
    <row r="3803">
      <c r="A3803" s="23">
        <f>IFERROR(__xludf.DUMMYFUNCTION("""COMPUTED_VALUE"""),44866.70771665509)</f>
        <v>44866.70772</v>
      </c>
      <c r="B3803" s="24" t="str">
        <f>IFERROR(__xludf.DUMMYFUNCTION("""COMPUTED_VALUE"""),"Beverly Graham ")</f>
        <v>Beverly Graham </v>
      </c>
      <c r="C3803" s="24">
        <f>IFERROR(__xludf.DUMMYFUNCTION("""COMPUTED_VALUE"""),13.0)</f>
        <v>13</v>
      </c>
      <c r="D3803" s="24" t="str">
        <f>IFERROR(__xludf.DUMMYFUNCTION("""COMPUTED_VALUE"""),"Regular (up to 20lbs)")</f>
        <v>Regular (up to 20lbs)</v>
      </c>
      <c r="F3803" s="23">
        <f>IFERROR(__xludf.DUMMYFUNCTION("""COMPUTED_VALUE"""),44885.616221157405)</f>
        <v>44885.61622</v>
      </c>
      <c r="G3803" s="24" t="str">
        <f>IFERROR(__xludf.DUMMYFUNCTION("""COMPUTED_VALUE"""),"Opeyemi ")</f>
        <v>Opeyemi </v>
      </c>
      <c r="H3803" s="24">
        <f>IFERROR(__xludf.DUMMYFUNCTION("""COMPUTED_VALUE"""),1080.0)</f>
        <v>1080</v>
      </c>
      <c r="I3803" s="24" t="str">
        <f>IFERROR(__xludf.DUMMYFUNCTION("""COMPUTED_VALUE"""),"Assorted Dry")</f>
        <v>Assorted Dry</v>
      </c>
    </row>
    <row r="3804">
      <c r="A3804" s="23">
        <f>IFERROR(__xludf.DUMMYFUNCTION("""COMPUTED_VALUE"""),44866.70776034723)</f>
        <v>44866.70776</v>
      </c>
      <c r="B3804" s="24" t="str">
        <f>IFERROR(__xludf.DUMMYFUNCTION("""COMPUTED_VALUE"""),"Romaine Bouldin ")</f>
        <v>Romaine Bouldin </v>
      </c>
      <c r="C3804" s="24">
        <f>IFERROR(__xludf.DUMMYFUNCTION("""COMPUTED_VALUE"""),6.0)</f>
        <v>6</v>
      </c>
      <c r="D3804" s="24" t="str">
        <f>IFERROR(__xludf.DUMMYFUNCTION("""COMPUTED_VALUE"""),"Damage/expired/extra")</f>
        <v>Damage/expired/extra</v>
      </c>
      <c r="F3804" s="23">
        <f>IFERROR(__xludf.DUMMYFUNCTION("""COMPUTED_VALUE"""),44885.64877236111)</f>
        <v>44885.64877</v>
      </c>
      <c r="G3804" s="24" t="str">
        <f>IFERROR(__xludf.DUMMYFUNCTION("""COMPUTED_VALUE"""),"James williams ")</f>
        <v>James williams </v>
      </c>
      <c r="H3804" s="24">
        <f>IFERROR(__xludf.DUMMYFUNCTION("""COMPUTED_VALUE"""),20.0)</f>
        <v>20</v>
      </c>
      <c r="I3804" s="24" t="str">
        <f>IFERROR(__xludf.DUMMYFUNCTION("""COMPUTED_VALUE"""),"Regular (up to 20lbs)")</f>
        <v>Regular (up to 20lbs)</v>
      </c>
    </row>
    <row r="3805">
      <c r="A3805" s="23">
        <f>IFERROR(__xludf.DUMMYFUNCTION("""COMPUTED_VALUE"""),44866.70798099537)</f>
        <v>44866.70798</v>
      </c>
      <c r="B3805" s="24" t="str">
        <f>IFERROR(__xludf.DUMMYFUNCTION("""COMPUTED_VALUE"""),"Beverly Graham")</f>
        <v>Beverly Graham</v>
      </c>
      <c r="C3805" s="24">
        <f>IFERROR(__xludf.DUMMYFUNCTION("""COMPUTED_VALUE"""),8.0)</f>
        <v>8</v>
      </c>
      <c r="D3805" s="24" t="str">
        <f>IFERROR(__xludf.DUMMYFUNCTION("""COMPUTED_VALUE"""),"Damage/expired/extra")</f>
        <v>Damage/expired/extra</v>
      </c>
      <c r="F3805" s="23">
        <f>IFERROR(__xludf.DUMMYFUNCTION("""COMPUTED_VALUE"""),44885.649711666665)</f>
        <v>44885.64971</v>
      </c>
      <c r="G3805" s="24" t="str">
        <f>IFERROR(__xludf.DUMMYFUNCTION("""COMPUTED_VALUE"""),"Alex")</f>
        <v>Alex</v>
      </c>
      <c r="H3805" s="24">
        <f>IFERROR(__xludf.DUMMYFUNCTION("""COMPUTED_VALUE"""),20.0)</f>
        <v>20</v>
      </c>
      <c r="I3805" s="24" t="str">
        <f>IFERROR(__xludf.DUMMYFUNCTION("""COMPUTED_VALUE"""),"Regular (up to 20lbs)")</f>
        <v>Regular (up to 20lbs)</v>
      </c>
    </row>
    <row r="3806">
      <c r="A3806" s="23">
        <f>IFERROR(__xludf.DUMMYFUNCTION("""COMPUTED_VALUE"""),44866.71143368055)</f>
        <v>44866.71143</v>
      </c>
      <c r="B3806" s="24" t="str">
        <f>IFERROR(__xludf.DUMMYFUNCTION("""COMPUTED_VALUE"""),"Susan larson")</f>
        <v>Susan larson</v>
      </c>
      <c r="C3806" s="24">
        <f>IFERROR(__xludf.DUMMYFUNCTION("""COMPUTED_VALUE"""),6.0)</f>
        <v>6</v>
      </c>
      <c r="D3806" s="24" t="str">
        <f>IFERROR(__xludf.DUMMYFUNCTION("""COMPUTED_VALUE"""),"Regular (up to 20lbs)")</f>
        <v>Regular (up to 20lbs)</v>
      </c>
      <c r="F3806" s="23">
        <f>IFERROR(__xludf.DUMMYFUNCTION("""COMPUTED_VALUE"""),44885.65317929398)</f>
        <v>44885.65318</v>
      </c>
      <c r="G3806" s="24" t="str">
        <f>IFERROR(__xludf.DUMMYFUNCTION("""COMPUTED_VALUE"""),"Opeyemi")</f>
        <v>Opeyemi</v>
      </c>
      <c r="H3806" s="24">
        <f>IFERROR(__xludf.DUMMYFUNCTION("""COMPUTED_VALUE"""),8.0)</f>
        <v>8</v>
      </c>
      <c r="I3806" s="24" t="str">
        <f>IFERROR(__xludf.DUMMYFUNCTION("""COMPUTED_VALUE"""),"Regular (up to 20lbs)")</f>
        <v>Regular (up to 20lbs)</v>
      </c>
    </row>
    <row r="3807">
      <c r="A3807" s="23">
        <f>IFERROR(__xludf.DUMMYFUNCTION("""COMPUTED_VALUE"""),44866.0)</f>
        <v>44866</v>
      </c>
      <c r="B3807" s="24" t="str">
        <f>IFERROR(__xludf.DUMMYFUNCTION("""COMPUTED_VALUE"""),"Susan larson")</f>
        <v>Susan larson</v>
      </c>
      <c r="C3807" s="24">
        <f>IFERROR(__xludf.DUMMYFUNCTION("""COMPUTED_VALUE"""),25.0)</f>
        <v>25</v>
      </c>
      <c r="D3807" s="24" t="str">
        <f>IFERROR(__xludf.DUMMYFUNCTION("""COMPUTED_VALUE"""),"Damage/expired/extra")</f>
        <v>Damage/expired/extra</v>
      </c>
      <c r="F3807" s="23">
        <f>IFERROR(__xludf.DUMMYFUNCTION("""COMPUTED_VALUE"""),44885.65737664352)</f>
        <v>44885.65738</v>
      </c>
      <c r="G3807" s="24" t="str">
        <f>IFERROR(__xludf.DUMMYFUNCTION("""COMPUTED_VALUE"""),"Kaneesha ")</f>
        <v>Kaneesha </v>
      </c>
      <c r="H3807" s="24">
        <f>IFERROR(__xludf.DUMMYFUNCTION("""COMPUTED_VALUE"""),20.0)</f>
        <v>20</v>
      </c>
      <c r="I3807" s="24" t="str">
        <f>IFERROR(__xludf.DUMMYFUNCTION("""COMPUTED_VALUE"""),"Regular (up to 20lbs)")</f>
        <v>Regular (up to 20lbs)</v>
      </c>
    </row>
    <row r="3808">
      <c r="A3808" s="23">
        <f>IFERROR(__xludf.DUMMYFUNCTION("""COMPUTED_VALUE"""),44866.713175729165)</f>
        <v>44866.71318</v>
      </c>
      <c r="B3808" s="24" t="str">
        <f>IFERROR(__xludf.DUMMYFUNCTION("""COMPUTED_VALUE"""),"Beverly Pinn")</f>
        <v>Beverly Pinn</v>
      </c>
      <c r="C3808" s="24">
        <f>IFERROR(__xludf.DUMMYFUNCTION("""COMPUTED_VALUE"""),16.0)</f>
        <v>16</v>
      </c>
      <c r="D3808" s="24" t="str">
        <f>IFERROR(__xludf.DUMMYFUNCTION("""COMPUTED_VALUE"""),"Regular (up to 20lbs)")</f>
        <v>Regular (up to 20lbs)</v>
      </c>
      <c r="F3808" s="23">
        <f>IFERROR(__xludf.DUMMYFUNCTION("""COMPUTED_VALUE"""),44885.65749751157)</f>
        <v>44885.6575</v>
      </c>
      <c r="G3808" s="24" t="str">
        <f>IFERROR(__xludf.DUMMYFUNCTION("""COMPUTED_VALUE"""),"Kaneesha ")</f>
        <v>Kaneesha </v>
      </c>
      <c r="H3808" s="24">
        <f>IFERROR(__xludf.DUMMYFUNCTION("""COMPUTED_VALUE"""),22.0)</f>
        <v>22</v>
      </c>
      <c r="I3808" s="24" t="str">
        <f>IFERROR(__xludf.DUMMYFUNCTION("""COMPUTED_VALUE"""),"Damage/expired/extra")</f>
        <v>Damage/expired/extra</v>
      </c>
    </row>
    <row r="3809">
      <c r="A3809" s="23">
        <f>IFERROR(__xludf.DUMMYFUNCTION("""COMPUTED_VALUE"""),44866.71334184028)</f>
        <v>44866.71334</v>
      </c>
      <c r="B3809" s="24" t="str">
        <f>IFERROR(__xludf.DUMMYFUNCTION("""COMPUTED_VALUE"""),"Beverly Pinn")</f>
        <v>Beverly Pinn</v>
      </c>
      <c r="C3809" s="24">
        <f>IFERROR(__xludf.DUMMYFUNCTION("""COMPUTED_VALUE"""),25.0)</f>
        <v>25</v>
      </c>
      <c r="D3809" s="24" t="str">
        <f>IFERROR(__xludf.DUMMYFUNCTION("""COMPUTED_VALUE"""),"Damage/expired/extra")</f>
        <v>Damage/expired/extra</v>
      </c>
      <c r="F3809" s="23">
        <f>IFERROR(__xludf.DUMMYFUNCTION("""COMPUTED_VALUE"""),44885.65858766204)</f>
        <v>44885.65859</v>
      </c>
      <c r="G3809" s="24" t="str">
        <f>IFERROR(__xludf.DUMMYFUNCTION("""COMPUTED_VALUE"""),"Zoe")</f>
        <v>Zoe</v>
      </c>
      <c r="H3809" s="24">
        <f>IFERROR(__xludf.DUMMYFUNCTION("""COMPUTED_VALUE"""),18.0)</f>
        <v>18</v>
      </c>
      <c r="I3809" s="24" t="str">
        <f>IFERROR(__xludf.DUMMYFUNCTION("""COMPUTED_VALUE"""),"Regular (up to 20lbs)")</f>
        <v>Regular (up to 20lbs)</v>
      </c>
    </row>
    <row r="3810">
      <c r="A3810" s="23">
        <f>IFERROR(__xludf.DUMMYFUNCTION("""COMPUTED_VALUE"""),44866.71479064815)</f>
        <v>44866.71479</v>
      </c>
      <c r="B3810" s="24" t="str">
        <f>IFERROR(__xludf.DUMMYFUNCTION("""COMPUTED_VALUE"""),"Jean")</f>
        <v>Jean</v>
      </c>
      <c r="C3810" s="24">
        <f>IFERROR(__xludf.DUMMYFUNCTION("""COMPUTED_VALUE"""),32.0)</f>
        <v>32</v>
      </c>
      <c r="D3810" s="24" t="str">
        <f>IFERROR(__xludf.DUMMYFUNCTION("""COMPUTED_VALUE"""),"Damage/expired/extra")</f>
        <v>Damage/expired/extra</v>
      </c>
      <c r="F3810" s="23">
        <f>IFERROR(__xludf.DUMMYFUNCTION("""COMPUTED_VALUE"""),44885.65982626158)</f>
        <v>44885.65983</v>
      </c>
      <c r="G3810" s="24" t="str">
        <f>IFERROR(__xludf.DUMMYFUNCTION("""COMPUTED_VALUE"""),"Yulia ")</f>
        <v>Yulia </v>
      </c>
      <c r="H3810" s="24">
        <f>IFERROR(__xludf.DUMMYFUNCTION("""COMPUTED_VALUE"""),14.0)</f>
        <v>14</v>
      </c>
      <c r="I3810" s="24" t="str">
        <f>IFERROR(__xludf.DUMMYFUNCTION("""COMPUTED_VALUE"""),"Damage/expired/extra")</f>
        <v>Damage/expired/extra</v>
      </c>
    </row>
    <row r="3811">
      <c r="A3811" s="23">
        <f>IFERROR(__xludf.DUMMYFUNCTION("""COMPUTED_VALUE"""),44866.71501447917)</f>
        <v>44866.71501</v>
      </c>
      <c r="B3811" s="24" t="str">
        <f>IFERROR(__xludf.DUMMYFUNCTION("""COMPUTED_VALUE"""),"Jean")</f>
        <v>Jean</v>
      </c>
      <c r="C3811" s="24">
        <f>IFERROR(__xludf.DUMMYFUNCTION("""COMPUTED_VALUE"""),16.0)</f>
        <v>16</v>
      </c>
      <c r="D3811" s="24" t="str">
        <f>IFERROR(__xludf.DUMMYFUNCTION("""COMPUTED_VALUE"""),"Regular (up to 20lbs)")</f>
        <v>Regular (up to 20lbs)</v>
      </c>
      <c r="F3811" s="23">
        <f>IFERROR(__xludf.DUMMYFUNCTION("""COMPUTED_VALUE"""),44885.65997331019)</f>
        <v>44885.65997</v>
      </c>
      <c r="G3811" s="24" t="str">
        <f>IFERROR(__xludf.DUMMYFUNCTION("""COMPUTED_VALUE"""),"Yulia")</f>
        <v>Yulia</v>
      </c>
      <c r="H3811" s="24">
        <f>IFERROR(__xludf.DUMMYFUNCTION("""COMPUTED_VALUE"""),20.0)</f>
        <v>20</v>
      </c>
      <c r="I3811" s="24" t="str">
        <f>IFERROR(__xludf.DUMMYFUNCTION("""COMPUTED_VALUE"""),"Regular (up to 20lbs)")</f>
        <v>Regular (up to 20lbs)</v>
      </c>
    </row>
    <row r="3812">
      <c r="A3812" s="23">
        <f>IFERROR(__xludf.DUMMYFUNCTION("""COMPUTED_VALUE"""),44866.71551204861)</f>
        <v>44866.71551</v>
      </c>
      <c r="B3812" s="24" t="str">
        <f>IFERROR(__xludf.DUMMYFUNCTION("""COMPUTED_VALUE"""),"Anna West")</f>
        <v>Anna West</v>
      </c>
      <c r="C3812" s="24">
        <f>IFERROR(__xludf.DUMMYFUNCTION("""COMPUTED_VALUE"""),18.0)</f>
        <v>18</v>
      </c>
      <c r="D3812" s="24" t="str">
        <f>IFERROR(__xludf.DUMMYFUNCTION("""COMPUTED_VALUE"""),"Regular (up to 20lbs)")</f>
        <v>Regular (up to 20lbs)</v>
      </c>
      <c r="F3812" s="23">
        <f>IFERROR(__xludf.DUMMYFUNCTION("""COMPUTED_VALUE"""),44887.0)</f>
        <v>44887</v>
      </c>
      <c r="G3812" s="24" t="str">
        <f>IFERROR(__xludf.DUMMYFUNCTION("""COMPUTED_VALUE"""),"Susan Larson")</f>
        <v>Susan Larson</v>
      </c>
      <c r="H3812" s="24">
        <f>IFERROR(__xludf.DUMMYFUNCTION("""COMPUTED_VALUE"""),15.0)</f>
        <v>15</v>
      </c>
      <c r="I3812" s="24" t="str">
        <f>IFERROR(__xludf.DUMMYFUNCTION("""COMPUTED_VALUE"""),"Regular (up to 20lbs)")</f>
        <v>Regular (up to 20lbs)</v>
      </c>
    </row>
    <row r="3813">
      <c r="A3813" s="23">
        <f>IFERROR(__xludf.DUMMYFUNCTION("""COMPUTED_VALUE"""),44866.715653125)</f>
        <v>44866.71565</v>
      </c>
      <c r="B3813" s="24" t="str">
        <f>IFERROR(__xludf.DUMMYFUNCTION("""COMPUTED_VALUE"""),"Anna West")</f>
        <v>Anna West</v>
      </c>
      <c r="C3813" s="24">
        <f>IFERROR(__xludf.DUMMYFUNCTION("""COMPUTED_VALUE"""),26.0)</f>
        <v>26</v>
      </c>
      <c r="D3813" s="24" t="str">
        <f>IFERROR(__xludf.DUMMYFUNCTION("""COMPUTED_VALUE"""),"Damage/expired/extra")</f>
        <v>Damage/expired/extra</v>
      </c>
      <c r="F3813" s="23">
        <f>IFERROR(__xludf.DUMMYFUNCTION("""COMPUTED_VALUE"""),44887.0)</f>
        <v>44887</v>
      </c>
      <c r="G3813" s="24" t="str">
        <f>IFERROR(__xludf.DUMMYFUNCTION("""COMPUTED_VALUE"""),"Susan Larson")</f>
        <v>Susan Larson</v>
      </c>
      <c r="H3813" s="24">
        <f>IFERROR(__xludf.DUMMYFUNCTION("""COMPUTED_VALUE"""),7.0)</f>
        <v>7</v>
      </c>
      <c r="I3813" s="24" t="str">
        <f>IFERROR(__xludf.DUMMYFUNCTION("""COMPUTED_VALUE"""),"Damage/expired/extra")</f>
        <v>Damage/expired/extra</v>
      </c>
    </row>
    <row r="3814">
      <c r="A3814" s="23">
        <f>IFERROR(__xludf.DUMMYFUNCTION("""COMPUTED_VALUE"""),44867.0)</f>
        <v>44867</v>
      </c>
      <c r="B3814" s="24" t="str">
        <f>IFERROR(__xludf.DUMMYFUNCTION("""COMPUTED_VALUE"""),"Sarah Krensky")</f>
        <v>Sarah Krensky</v>
      </c>
      <c r="C3814" s="24">
        <f>IFERROR(__xludf.DUMMYFUNCTION("""COMPUTED_VALUE"""),25.0)</f>
        <v>25</v>
      </c>
      <c r="D3814" s="24" t="str">
        <f>IFERROR(__xludf.DUMMYFUNCTION("""COMPUTED_VALUE"""),"Regular (up to 20lbs)")</f>
        <v>Regular (up to 20lbs)</v>
      </c>
      <c r="F3814" s="23">
        <f>IFERROR(__xludf.DUMMYFUNCTION("""COMPUTED_VALUE"""),44887.0)</f>
        <v>44887</v>
      </c>
      <c r="G3814" s="24" t="str">
        <f>IFERROR(__xludf.DUMMYFUNCTION("""COMPUTED_VALUE"""),"Juanita Chandler ")</f>
        <v>Juanita Chandler </v>
      </c>
      <c r="H3814" s="24">
        <f>IFERROR(__xludf.DUMMYFUNCTION("""COMPUTED_VALUE"""),12.0)</f>
        <v>12</v>
      </c>
      <c r="I3814" s="24" t="str">
        <f>IFERROR(__xludf.DUMMYFUNCTION("""COMPUTED_VALUE"""),"Regular (up to 20lbs)")</f>
        <v>Regular (up to 20lbs)</v>
      </c>
    </row>
    <row r="3815">
      <c r="A3815" s="23">
        <f>IFERROR(__xludf.DUMMYFUNCTION("""COMPUTED_VALUE"""),44867.0)</f>
        <v>44867</v>
      </c>
      <c r="B3815" s="24" t="str">
        <f>IFERROR(__xludf.DUMMYFUNCTION("""COMPUTED_VALUE"""),"Juantia Chandler")</f>
        <v>Juantia Chandler</v>
      </c>
      <c r="C3815" s="24">
        <f>IFERROR(__xludf.DUMMYFUNCTION("""COMPUTED_VALUE"""),7.0)</f>
        <v>7</v>
      </c>
      <c r="D3815" s="24" t="str">
        <f>IFERROR(__xludf.DUMMYFUNCTION("""COMPUTED_VALUE"""),"Regular (up to 20lbs)")</f>
        <v>Regular (up to 20lbs)</v>
      </c>
      <c r="F3815" s="23">
        <f>IFERROR(__xludf.DUMMYFUNCTION("""COMPUTED_VALUE"""),44887.0)</f>
        <v>44887</v>
      </c>
      <c r="G3815" s="24" t="str">
        <f>IFERROR(__xludf.DUMMYFUNCTION("""COMPUTED_VALUE"""),"Juanita Chandler ")</f>
        <v>Juanita Chandler </v>
      </c>
      <c r="H3815" s="24">
        <f>IFERROR(__xludf.DUMMYFUNCTION("""COMPUTED_VALUE"""),28.0)</f>
        <v>28</v>
      </c>
      <c r="I3815" s="24" t="str">
        <f>IFERROR(__xludf.DUMMYFUNCTION("""COMPUTED_VALUE"""),"Damage/expired/extra")</f>
        <v>Damage/expired/extra</v>
      </c>
    </row>
    <row r="3816">
      <c r="A3816" s="23">
        <f>IFERROR(__xludf.DUMMYFUNCTION("""COMPUTED_VALUE"""),44867.0)</f>
        <v>44867</v>
      </c>
      <c r="B3816" s="24" t="str">
        <f>IFERROR(__xludf.DUMMYFUNCTION("""COMPUTED_VALUE"""),"Juanita Chandler ")</f>
        <v>Juanita Chandler </v>
      </c>
      <c r="C3816" s="24">
        <f>IFERROR(__xludf.DUMMYFUNCTION("""COMPUTED_VALUE"""),16.0)</f>
        <v>16</v>
      </c>
      <c r="D3816" s="24" t="str">
        <f>IFERROR(__xludf.DUMMYFUNCTION("""COMPUTED_VALUE"""),"Damage/expired/extra")</f>
        <v>Damage/expired/extra</v>
      </c>
      <c r="F3816" s="23">
        <f>IFERROR(__xludf.DUMMYFUNCTION("""COMPUTED_VALUE"""),44887.0)</f>
        <v>44887</v>
      </c>
      <c r="G3816" s="24" t="str">
        <f>IFERROR(__xludf.DUMMYFUNCTION("""COMPUTED_VALUE"""),"Marci")</f>
        <v>Marci</v>
      </c>
      <c r="H3816" s="24">
        <f>IFERROR(__xludf.DUMMYFUNCTION("""COMPUTED_VALUE"""),6.0)</f>
        <v>6</v>
      </c>
      <c r="I3816" s="24" t="str">
        <f>IFERROR(__xludf.DUMMYFUNCTION("""COMPUTED_VALUE"""),"Regular (up to 20lbs)")</f>
        <v>Regular (up to 20lbs)</v>
      </c>
    </row>
    <row r="3817">
      <c r="A3817" s="23">
        <f>IFERROR(__xludf.DUMMYFUNCTION("""COMPUTED_VALUE"""),44867.0)</f>
        <v>44867</v>
      </c>
      <c r="B3817" s="24" t="str">
        <f>IFERROR(__xludf.DUMMYFUNCTION("""COMPUTED_VALUE"""),"Karen Moore")</f>
        <v>Karen Moore</v>
      </c>
      <c r="C3817" s="24">
        <f>IFERROR(__xludf.DUMMYFUNCTION("""COMPUTED_VALUE"""),16.0)</f>
        <v>16</v>
      </c>
      <c r="D3817" s="24" t="str">
        <f>IFERROR(__xludf.DUMMYFUNCTION("""COMPUTED_VALUE"""),"Regular (up to 20lbs)")</f>
        <v>Regular (up to 20lbs)</v>
      </c>
      <c r="F3817" s="23">
        <f>IFERROR(__xludf.DUMMYFUNCTION("""COMPUTED_VALUE"""),44887.0)</f>
        <v>44887</v>
      </c>
      <c r="G3817" s="24" t="str">
        <f>IFERROR(__xludf.DUMMYFUNCTION("""COMPUTED_VALUE"""),"Marci")</f>
        <v>Marci</v>
      </c>
      <c r="H3817" s="24">
        <f>IFERROR(__xludf.DUMMYFUNCTION("""COMPUTED_VALUE"""),40.0)</f>
        <v>40</v>
      </c>
      <c r="I3817" s="24" t="str">
        <f>IFERROR(__xludf.DUMMYFUNCTION("""COMPUTED_VALUE"""),"Damage/expired/extra")</f>
        <v>Damage/expired/extra</v>
      </c>
    </row>
    <row r="3818">
      <c r="A3818" s="23">
        <f>IFERROR(__xludf.DUMMYFUNCTION("""COMPUTED_VALUE"""),44867.0)</f>
        <v>44867</v>
      </c>
      <c r="B3818" s="24" t="str">
        <f>IFERROR(__xludf.DUMMYFUNCTION("""COMPUTED_VALUE"""),"Karen Moore")</f>
        <v>Karen Moore</v>
      </c>
      <c r="C3818" s="24">
        <f>IFERROR(__xludf.DUMMYFUNCTION("""COMPUTED_VALUE"""),85.0)</f>
        <v>85</v>
      </c>
      <c r="D3818" s="24" t="str">
        <f>IFERROR(__xludf.DUMMYFUNCTION("""COMPUTED_VALUE"""),"Damage/expired/extra")</f>
        <v>Damage/expired/extra</v>
      </c>
      <c r="F3818" s="23">
        <f>IFERROR(__xludf.DUMMYFUNCTION("""COMPUTED_VALUE"""),44887.61706758102)</f>
        <v>44887.61707</v>
      </c>
      <c r="G3818" s="24" t="str">
        <f>IFERROR(__xludf.DUMMYFUNCTION("""COMPUTED_VALUE"""),"Claire")</f>
        <v>Claire</v>
      </c>
      <c r="H3818" s="24">
        <f>IFERROR(__xludf.DUMMYFUNCTION("""COMPUTED_VALUE"""),734.0)</f>
        <v>734</v>
      </c>
      <c r="I3818" s="24" t="str">
        <f>IFERROR(__xludf.DUMMYFUNCTION("""COMPUTED_VALUE"""),"Amazon")</f>
        <v>Amazon</v>
      </c>
    </row>
    <row r="3819">
      <c r="A3819" s="23">
        <f>IFERROR(__xludf.DUMMYFUNCTION("""COMPUTED_VALUE"""),44867.60049885417)</f>
        <v>44867.6005</v>
      </c>
      <c r="B3819" s="24" t="str">
        <f>IFERROR(__xludf.DUMMYFUNCTION("""COMPUTED_VALUE"""),"Bud Stracker - personal ")</f>
        <v>Bud Stracker - personal </v>
      </c>
      <c r="C3819" s="24">
        <f>IFERROR(__xludf.DUMMYFUNCTION("""COMPUTED_VALUE"""),6.0)</f>
        <v>6</v>
      </c>
      <c r="D3819" s="24" t="str">
        <f>IFERROR(__xludf.DUMMYFUNCTION("""COMPUTED_VALUE"""),"Regular (up to 20lbs)")</f>
        <v>Regular (up to 20lbs)</v>
      </c>
      <c r="F3819" s="23">
        <f>IFERROR(__xludf.DUMMYFUNCTION("""COMPUTED_VALUE"""),44887.61728763889)</f>
        <v>44887.61729</v>
      </c>
      <c r="G3819" s="24" t="str">
        <f>IFERROR(__xludf.DUMMYFUNCTION("""COMPUTED_VALUE"""),"Claire")</f>
        <v>Claire</v>
      </c>
      <c r="H3819" s="24">
        <f>IFERROR(__xludf.DUMMYFUNCTION("""COMPUTED_VALUE"""),327.0)</f>
        <v>327</v>
      </c>
      <c r="I3819" s="24" t="str">
        <f>IFERROR(__xludf.DUMMYFUNCTION("""COMPUTED_VALUE"""),"Amazon")</f>
        <v>Amazon</v>
      </c>
    </row>
    <row r="3820">
      <c r="A3820" s="23">
        <f>IFERROR(__xludf.DUMMYFUNCTION("""COMPUTED_VALUE"""),44867.60109417824)</f>
        <v>44867.60109</v>
      </c>
      <c r="B3820" s="24" t="str">
        <f>IFERROR(__xludf.DUMMYFUNCTION("""COMPUTED_VALUE"""),"Bud - Sisson st dpw drinks ")</f>
        <v>Bud - Sisson st dpw drinks </v>
      </c>
      <c r="C3820" s="24">
        <f>IFERROR(__xludf.DUMMYFUNCTION("""COMPUTED_VALUE"""),7.0)</f>
        <v>7</v>
      </c>
      <c r="D3820" s="24" t="str">
        <f>IFERROR(__xludf.DUMMYFUNCTION("""COMPUTED_VALUE"""),"Regular (up to 20lbs)")</f>
        <v>Regular (up to 20lbs)</v>
      </c>
      <c r="F3820" s="23">
        <f>IFERROR(__xludf.DUMMYFUNCTION("""COMPUTED_VALUE"""),44887.61751856482)</f>
        <v>44887.61752</v>
      </c>
      <c r="G3820" s="24" t="str">
        <f>IFERROR(__xludf.DUMMYFUNCTION("""COMPUTED_VALUE"""),"Claire")</f>
        <v>Claire</v>
      </c>
      <c r="H3820" s="24">
        <f>IFERROR(__xludf.DUMMYFUNCTION("""COMPUTED_VALUE"""),341.0)</f>
        <v>341</v>
      </c>
      <c r="I3820" s="24" t="str">
        <f>IFERROR(__xludf.DUMMYFUNCTION("""COMPUTED_VALUE"""),"Amazon")</f>
        <v>Amazon</v>
      </c>
    </row>
    <row r="3821">
      <c r="A3821" s="23">
        <f>IFERROR(__xludf.DUMMYFUNCTION("""COMPUTED_VALUE"""),44867.81474592593)</f>
        <v>44867.81475</v>
      </c>
      <c r="B3821" s="24" t="str">
        <f>IFERROR(__xludf.DUMMYFUNCTION("""COMPUTED_VALUE"""),"Lynnette c")</f>
        <v>Lynnette c</v>
      </c>
      <c r="C3821" s="24">
        <f>IFERROR(__xludf.DUMMYFUNCTION("""COMPUTED_VALUE"""),8.0)</f>
        <v>8</v>
      </c>
      <c r="D3821" s="24" t="str">
        <f>IFERROR(__xludf.DUMMYFUNCTION("""COMPUTED_VALUE"""),"Damage/expired/extra")</f>
        <v>Damage/expired/extra</v>
      </c>
      <c r="F3821" s="23">
        <f>IFERROR(__xludf.DUMMYFUNCTION("""COMPUTED_VALUE"""),44887.61773791667)</f>
        <v>44887.61774</v>
      </c>
      <c r="G3821" s="24" t="str">
        <f>IFERROR(__xludf.DUMMYFUNCTION("""COMPUTED_VALUE"""),"Claire")</f>
        <v>Claire</v>
      </c>
      <c r="H3821" s="24">
        <f>IFERROR(__xludf.DUMMYFUNCTION("""COMPUTED_VALUE"""),299.0)</f>
        <v>299</v>
      </c>
      <c r="I3821" s="24" t="str">
        <f>IFERROR(__xludf.DUMMYFUNCTION("""COMPUTED_VALUE"""),"Amazon")</f>
        <v>Amazon</v>
      </c>
    </row>
    <row r="3822">
      <c r="A3822" s="23">
        <f>IFERROR(__xludf.DUMMYFUNCTION("""COMPUTED_VALUE"""),44867.81489197917)</f>
        <v>44867.81489</v>
      </c>
      <c r="B3822" s="24" t="str">
        <f>IFERROR(__xludf.DUMMYFUNCTION("""COMPUTED_VALUE"""),"Lynnette ")</f>
        <v>Lynnette </v>
      </c>
      <c r="C3822" s="24">
        <f>IFERROR(__xludf.DUMMYFUNCTION("""COMPUTED_VALUE"""),5.0)</f>
        <v>5</v>
      </c>
      <c r="D3822" s="24" t="str">
        <f>IFERROR(__xludf.DUMMYFUNCTION("""COMPUTED_VALUE"""),"Regular (up to 20lbs)")</f>
        <v>Regular (up to 20lbs)</v>
      </c>
      <c r="F3822" s="23">
        <f>IFERROR(__xludf.DUMMYFUNCTION("""COMPUTED_VALUE"""),44887.6824772338)</f>
        <v>44887.68248</v>
      </c>
      <c r="G3822" s="24" t="str">
        <f>IFERROR(__xludf.DUMMYFUNCTION("""COMPUTED_VALUE"""),"Claire")</f>
        <v>Claire</v>
      </c>
      <c r="H3822" s="24">
        <f>IFERROR(__xludf.DUMMYFUNCTION("""COMPUTED_VALUE"""),752.0)</f>
        <v>752</v>
      </c>
      <c r="I3822" s="24" t="str">
        <f>IFERROR(__xludf.DUMMYFUNCTION("""COMPUTED_VALUE"""),"Boxes")</f>
        <v>Boxes</v>
      </c>
    </row>
    <row r="3823">
      <c r="A3823" s="23">
        <f>IFERROR(__xludf.DUMMYFUNCTION("""COMPUTED_VALUE"""),44867.816095682865)</f>
        <v>44867.8161</v>
      </c>
      <c r="B3823" s="24" t="str">
        <f>IFERROR(__xludf.DUMMYFUNCTION("""COMPUTED_VALUE"""),"Lynnette c")</f>
        <v>Lynnette c</v>
      </c>
      <c r="C3823" s="24">
        <f>IFERROR(__xludf.DUMMYFUNCTION("""COMPUTED_VALUE"""),2.0)</f>
        <v>2</v>
      </c>
      <c r="D3823" s="24" t="str">
        <f>IFERROR(__xludf.DUMMYFUNCTION("""COMPUTED_VALUE"""),"Damage/expired/extra")</f>
        <v>Damage/expired/extra</v>
      </c>
      <c r="F3823" s="23">
        <f>IFERROR(__xludf.DUMMYFUNCTION("""COMPUTED_VALUE"""),44887.68404347222)</f>
        <v>44887.68404</v>
      </c>
      <c r="G3823" s="24" t="str">
        <f>IFERROR(__xludf.DUMMYFUNCTION("""COMPUTED_VALUE"""),"Claire")</f>
        <v>Claire</v>
      </c>
      <c r="H3823" s="24">
        <f>IFERROR(__xludf.DUMMYFUNCTION("""COMPUTED_VALUE"""),698.0)</f>
        <v>698</v>
      </c>
      <c r="I3823" s="24" t="str">
        <f>IFERROR(__xludf.DUMMYFUNCTION("""COMPUTED_VALUE"""),"Boxes")</f>
        <v>Boxes</v>
      </c>
    </row>
    <row r="3824">
      <c r="A3824" s="23">
        <f>IFERROR(__xludf.DUMMYFUNCTION("""COMPUTED_VALUE"""),44867.837150405096)</f>
        <v>44867.83715</v>
      </c>
      <c r="B3824" s="24" t="str">
        <f>IFERROR(__xludf.DUMMYFUNCTION("""COMPUTED_VALUE"""),"Connor Gephart")</f>
        <v>Connor Gephart</v>
      </c>
      <c r="C3824" s="24">
        <f>IFERROR(__xludf.DUMMYFUNCTION("""COMPUTED_VALUE"""),10.0)</f>
        <v>10</v>
      </c>
      <c r="D3824" s="24" t="str">
        <f>IFERROR(__xludf.DUMMYFUNCTION("""COMPUTED_VALUE"""),"Regular (up to 20lbs)")</f>
        <v>Regular (up to 20lbs)</v>
      </c>
      <c r="F3824" s="23">
        <f>IFERROR(__xludf.DUMMYFUNCTION("""COMPUTED_VALUE"""),44887.69772107639)</f>
        <v>44887.69772</v>
      </c>
      <c r="G3824" s="24" t="str">
        <f>IFERROR(__xludf.DUMMYFUNCTION("""COMPUTED_VALUE"""),"Romaine Bouldin ")</f>
        <v>Romaine Bouldin </v>
      </c>
      <c r="H3824" s="24">
        <f>IFERROR(__xludf.DUMMYFUNCTION("""COMPUTED_VALUE"""),17.0)</f>
        <v>17</v>
      </c>
      <c r="I3824" s="24" t="str">
        <f>IFERROR(__xludf.DUMMYFUNCTION("""COMPUTED_VALUE"""),"Regular (up to 20lbs)")</f>
        <v>Regular (up to 20lbs)</v>
      </c>
    </row>
    <row r="3825">
      <c r="A3825" s="23">
        <f>IFERROR(__xludf.DUMMYFUNCTION("""COMPUTED_VALUE"""),44867.83718511574)</f>
        <v>44867.83719</v>
      </c>
      <c r="B3825" s="24" t="str">
        <f>IFERROR(__xludf.DUMMYFUNCTION("""COMPUTED_VALUE"""),"Maddie Pardes")</f>
        <v>Maddie Pardes</v>
      </c>
      <c r="C3825" s="24">
        <f>IFERROR(__xludf.DUMMYFUNCTION("""COMPUTED_VALUE"""),5.0)</f>
        <v>5</v>
      </c>
      <c r="D3825" s="24" t="str">
        <f>IFERROR(__xludf.DUMMYFUNCTION("""COMPUTED_VALUE"""),"Regular (up to 20lbs)")</f>
        <v>Regular (up to 20lbs)</v>
      </c>
      <c r="F3825" s="23">
        <f>IFERROR(__xludf.DUMMYFUNCTION("""COMPUTED_VALUE"""),44887.6977797338)</f>
        <v>44887.69778</v>
      </c>
      <c r="G3825" s="24" t="str">
        <f>IFERROR(__xludf.DUMMYFUNCTION("""COMPUTED_VALUE"""),"Rosemary Hendricks")</f>
        <v>Rosemary Hendricks</v>
      </c>
      <c r="H3825" s="24">
        <f>IFERROR(__xludf.DUMMYFUNCTION("""COMPUTED_VALUE"""),18.0)</f>
        <v>18</v>
      </c>
      <c r="I3825" s="24" t="str">
        <f>IFERROR(__xludf.DUMMYFUNCTION("""COMPUTED_VALUE"""),"Regular (up to 20lbs)")</f>
        <v>Regular (up to 20lbs)</v>
      </c>
    </row>
    <row r="3826">
      <c r="A3826" s="23">
        <f>IFERROR(__xludf.DUMMYFUNCTION("""COMPUTED_VALUE"""),44867.842491875)</f>
        <v>44867.84249</v>
      </c>
      <c r="B3826" s="24" t="str">
        <f>IFERROR(__xludf.DUMMYFUNCTION("""COMPUTED_VALUE"""),"Luke mayhew")</f>
        <v>Luke mayhew</v>
      </c>
      <c r="C3826" s="24">
        <f>IFERROR(__xludf.DUMMYFUNCTION("""COMPUTED_VALUE"""),19.0)</f>
        <v>19</v>
      </c>
      <c r="D3826" s="24" t="str">
        <f>IFERROR(__xludf.DUMMYFUNCTION("""COMPUTED_VALUE"""),"Regular (up to 20lbs)")</f>
        <v>Regular (up to 20lbs)</v>
      </c>
      <c r="F3826" s="23">
        <f>IFERROR(__xludf.DUMMYFUNCTION("""COMPUTED_VALUE"""),44887.69787506945)</f>
        <v>44887.69788</v>
      </c>
      <c r="G3826" s="24" t="str">
        <f>IFERROR(__xludf.DUMMYFUNCTION("""COMPUTED_VALUE"""),"Romaine Bouldin ")</f>
        <v>Romaine Bouldin </v>
      </c>
      <c r="H3826" s="24">
        <f>IFERROR(__xludf.DUMMYFUNCTION("""COMPUTED_VALUE"""),3.0)</f>
        <v>3</v>
      </c>
      <c r="I3826" s="24" t="str">
        <f>IFERROR(__xludf.DUMMYFUNCTION("""COMPUTED_VALUE"""),"Damage/expired/extra")</f>
        <v>Damage/expired/extra</v>
      </c>
    </row>
    <row r="3827">
      <c r="A3827" s="23">
        <f>IFERROR(__xludf.DUMMYFUNCTION("""COMPUTED_VALUE"""),44867.84315597223)</f>
        <v>44867.84316</v>
      </c>
      <c r="B3827" s="24" t="str">
        <f>IFERROR(__xludf.DUMMYFUNCTION("""COMPUTED_VALUE"""),"Luke mayhew")</f>
        <v>Luke mayhew</v>
      </c>
      <c r="C3827" s="24">
        <f>IFERROR(__xludf.DUMMYFUNCTION("""COMPUTED_VALUE"""),15.0)</f>
        <v>15</v>
      </c>
      <c r="D3827" s="24" t="str">
        <f>IFERROR(__xludf.DUMMYFUNCTION("""COMPUTED_VALUE"""),"Damage/expired/extra")</f>
        <v>Damage/expired/extra</v>
      </c>
      <c r="F3827" s="23">
        <f>IFERROR(__xludf.DUMMYFUNCTION("""COMPUTED_VALUE"""),44887.698283645834)</f>
        <v>44887.69828</v>
      </c>
      <c r="G3827" s="24" t="str">
        <f>IFERROR(__xludf.DUMMYFUNCTION("""COMPUTED_VALUE"""),"Rosemary Hendricks")</f>
        <v>Rosemary Hendricks</v>
      </c>
      <c r="H3827" s="24">
        <f>IFERROR(__xludf.DUMMYFUNCTION("""COMPUTED_VALUE"""),1.0)</f>
        <v>1</v>
      </c>
      <c r="I3827" s="24" t="str">
        <f>IFERROR(__xludf.DUMMYFUNCTION("""COMPUTED_VALUE"""),"Damage/expired/extra")</f>
        <v>Damage/expired/extra</v>
      </c>
    </row>
    <row r="3828">
      <c r="A3828" s="23">
        <f>IFERROR(__xludf.DUMMYFUNCTION("""COMPUTED_VALUE"""),44868.0)</f>
        <v>44868</v>
      </c>
      <c r="B3828" s="24" t="str">
        <f>IFERROR(__xludf.DUMMYFUNCTION("""COMPUTED_VALUE"""),"Jean")</f>
        <v>Jean</v>
      </c>
      <c r="C3828" s="24">
        <f>IFERROR(__xludf.DUMMYFUNCTION("""COMPUTED_VALUE"""),36.0)</f>
        <v>36</v>
      </c>
      <c r="D3828" s="24" t="str">
        <f>IFERROR(__xludf.DUMMYFUNCTION("""COMPUTED_VALUE"""),"Regular (up to 20lbs)")</f>
        <v>Regular (up to 20lbs)</v>
      </c>
      <c r="F3828" s="23">
        <f>IFERROR(__xludf.DUMMYFUNCTION("""COMPUTED_VALUE"""),44887.70165451389)</f>
        <v>44887.70165</v>
      </c>
      <c r="G3828" s="24" t="str">
        <f>IFERROR(__xludf.DUMMYFUNCTION("""COMPUTED_VALUE"""),"Kaneesha ")</f>
        <v>Kaneesha </v>
      </c>
      <c r="H3828" s="24">
        <f>IFERROR(__xludf.DUMMYFUNCTION("""COMPUTED_VALUE"""),20.0)</f>
        <v>20</v>
      </c>
      <c r="I3828" s="24" t="str">
        <f>IFERROR(__xludf.DUMMYFUNCTION("""COMPUTED_VALUE"""),"Regular (up to 20lbs)")</f>
        <v>Regular (up to 20lbs)</v>
      </c>
    </row>
    <row r="3829">
      <c r="A3829" s="23">
        <f>IFERROR(__xludf.DUMMYFUNCTION("""COMPUTED_VALUE"""),44868.0)</f>
        <v>44868</v>
      </c>
      <c r="B3829" s="24" t="str">
        <f>IFERROR(__xludf.DUMMYFUNCTION("""COMPUTED_VALUE"""),"Jean")</f>
        <v>Jean</v>
      </c>
      <c r="C3829" s="24">
        <f>IFERROR(__xludf.DUMMYFUNCTION("""COMPUTED_VALUE"""),4.0)</f>
        <v>4</v>
      </c>
      <c r="D3829" s="24" t="str">
        <f>IFERROR(__xludf.DUMMYFUNCTION("""COMPUTED_VALUE"""),"Damage/expired/extra")</f>
        <v>Damage/expired/extra</v>
      </c>
      <c r="F3829" s="23">
        <f>IFERROR(__xludf.DUMMYFUNCTION("""COMPUTED_VALUE"""),44887.70179172454)</f>
        <v>44887.70179</v>
      </c>
      <c r="G3829" s="24" t="str">
        <f>IFERROR(__xludf.DUMMYFUNCTION("""COMPUTED_VALUE"""),"Kaneesha ")</f>
        <v>Kaneesha </v>
      </c>
      <c r="H3829" s="24">
        <f>IFERROR(__xludf.DUMMYFUNCTION("""COMPUTED_VALUE"""),41.0)</f>
        <v>41</v>
      </c>
      <c r="I3829" s="24" t="str">
        <f>IFERROR(__xludf.DUMMYFUNCTION("""COMPUTED_VALUE"""),"Damage/expired/extra")</f>
        <v>Damage/expired/extra</v>
      </c>
    </row>
    <row r="3830">
      <c r="A3830" s="23">
        <f>IFERROR(__xludf.DUMMYFUNCTION("""COMPUTED_VALUE"""),44868.0)</f>
        <v>44868</v>
      </c>
      <c r="B3830" s="24" t="str">
        <f>IFERROR(__xludf.DUMMYFUNCTION("""COMPUTED_VALUE"""),"Hong Xue")</f>
        <v>Hong Xue</v>
      </c>
      <c r="C3830" s="24">
        <f>IFERROR(__xludf.DUMMYFUNCTION("""COMPUTED_VALUE"""),20.0)</f>
        <v>20</v>
      </c>
      <c r="D3830" s="24" t="str">
        <f>IFERROR(__xludf.DUMMYFUNCTION("""COMPUTED_VALUE"""),"Regular (up to 20lbs)")</f>
        <v>Regular (up to 20lbs)</v>
      </c>
      <c r="F3830" s="23">
        <f>IFERROR(__xludf.DUMMYFUNCTION("""COMPUTED_VALUE"""),44887.701858761575)</f>
        <v>44887.70186</v>
      </c>
      <c r="G3830" s="24" t="str">
        <f>IFERROR(__xludf.DUMMYFUNCTION("""COMPUTED_VALUE"""),"Anna West")</f>
        <v>Anna West</v>
      </c>
      <c r="H3830" s="24">
        <f>IFERROR(__xludf.DUMMYFUNCTION("""COMPUTED_VALUE"""),20.0)</f>
        <v>20</v>
      </c>
      <c r="I3830" s="24" t="str">
        <f>IFERROR(__xludf.DUMMYFUNCTION("""COMPUTED_VALUE"""),"Regular (up to 20lbs)")</f>
        <v>Regular (up to 20lbs)</v>
      </c>
    </row>
    <row r="3831">
      <c r="A3831" s="23">
        <f>IFERROR(__xludf.DUMMYFUNCTION("""COMPUTED_VALUE"""),44868.0)</f>
        <v>44868</v>
      </c>
      <c r="B3831" s="24" t="str">
        <f>IFERROR(__xludf.DUMMYFUNCTION("""COMPUTED_VALUE"""),"Hong Xue")</f>
        <v>Hong Xue</v>
      </c>
      <c r="C3831" s="24">
        <f>IFERROR(__xludf.DUMMYFUNCTION("""COMPUTED_VALUE"""),10.0)</f>
        <v>10</v>
      </c>
      <c r="D3831" s="24" t="str">
        <f>IFERROR(__xludf.DUMMYFUNCTION("""COMPUTED_VALUE"""),"Damage/expired/extra")</f>
        <v>Damage/expired/extra</v>
      </c>
      <c r="F3831" s="23">
        <f>IFERROR(__xludf.DUMMYFUNCTION("""COMPUTED_VALUE"""),44887.70199642361)</f>
        <v>44887.702</v>
      </c>
      <c r="G3831" s="24" t="str">
        <f>IFERROR(__xludf.DUMMYFUNCTION("""COMPUTED_VALUE"""),"Anna West")</f>
        <v>Anna West</v>
      </c>
      <c r="H3831" s="24">
        <f>IFERROR(__xludf.DUMMYFUNCTION("""COMPUTED_VALUE"""),13.0)</f>
        <v>13</v>
      </c>
      <c r="I3831" s="24" t="str">
        <f>IFERROR(__xludf.DUMMYFUNCTION("""COMPUTED_VALUE"""),"Damage/expired/extra")</f>
        <v>Damage/expired/extra</v>
      </c>
    </row>
    <row r="3832">
      <c r="A3832" s="23">
        <f>IFERROR(__xludf.DUMMYFUNCTION("""COMPUTED_VALUE"""),44868.0)</f>
        <v>44868</v>
      </c>
      <c r="B3832" s="24" t="str">
        <f>IFERROR(__xludf.DUMMYFUNCTION("""COMPUTED_VALUE"""),"Barbara Jordan")</f>
        <v>Barbara Jordan</v>
      </c>
      <c r="C3832" s="24">
        <f>IFERROR(__xludf.DUMMYFUNCTION("""COMPUTED_VALUE"""),14.0)</f>
        <v>14</v>
      </c>
      <c r="D3832" s="24" t="str">
        <f>IFERROR(__xludf.DUMMYFUNCTION("""COMPUTED_VALUE"""),"Regular (up to 20lbs)")</f>
        <v>Regular (up to 20lbs)</v>
      </c>
      <c r="F3832" s="23">
        <f>IFERROR(__xludf.DUMMYFUNCTION("""COMPUTED_VALUE"""),44887.70569203704)</f>
        <v>44887.70569</v>
      </c>
      <c r="G3832" s="24" t="str">
        <f>IFERROR(__xludf.DUMMYFUNCTION("""COMPUTED_VALUE"""),"Beverly Pinn")</f>
        <v>Beverly Pinn</v>
      </c>
      <c r="H3832" s="24">
        <f>IFERROR(__xludf.DUMMYFUNCTION("""COMPUTED_VALUE"""),18.0)</f>
        <v>18</v>
      </c>
      <c r="I3832" s="24" t="str">
        <f>IFERROR(__xludf.DUMMYFUNCTION("""COMPUTED_VALUE"""),"Regular (up to 20lbs)")</f>
        <v>Regular (up to 20lbs)</v>
      </c>
    </row>
    <row r="3833">
      <c r="A3833" s="23">
        <f>IFERROR(__xludf.DUMMYFUNCTION("""COMPUTED_VALUE"""),44868.0)</f>
        <v>44868</v>
      </c>
      <c r="B3833" s="24" t="str">
        <f>IFERROR(__xludf.DUMMYFUNCTION("""COMPUTED_VALUE"""),"Barbara Jordan")</f>
        <v>Barbara Jordan</v>
      </c>
      <c r="C3833" s="24">
        <f>IFERROR(__xludf.DUMMYFUNCTION("""COMPUTED_VALUE"""),3.0)</f>
        <v>3</v>
      </c>
      <c r="D3833" s="24" t="str">
        <f>IFERROR(__xludf.DUMMYFUNCTION("""COMPUTED_VALUE"""),"Damage/expired/extra")</f>
        <v>Damage/expired/extra</v>
      </c>
      <c r="F3833" s="23">
        <f>IFERROR(__xludf.DUMMYFUNCTION("""COMPUTED_VALUE"""),44887.70583672453)</f>
        <v>44887.70584</v>
      </c>
      <c r="G3833" s="24" t="str">
        <f>IFERROR(__xludf.DUMMYFUNCTION("""COMPUTED_VALUE"""),"Beverly Pinn")</f>
        <v>Beverly Pinn</v>
      </c>
      <c r="H3833" s="24">
        <f>IFERROR(__xludf.DUMMYFUNCTION("""COMPUTED_VALUE"""),25.0)</f>
        <v>25</v>
      </c>
      <c r="I3833" s="24" t="str">
        <f>IFERROR(__xludf.DUMMYFUNCTION("""COMPUTED_VALUE"""),"Damage/expired/extra")</f>
        <v>Damage/expired/extra</v>
      </c>
    </row>
    <row r="3834">
      <c r="A3834" s="23">
        <f>IFERROR(__xludf.DUMMYFUNCTION("""COMPUTED_VALUE"""),44868.0)</f>
        <v>44868</v>
      </c>
      <c r="B3834" s="24" t="str">
        <f>IFERROR(__xludf.DUMMYFUNCTION("""COMPUTED_VALUE"""),"Melissa Thomas")</f>
        <v>Melissa Thomas</v>
      </c>
      <c r="C3834" s="24">
        <f>IFERROR(__xludf.DUMMYFUNCTION("""COMPUTED_VALUE"""),20.0)</f>
        <v>20</v>
      </c>
      <c r="D3834" s="24" t="str">
        <f>IFERROR(__xludf.DUMMYFUNCTION("""COMPUTED_VALUE"""),"Regular (up to 20lbs)")</f>
        <v>Regular (up to 20lbs)</v>
      </c>
      <c r="F3834" s="23">
        <f>IFERROR(__xludf.DUMMYFUNCTION("""COMPUTED_VALUE"""),44887.70788935185)</f>
        <v>44887.70789</v>
      </c>
      <c r="G3834" s="24" t="str">
        <f>IFERROR(__xludf.DUMMYFUNCTION("""COMPUTED_VALUE"""),"Jean")</f>
        <v>Jean</v>
      </c>
      <c r="H3834" s="24">
        <f>IFERROR(__xludf.DUMMYFUNCTION("""COMPUTED_VALUE"""),38.0)</f>
        <v>38</v>
      </c>
      <c r="I3834" s="24" t="str">
        <f>IFERROR(__xludf.DUMMYFUNCTION("""COMPUTED_VALUE"""),"Regular (up to 20lbs)")</f>
        <v>Regular (up to 20lbs)</v>
      </c>
    </row>
    <row r="3835">
      <c r="A3835" s="23">
        <f>IFERROR(__xludf.DUMMYFUNCTION("""COMPUTED_VALUE"""),44868.0)</f>
        <v>44868</v>
      </c>
      <c r="B3835" s="24" t="str">
        <f>IFERROR(__xludf.DUMMYFUNCTION("""COMPUTED_VALUE"""),"Melissa Thomas")</f>
        <v>Melissa Thomas</v>
      </c>
      <c r="C3835" s="24">
        <f>IFERROR(__xludf.DUMMYFUNCTION("""COMPUTED_VALUE"""),24.0)</f>
        <v>24</v>
      </c>
      <c r="D3835" s="24" t="str">
        <f>IFERROR(__xludf.DUMMYFUNCTION("""COMPUTED_VALUE"""),"Damage/expired/extra")</f>
        <v>Damage/expired/extra</v>
      </c>
      <c r="F3835" s="23">
        <f>IFERROR(__xludf.DUMMYFUNCTION("""COMPUTED_VALUE"""),44887.708165069445)</f>
        <v>44887.70817</v>
      </c>
      <c r="G3835" s="24" t="str">
        <f>IFERROR(__xludf.DUMMYFUNCTION("""COMPUTED_VALUE"""),"Jean")</f>
        <v>Jean</v>
      </c>
      <c r="H3835" s="24">
        <f>IFERROR(__xludf.DUMMYFUNCTION("""COMPUTED_VALUE"""),29.0)</f>
        <v>29</v>
      </c>
      <c r="I3835" s="24" t="str">
        <f>IFERROR(__xludf.DUMMYFUNCTION("""COMPUTED_VALUE"""),"Damage/expired/extra")</f>
        <v>Damage/expired/extra</v>
      </c>
    </row>
    <row r="3836">
      <c r="A3836" s="23">
        <f>IFERROR(__xludf.DUMMYFUNCTION("""COMPUTED_VALUE"""),44868.0)</f>
        <v>44868</v>
      </c>
      <c r="B3836" s="24" t="str">
        <f>IFERROR(__xludf.DUMMYFUNCTION("""COMPUTED_VALUE"""),"Julia Buckson")</f>
        <v>Julia Buckson</v>
      </c>
      <c r="C3836" s="24">
        <f>IFERROR(__xludf.DUMMYFUNCTION("""COMPUTED_VALUE"""),20.0)</f>
        <v>20</v>
      </c>
      <c r="D3836" s="24" t="str">
        <f>IFERROR(__xludf.DUMMYFUNCTION("""COMPUTED_VALUE"""),"Regular (up to 20lbs)")</f>
        <v>Regular (up to 20lbs)</v>
      </c>
      <c r="F3836" s="23">
        <f>IFERROR(__xludf.DUMMYFUNCTION("""COMPUTED_VALUE"""),44887.71758753472)</f>
        <v>44887.71759</v>
      </c>
      <c r="G3836" s="24" t="str">
        <f>IFERROR(__xludf.DUMMYFUNCTION("""COMPUTED_VALUE"""),"Claire")</f>
        <v>Claire</v>
      </c>
      <c r="H3836" s="24">
        <f>IFERROR(__xludf.DUMMYFUNCTION("""COMPUTED_VALUE"""),1310.0)</f>
        <v>1310</v>
      </c>
      <c r="I3836" s="24" t="str">
        <f>IFERROR(__xludf.DUMMYFUNCTION("""COMPUTED_VALUE"""),"Fruit cups")</f>
        <v>Fruit cups</v>
      </c>
    </row>
    <row r="3837">
      <c r="A3837" s="23">
        <f>IFERROR(__xludf.DUMMYFUNCTION("""COMPUTED_VALUE"""),44868.0)</f>
        <v>44868</v>
      </c>
      <c r="B3837" s="24" t="str">
        <f>IFERROR(__xludf.DUMMYFUNCTION("""COMPUTED_VALUE"""),"Julia Buckson")</f>
        <v>Julia Buckson</v>
      </c>
      <c r="C3837" s="24">
        <f>IFERROR(__xludf.DUMMYFUNCTION("""COMPUTED_VALUE"""),25.0)</f>
        <v>25</v>
      </c>
      <c r="D3837" s="24" t="str">
        <f>IFERROR(__xludf.DUMMYFUNCTION("""COMPUTED_VALUE"""),"Damage/expired/extra")</f>
        <v>Damage/expired/extra</v>
      </c>
      <c r="F3837" s="23">
        <f>IFERROR(__xludf.DUMMYFUNCTION("""COMPUTED_VALUE"""),44887.71787905092)</f>
        <v>44887.71788</v>
      </c>
      <c r="G3837" s="24" t="str">
        <f>IFERROR(__xludf.DUMMYFUNCTION("""COMPUTED_VALUE"""),"Claire")</f>
        <v>Claire</v>
      </c>
      <c r="H3837" s="24">
        <f>IFERROR(__xludf.DUMMYFUNCTION("""COMPUTED_VALUE"""),1008.0)</f>
        <v>1008</v>
      </c>
      <c r="I3837" s="24" t="str">
        <f>IFERROR(__xludf.DUMMYFUNCTION("""COMPUTED_VALUE"""),"Fruit cups")</f>
        <v>Fruit cups</v>
      </c>
    </row>
    <row r="3838">
      <c r="A3838" s="23">
        <f>IFERROR(__xludf.DUMMYFUNCTION("""COMPUTED_VALUE"""),44868.0)</f>
        <v>44868</v>
      </c>
      <c r="B3838" s="24" t="str">
        <f>IFERROR(__xludf.DUMMYFUNCTION("""COMPUTED_VALUE"""),"Aziza Frank")</f>
        <v>Aziza Frank</v>
      </c>
      <c r="C3838" s="24">
        <f>IFERROR(__xludf.DUMMYFUNCTION("""COMPUTED_VALUE"""),20.0)</f>
        <v>20</v>
      </c>
      <c r="D3838" s="24" t="str">
        <f>IFERROR(__xludf.DUMMYFUNCTION("""COMPUTED_VALUE"""),"Regular (up to 20lbs)")</f>
        <v>Regular (up to 20lbs)</v>
      </c>
      <c r="F3838" s="23">
        <f>IFERROR(__xludf.DUMMYFUNCTION("""COMPUTED_VALUE"""),44887.718501689815)</f>
        <v>44887.7185</v>
      </c>
      <c r="G3838" s="24" t="str">
        <f>IFERROR(__xludf.DUMMYFUNCTION("""COMPUTED_VALUE"""),"Claire")</f>
        <v>Claire</v>
      </c>
      <c r="H3838" s="24">
        <f>IFERROR(__xludf.DUMMYFUNCTION("""COMPUTED_VALUE"""),1134.0)</f>
        <v>1134</v>
      </c>
      <c r="I3838" s="24" t="str">
        <f>IFERROR(__xludf.DUMMYFUNCTION("""COMPUTED_VALUE"""),"Fruit cups")</f>
        <v>Fruit cups</v>
      </c>
    </row>
    <row r="3839">
      <c r="A3839" s="23">
        <f>IFERROR(__xludf.DUMMYFUNCTION("""COMPUTED_VALUE"""),44868.0)</f>
        <v>44868</v>
      </c>
      <c r="B3839" s="24" t="str">
        <f>IFERROR(__xludf.DUMMYFUNCTION("""COMPUTED_VALUE"""),"Aziza Frank")</f>
        <v>Aziza Frank</v>
      </c>
      <c r="C3839" s="24">
        <f>IFERROR(__xludf.DUMMYFUNCTION("""COMPUTED_VALUE"""),16.0)</f>
        <v>16</v>
      </c>
      <c r="D3839" s="24" t="str">
        <f>IFERROR(__xludf.DUMMYFUNCTION("""COMPUTED_VALUE"""),"Damage/expired/extra")</f>
        <v>Damage/expired/extra</v>
      </c>
      <c r="F3839" s="23">
        <f>IFERROR(__xludf.DUMMYFUNCTION("""COMPUTED_VALUE"""),44887.72746741898)</f>
        <v>44887.72747</v>
      </c>
      <c r="G3839" s="24" t="str">
        <f>IFERROR(__xludf.DUMMYFUNCTION("""COMPUTED_VALUE"""),"Claire")</f>
        <v>Claire</v>
      </c>
      <c r="H3839" s="24">
        <f>IFERROR(__xludf.DUMMYFUNCTION("""COMPUTED_VALUE"""),227.0)</f>
        <v>227</v>
      </c>
      <c r="I3839" s="24" t="str">
        <f>IFERROR(__xludf.DUMMYFUNCTION("""COMPUTED_VALUE"""),"Frozen [Not Meat]")</f>
        <v>Frozen [Not Meat]</v>
      </c>
    </row>
    <row r="3840">
      <c r="A3840" s="23">
        <f>IFERROR(__xludf.DUMMYFUNCTION("""COMPUTED_VALUE"""),44868.0)</f>
        <v>44868</v>
      </c>
      <c r="B3840" s="24" t="str">
        <f>IFERROR(__xludf.DUMMYFUNCTION("""COMPUTED_VALUE"""),"Nathaniel McClean")</f>
        <v>Nathaniel McClean</v>
      </c>
      <c r="C3840" s="24">
        <f>IFERROR(__xludf.DUMMYFUNCTION("""COMPUTED_VALUE"""),19.0)</f>
        <v>19</v>
      </c>
      <c r="D3840" s="24" t="str">
        <f>IFERROR(__xludf.DUMMYFUNCTION("""COMPUTED_VALUE"""),"Regular (up to 20lbs)")</f>
        <v>Regular (up to 20lbs)</v>
      </c>
      <c r="F3840" s="23">
        <f>IFERROR(__xludf.DUMMYFUNCTION("""COMPUTED_VALUE"""),44887.73031870371)</f>
        <v>44887.73032</v>
      </c>
      <c r="G3840" s="24" t="str">
        <f>IFERROR(__xludf.DUMMYFUNCTION("""COMPUTED_VALUE"""),"Lynnette c")</f>
        <v>Lynnette c</v>
      </c>
      <c r="H3840" s="24">
        <f>IFERROR(__xludf.DUMMYFUNCTION("""COMPUTED_VALUE"""),14.0)</f>
        <v>14</v>
      </c>
      <c r="I3840" s="24" t="str">
        <f>IFERROR(__xludf.DUMMYFUNCTION("""COMPUTED_VALUE"""),"Damage/expired/extra")</f>
        <v>Damage/expired/extra</v>
      </c>
    </row>
    <row r="3841">
      <c r="A3841" s="23">
        <f>IFERROR(__xludf.DUMMYFUNCTION("""COMPUTED_VALUE"""),44868.0)</f>
        <v>44868</v>
      </c>
      <c r="B3841" s="24" t="str">
        <f>IFERROR(__xludf.DUMMYFUNCTION("""COMPUTED_VALUE"""),"Nathaniel McClean")</f>
        <v>Nathaniel McClean</v>
      </c>
      <c r="C3841" s="24">
        <f>IFERROR(__xludf.DUMMYFUNCTION("""COMPUTED_VALUE"""),14.0)</f>
        <v>14</v>
      </c>
      <c r="D3841" s="24" t="str">
        <f>IFERROR(__xludf.DUMMYFUNCTION("""COMPUTED_VALUE"""),"Damage/expired/extra")</f>
        <v>Damage/expired/extra</v>
      </c>
      <c r="F3841" s="23">
        <f>IFERROR(__xludf.DUMMYFUNCTION("""COMPUTED_VALUE"""),44887.744098449075)</f>
        <v>44887.7441</v>
      </c>
      <c r="G3841" s="24" t="str">
        <f>IFERROR(__xludf.DUMMYFUNCTION("""COMPUTED_VALUE"""),"Lynnette c")</f>
        <v>Lynnette c</v>
      </c>
      <c r="H3841" s="24">
        <f>IFERROR(__xludf.DUMMYFUNCTION("""COMPUTED_VALUE"""),16.0)</f>
        <v>16</v>
      </c>
      <c r="I3841" s="24" t="str">
        <f>IFERROR(__xludf.DUMMYFUNCTION("""COMPUTED_VALUE"""),"Regular (up to 20lbs)")</f>
        <v>Regular (up to 20lbs)</v>
      </c>
    </row>
    <row r="3842">
      <c r="A3842" s="23">
        <f>IFERROR(__xludf.DUMMYFUNCTION("""COMPUTED_VALUE"""),44868.0)</f>
        <v>44868</v>
      </c>
      <c r="B3842" s="24" t="str">
        <f>IFERROR(__xludf.DUMMYFUNCTION("""COMPUTED_VALUE"""),"Sheneil Black")</f>
        <v>Sheneil Black</v>
      </c>
      <c r="C3842" s="24">
        <f>IFERROR(__xludf.DUMMYFUNCTION("""COMPUTED_VALUE"""),20.0)</f>
        <v>20</v>
      </c>
      <c r="D3842" s="24" t="str">
        <f>IFERROR(__xludf.DUMMYFUNCTION("""COMPUTED_VALUE"""),"Regular (up to 20lbs)")</f>
        <v>Regular (up to 20lbs)</v>
      </c>
      <c r="F3842" s="23">
        <f>IFERROR(__xludf.DUMMYFUNCTION("""COMPUTED_VALUE"""),44888.576967974535)</f>
        <v>44888.57697</v>
      </c>
      <c r="G3842" s="24" t="str">
        <f>IFERROR(__xludf.DUMMYFUNCTION("""COMPUTED_VALUE"""),"JC")</f>
        <v>JC</v>
      </c>
      <c r="H3842" s="24">
        <f>IFERROR(__xludf.DUMMYFUNCTION("""COMPUTED_VALUE"""),998.0)</f>
        <v>998</v>
      </c>
      <c r="I3842" s="24" t="str">
        <f>IFERROR(__xludf.DUMMYFUNCTION("""COMPUTED_VALUE"""),"Dole")</f>
        <v>Dole</v>
      </c>
    </row>
    <row r="3843">
      <c r="A3843" s="23">
        <f>IFERROR(__xludf.DUMMYFUNCTION("""COMPUTED_VALUE"""),44868.0)</f>
        <v>44868</v>
      </c>
      <c r="B3843" s="24" t="str">
        <f>IFERROR(__xludf.DUMMYFUNCTION("""COMPUTED_VALUE"""),"Sheneil Black")</f>
        <v>Sheneil Black</v>
      </c>
      <c r="C3843" s="24">
        <f>IFERROR(__xludf.DUMMYFUNCTION("""COMPUTED_VALUE"""),15.0)</f>
        <v>15</v>
      </c>
      <c r="D3843" s="24" t="str">
        <f>IFERROR(__xludf.DUMMYFUNCTION("""COMPUTED_VALUE"""),"Damage/expired/extra")</f>
        <v>Damage/expired/extra</v>
      </c>
      <c r="F3843" s="23">
        <f>IFERROR(__xludf.DUMMYFUNCTION("""COMPUTED_VALUE"""),44888.577251006944)</f>
        <v>44888.57725</v>
      </c>
      <c r="G3843" s="24" t="str">
        <f>IFERROR(__xludf.DUMMYFUNCTION("""COMPUTED_VALUE"""),"JC")</f>
        <v>JC</v>
      </c>
      <c r="H3843" s="24">
        <f>IFERROR(__xludf.DUMMYFUNCTION("""COMPUTED_VALUE"""),982.0)</f>
        <v>982</v>
      </c>
      <c r="I3843" s="24" t="str">
        <f>IFERROR(__xludf.DUMMYFUNCTION("""COMPUTED_VALUE"""),"Dole")</f>
        <v>Dole</v>
      </c>
    </row>
    <row r="3844">
      <c r="A3844" s="23">
        <f>IFERROR(__xludf.DUMMYFUNCTION("""COMPUTED_VALUE"""),44868.0)</f>
        <v>44868</v>
      </c>
      <c r="B3844" s="24" t="str">
        <f>IFERROR(__xludf.DUMMYFUNCTION("""COMPUTED_VALUE"""),"Raquel Bailey")</f>
        <v>Raquel Bailey</v>
      </c>
      <c r="C3844" s="24">
        <f>IFERROR(__xludf.DUMMYFUNCTION("""COMPUTED_VALUE"""),20.0)</f>
        <v>20</v>
      </c>
      <c r="D3844" s="24" t="str">
        <f>IFERROR(__xludf.DUMMYFUNCTION("""COMPUTED_VALUE"""),"Regular (up to 20lbs)")</f>
        <v>Regular (up to 20lbs)</v>
      </c>
      <c r="F3844" s="23">
        <f>IFERROR(__xludf.DUMMYFUNCTION("""COMPUTED_VALUE"""),44888.57759634259)</f>
        <v>44888.5776</v>
      </c>
      <c r="G3844" s="24" t="str">
        <f>IFERROR(__xludf.DUMMYFUNCTION("""COMPUTED_VALUE"""),"JC")</f>
        <v>JC</v>
      </c>
      <c r="H3844" s="24">
        <f>IFERROR(__xludf.DUMMYFUNCTION("""COMPUTED_VALUE"""),1040.0)</f>
        <v>1040</v>
      </c>
      <c r="I3844" s="24" t="str">
        <f>IFERROR(__xludf.DUMMYFUNCTION("""COMPUTED_VALUE"""),"Dole")</f>
        <v>Dole</v>
      </c>
    </row>
    <row r="3845">
      <c r="A3845" s="23">
        <f>IFERROR(__xludf.DUMMYFUNCTION("""COMPUTED_VALUE"""),44868.0)</f>
        <v>44868</v>
      </c>
      <c r="B3845" s="24" t="str">
        <f>IFERROR(__xludf.DUMMYFUNCTION("""COMPUTED_VALUE"""),"Raquel Bailey")</f>
        <v>Raquel Bailey</v>
      </c>
      <c r="C3845" s="24">
        <f>IFERROR(__xludf.DUMMYFUNCTION("""COMPUTED_VALUE"""),15.0)</f>
        <v>15</v>
      </c>
      <c r="D3845" s="24" t="str">
        <f>IFERROR(__xludf.DUMMYFUNCTION("""COMPUTED_VALUE"""),"Damage/expired/extra")</f>
        <v>Damage/expired/extra</v>
      </c>
      <c r="F3845" s="23">
        <f>IFERROR(__xludf.DUMMYFUNCTION("""COMPUTED_VALUE"""),44888.57815460649)</f>
        <v>44888.57815</v>
      </c>
      <c r="G3845" s="24" t="str">
        <f>IFERROR(__xludf.DUMMYFUNCTION("""COMPUTED_VALUE"""),"JC")</f>
        <v>JC</v>
      </c>
      <c r="H3845" s="24">
        <f>IFERROR(__xludf.DUMMYFUNCTION("""COMPUTED_VALUE"""),1532.0)</f>
        <v>1532</v>
      </c>
      <c r="I3845" s="24" t="str">
        <f>IFERROR(__xludf.DUMMYFUNCTION("""COMPUTED_VALUE"""),"Hand Sanizer")</f>
        <v>Hand Sanizer</v>
      </c>
    </row>
    <row r="3846">
      <c r="A3846" s="23">
        <f>IFERROR(__xludf.DUMMYFUNCTION("""COMPUTED_VALUE"""),44868.0)</f>
        <v>44868</v>
      </c>
      <c r="B3846" s="24" t="str">
        <f>IFERROR(__xludf.DUMMYFUNCTION("""COMPUTED_VALUE"""),"Adeola")</f>
        <v>Adeola</v>
      </c>
      <c r="C3846" s="24">
        <f>IFERROR(__xludf.DUMMYFUNCTION("""COMPUTED_VALUE"""),20.0)</f>
        <v>20</v>
      </c>
      <c r="D3846" s="24" t="str">
        <f>IFERROR(__xludf.DUMMYFUNCTION("""COMPUTED_VALUE"""),"Regular (up to 20lbs)")</f>
        <v>Regular (up to 20lbs)</v>
      </c>
      <c r="F3846" s="23">
        <f>IFERROR(__xludf.DUMMYFUNCTION("""COMPUTED_VALUE"""),44892.0)</f>
        <v>44892</v>
      </c>
      <c r="G3846" s="24" t="str">
        <f>IFERROR(__xludf.DUMMYFUNCTION("""COMPUTED_VALUE"""),"Claire")</f>
        <v>Claire</v>
      </c>
      <c r="H3846" s="24">
        <f>IFERROR(__xludf.DUMMYFUNCTION("""COMPUTED_VALUE"""),40.0)</f>
        <v>40</v>
      </c>
      <c r="I3846" s="24" t="str">
        <f>IFERROR(__xludf.DUMMYFUNCTION("""COMPUTED_VALUE"""),"Homewood")</f>
        <v>Homewood</v>
      </c>
    </row>
    <row r="3847">
      <c r="A3847" s="23">
        <f>IFERROR(__xludf.DUMMYFUNCTION("""COMPUTED_VALUE"""),44868.692484907406)</f>
        <v>44868.69248</v>
      </c>
      <c r="B3847" s="24" t="str">
        <f>IFERROR(__xludf.DUMMYFUNCTION("""COMPUTED_VALUE"""),"Xiomara Rodriguez ")</f>
        <v>Xiomara Rodriguez </v>
      </c>
      <c r="C3847" s="24">
        <f>IFERROR(__xludf.DUMMYFUNCTION("""COMPUTED_VALUE"""),4.0)</f>
        <v>4</v>
      </c>
      <c r="D3847" s="24" t="str">
        <f>IFERROR(__xludf.DUMMYFUNCTION("""COMPUTED_VALUE"""),"Regular (up to 20lbs)")</f>
        <v>Regular (up to 20lbs)</v>
      </c>
      <c r="F3847" s="23">
        <f>IFERROR(__xludf.DUMMYFUNCTION("""COMPUTED_VALUE"""),44892.0)</f>
        <v>44892</v>
      </c>
      <c r="G3847" s="24" t="str">
        <f>IFERROR(__xludf.DUMMYFUNCTION("""COMPUTED_VALUE"""),"Juanita Chandler ")</f>
        <v>Juanita Chandler </v>
      </c>
      <c r="H3847" s="24">
        <f>IFERROR(__xludf.DUMMYFUNCTION("""COMPUTED_VALUE"""),18.0)</f>
        <v>18</v>
      </c>
      <c r="I3847" s="24" t="str">
        <f>IFERROR(__xludf.DUMMYFUNCTION("""COMPUTED_VALUE"""),"Regular (up to 20lbs)")</f>
        <v>Regular (up to 20lbs)</v>
      </c>
    </row>
    <row r="3848">
      <c r="A3848" s="23">
        <f>IFERROR(__xludf.DUMMYFUNCTION("""COMPUTED_VALUE"""),44868.69262144676)</f>
        <v>44868.69262</v>
      </c>
      <c r="B3848" s="24" t="str">
        <f>IFERROR(__xludf.DUMMYFUNCTION("""COMPUTED_VALUE"""),"Xiomara Rodriguez ")</f>
        <v>Xiomara Rodriguez </v>
      </c>
      <c r="C3848" s="24">
        <f>IFERROR(__xludf.DUMMYFUNCTION("""COMPUTED_VALUE"""),2.0)</f>
        <v>2</v>
      </c>
      <c r="D3848" s="24" t="str">
        <f>IFERROR(__xludf.DUMMYFUNCTION("""COMPUTED_VALUE"""),"Damage/expired/extra")</f>
        <v>Damage/expired/extra</v>
      </c>
      <c r="F3848" s="23">
        <f>IFERROR(__xludf.DUMMYFUNCTION("""COMPUTED_VALUE"""),44892.0)</f>
        <v>44892</v>
      </c>
      <c r="G3848" s="24" t="str">
        <f>IFERROR(__xludf.DUMMYFUNCTION("""COMPUTED_VALUE"""),"Juanita Chandler ")</f>
        <v>Juanita Chandler </v>
      </c>
      <c r="H3848" s="24">
        <f>IFERROR(__xludf.DUMMYFUNCTION("""COMPUTED_VALUE"""),21.0)</f>
        <v>21</v>
      </c>
      <c r="I3848" s="24" t="str">
        <f>IFERROR(__xludf.DUMMYFUNCTION("""COMPUTED_VALUE"""),"Damage/expired/extra")</f>
        <v>Damage/expired/extra</v>
      </c>
    </row>
    <row r="3849">
      <c r="A3849" s="23">
        <f>IFERROR(__xludf.DUMMYFUNCTION("""COMPUTED_VALUE"""),44868.70084153936)</f>
        <v>44868.70084</v>
      </c>
      <c r="B3849" s="24" t="str">
        <f>IFERROR(__xludf.DUMMYFUNCTION("""COMPUTED_VALUE"""),"Norma Kriger")</f>
        <v>Norma Kriger</v>
      </c>
      <c r="C3849" s="24">
        <f>IFERROR(__xludf.DUMMYFUNCTION("""COMPUTED_VALUE"""),16.0)</f>
        <v>16</v>
      </c>
      <c r="D3849" s="24" t="str">
        <f>IFERROR(__xludf.DUMMYFUNCTION("""COMPUTED_VALUE"""),"Regular (up to 20lbs)")</f>
        <v>Regular (up to 20lbs)</v>
      </c>
      <c r="F3849" s="23">
        <f>IFERROR(__xludf.DUMMYFUNCTION("""COMPUTED_VALUE"""),44892.55708756945)</f>
        <v>44892.55709</v>
      </c>
      <c r="G3849" s="24" t="str">
        <f>IFERROR(__xludf.DUMMYFUNCTION("""COMPUTED_VALUE"""),"Juanita Chandler ")</f>
        <v>Juanita Chandler </v>
      </c>
      <c r="H3849" s="24">
        <f>IFERROR(__xludf.DUMMYFUNCTION("""COMPUTED_VALUE"""),675.0)</f>
        <v>675</v>
      </c>
      <c r="I3849" s="24" t="str">
        <f>IFERROR(__xludf.DUMMYFUNCTION("""COMPUTED_VALUE"""),"Amazon")</f>
        <v>Amazon</v>
      </c>
    </row>
    <row r="3850">
      <c r="A3850" s="23">
        <f>IFERROR(__xludf.DUMMYFUNCTION("""COMPUTED_VALUE"""),44868.7012633912)</f>
        <v>44868.70126</v>
      </c>
      <c r="B3850" s="24" t="str">
        <f>IFERROR(__xludf.DUMMYFUNCTION("""COMPUTED_VALUE"""),"Norma Kriger")</f>
        <v>Norma Kriger</v>
      </c>
      <c r="C3850" s="24">
        <f>IFERROR(__xludf.DUMMYFUNCTION("""COMPUTED_VALUE"""),5.0)</f>
        <v>5</v>
      </c>
      <c r="D3850" s="24" t="str">
        <f>IFERROR(__xludf.DUMMYFUNCTION("""COMPUTED_VALUE"""),"Damage/expired/extra")</f>
        <v>Damage/expired/extra</v>
      </c>
      <c r="F3850" s="23">
        <f>IFERROR(__xludf.DUMMYFUNCTION("""COMPUTED_VALUE"""),44892.557849930556)</f>
        <v>44892.55785</v>
      </c>
      <c r="G3850" s="24" t="str">
        <f>IFERROR(__xludf.DUMMYFUNCTION("""COMPUTED_VALUE"""),"JUANITA Chandler ")</f>
        <v>JUANITA Chandler </v>
      </c>
      <c r="H3850" s="24">
        <f>IFERROR(__xludf.DUMMYFUNCTION("""COMPUTED_VALUE"""),435.0)</f>
        <v>435</v>
      </c>
      <c r="I3850" s="24" t="str">
        <f>IFERROR(__xludf.DUMMYFUNCTION("""COMPUTED_VALUE"""),"Amazon")</f>
        <v>Amazon</v>
      </c>
    </row>
    <row r="3851">
      <c r="A3851" s="23">
        <f>IFERROR(__xludf.DUMMYFUNCTION("""COMPUTED_VALUE"""),44869.0)</f>
        <v>44869</v>
      </c>
      <c r="B3851" s="24" t="str">
        <f>IFERROR(__xludf.DUMMYFUNCTION("""COMPUTED_VALUE"""),"Theresa Columbus")</f>
        <v>Theresa Columbus</v>
      </c>
      <c r="C3851" s="24">
        <f>IFERROR(__xludf.DUMMYFUNCTION("""COMPUTED_VALUE"""),20.0)</f>
        <v>20</v>
      </c>
      <c r="D3851" s="24" t="str">
        <f>IFERROR(__xludf.DUMMYFUNCTION("""COMPUTED_VALUE"""),"Regular (up to 20lbs)")</f>
        <v>Regular (up to 20lbs)</v>
      </c>
      <c r="F3851" s="23">
        <f>IFERROR(__xludf.DUMMYFUNCTION("""COMPUTED_VALUE"""),44892.5582824074)</f>
        <v>44892.55828</v>
      </c>
      <c r="G3851" s="24" t="str">
        <f>IFERROR(__xludf.DUMMYFUNCTION("""COMPUTED_VALUE"""),"JUANITA Chandler ")</f>
        <v>JUANITA Chandler </v>
      </c>
      <c r="H3851" s="24">
        <f>IFERROR(__xludf.DUMMYFUNCTION("""COMPUTED_VALUE"""),639.0)</f>
        <v>639</v>
      </c>
      <c r="I3851" s="24" t="str">
        <f>IFERROR(__xludf.DUMMYFUNCTION("""COMPUTED_VALUE"""),"Amazon")</f>
        <v>Amazon</v>
      </c>
    </row>
    <row r="3852">
      <c r="A3852" s="23">
        <f>IFERROR(__xludf.DUMMYFUNCTION("""COMPUTED_VALUE"""),44869.0)</f>
        <v>44869</v>
      </c>
      <c r="B3852" s="24" t="str">
        <f>IFERROR(__xludf.DUMMYFUNCTION("""COMPUTED_VALUE"""),"Theresa Columbus")</f>
        <v>Theresa Columbus</v>
      </c>
      <c r="C3852" s="24">
        <f>IFERROR(__xludf.DUMMYFUNCTION("""COMPUTED_VALUE"""),7.0)</f>
        <v>7</v>
      </c>
      <c r="D3852" s="24" t="str">
        <f>IFERROR(__xludf.DUMMYFUNCTION("""COMPUTED_VALUE"""),"Damage/expired/extra")</f>
        <v>Damage/expired/extra</v>
      </c>
      <c r="F3852" s="23">
        <f>IFERROR(__xludf.DUMMYFUNCTION("""COMPUTED_VALUE"""),44892.55877465278)</f>
        <v>44892.55877</v>
      </c>
      <c r="G3852" s="24" t="str">
        <f>IFERROR(__xludf.DUMMYFUNCTION("""COMPUTED_VALUE"""),"JUANITA Chandler ")</f>
        <v>JUANITA Chandler </v>
      </c>
      <c r="H3852" s="24">
        <f>IFERROR(__xludf.DUMMYFUNCTION("""COMPUTED_VALUE"""),641.0)</f>
        <v>641</v>
      </c>
      <c r="I3852" s="24" t="str">
        <f>IFERROR(__xludf.DUMMYFUNCTION("""COMPUTED_VALUE"""),"Amazon")</f>
        <v>Amazon</v>
      </c>
    </row>
    <row r="3853">
      <c r="A3853" s="23">
        <f>IFERROR(__xludf.DUMMYFUNCTION("""COMPUTED_VALUE"""),44869.68822130787)</f>
        <v>44869.68822</v>
      </c>
      <c r="B3853" s="24" t="str">
        <f>IFERROR(__xludf.DUMMYFUNCTION("""COMPUTED_VALUE"""),"Maria Reyes ")</f>
        <v>Maria Reyes </v>
      </c>
      <c r="C3853" s="24">
        <f>IFERROR(__xludf.DUMMYFUNCTION("""COMPUTED_VALUE"""),13.0)</f>
        <v>13</v>
      </c>
      <c r="D3853" s="24" t="str">
        <f>IFERROR(__xludf.DUMMYFUNCTION("""COMPUTED_VALUE"""),"Regular (up to 20lbs)")</f>
        <v>Regular (up to 20lbs)</v>
      </c>
      <c r="F3853" s="23">
        <f>IFERROR(__xludf.DUMMYFUNCTION("""COMPUTED_VALUE"""),44892.55922650463)</f>
        <v>44892.55923</v>
      </c>
      <c r="G3853" s="24" t="str">
        <f>IFERROR(__xludf.DUMMYFUNCTION("""COMPUTED_VALUE"""),"JUANITA Chandler ")</f>
        <v>JUANITA Chandler </v>
      </c>
      <c r="H3853" s="24">
        <f>IFERROR(__xludf.DUMMYFUNCTION("""COMPUTED_VALUE"""),394.0)</f>
        <v>394</v>
      </c>
      <c r="I3853" s="24" t="str">
        <f>IFERROR(__xludf.DUMMYFUNCTION("""COMPUTED_VALUE"""),"Amazon")</f>
        <v>Amazon</v>
      </c>
    </row>
    <row r="3854">
      <c r="A3854" s="23">
        <f>IFERROR(__xludf.DUMMYFUNCTION("""COMPUTED_VALUE"""),44869.688434027776)</f>
        <v>44869.68843</v>
      </c>
      <c r="B3854" s="24" t="str">
        <f>IFERROR(__xludf.DUMMYFUNCTION("""COMPUTED_VALUE"""),"Shantika Bhat")</f>
        <v>Shantika Bhat</v>
      </c>
      <c r="C3854" s="24">
        <f>IFERROR(__xludf.DUMMYFUNCTION("""COMPUTED_VALUE"""),11.0)</f>
        <v>11</v>
      </c>
      <c r="D3854" s="24" t="str">
        <f>IFERROR(__xludf.DUMMYFUNCTION("""COMPUTED_VALUE"""),"Regular (up to 20lbs)")</f>
        <v>Regular (up to 20lbs)</v>
      </c>
      <c r="F3854" s="23">
        <f>IFERROR(__xludf.DUMMYFUNCTION("""COMPUTED_VALUE"""),44892.566055868054)</f>
        <v>44892.56606</v>
      </c>
      <c r="G3854" s="24" t="str">
        <f>IFERROR(__xludf.DUMMYFUNCTION("""COMPUTED_VALUE"""),"JUANITA Chandler ")</f>
        <v>JUANITA Chandler </v>
      </c>
      <c r="H3854" s="24">
        <f>IFERROR(__xludf.DUMMYFUNCTION("""COMPUTED_VALUE"""),796.0)</f>
        <v>796</v>
      </c>
      <c r="I3854" s="24" t="str">
        <f>IFERROR(__xludf.DUMMYFUNCTION("""COMPUTED_VALUE"""),"Dole fruit Cup ")</f>
        <v>Dole fruit Cup </v>
      </c>
    </row>
    <row r="3855">
      <c r="A3855" s="23">
        <f>IFERROR(__xludf.DUMMYFUNCTION("""COMPUTED_VALUE"""),44869.68949724537)</f>
        <v>44869.6895</v>
      </c>
      <c r="B3855" s="24" t="str">
        <f>IFERROR(__xludf.DUMMYFUNCTION("""COMPUTED_VALUE"""),"Beth Torres")</f>
        <v>Beth Torres</v>
      </c>
      <c r="C3855" s="24">
        <f>IFERROR(__xludf.DUMMYFUNCTION("""COMPUTED_VALUE"""),15.0)</f>
        <v>15</v>
      </c>
      <c r="D3855" s="24" t="str">
        <f>IFERROR(__xludf.DUMMYFUNCTION("""COMPUTED_VALUE"""),"Regular (up to 20lbs)")</f>
        <v>Regular (up to 20lbs)</v>
      </c>
      <c r="F3855" s="23">
        <f>IFERROR(__xludf.DUMMYFUNCTION("""COMPUTED_VALUE"""),44892.62601940973)</f>
        <v>44892.62602</v>
      </c>
      <c r="G3855" s="24" t="str">
        <f>IFERROR(__xludf.DUMMYFUNCTION("""COMPUTED_VALUE"""),"JUANITA Chandler ")</f>
        <v>JUANITA Chandler </v>
      </c>
      <c r="H3855" s="24">
        <f>IFERROR(__xludf.DUMMYFUNCTION("""COMPUTED_VALUE"""),46.0)</f>
        <v>46</v>
      </c>
      <c r="I3855" s="24" t="str">
        <f>IFERROR(__xludf.DUMMYFUNCTION("""COMPUTED_VALUE"""),"Assorted Dry")</f>
        <v>Assorted Dry</v>
      </c>
    </row>
    <row r="3856">
      <c r="A3856" s="23">
        <f>IFERROR(__xludf.DUMMYFUNCTION("""COMPUTED_VALUE"""),44869.68960370371)</f>
        <v>44869.6896</v>
      </c>
      <c r="B3856" s="24" t="str">
        <f>IFERROR(__xludf.DUMMYFUNCTION("""COMPUTED_VALUE"""),"Beth Torres")</f>
        <v>Beth Torres</v>
      </c>
      <c r="C3856" s="24">
        <f>IFERROR(__xludf.DUMMYFUNCTION("""COMPUTED_VALUE"""),16.0)</f>
        <v>16</v>
      </c>
      <c r="D3856" s="24" t="str">
        <f>IFERROR(__xludf.DUMMYFUNCTION("""COMPUTED_VALUE"""),"Damage/expired/extra")</f>
        <v>Damage/expired/extra</v>
      </c>
      <c r="F3856" s="23">
        <f>IFERROR(__xludf.DUMMYFUNCTION("""COMPUTED_VALUE"""),44892.627428101856)</f>
        <v>44892.62743</v>
      </c>
      <c r="G3856" s="24" t="str">
        <f>IFERROR(__xludf.DUMMYFUNCTION("""COMPUTED_VALUE"""),"Juanita Chandler ")</f>
        <v>Juanita Chandler </v>
      </c>
      <c r="H3856" s="24">
        <f>IFERROR(__xludf.DUMMYFUNCTION("""COMPUTED_VALUE"""),189.0)</f>
        <v>189</v>
      </c>
      <c r="I3856" s="24" t="str">
        <f>IFERROR(__xludf.DUMMYFUNCTION("""COMPUTED_VALUE"""),"Assorted Dry")</f>
        <v>Assorted Dry</v>
      </c>
    </row>
    <row r="3857">
      <c r="A3857" s="23">
        <f>IFERROR(__xludf.DUMMYFUNCTION("""COMPUTED_VALUE"""),44869.69969413195)</f>
        <v>44869.69969</v>
      </c>
      <c r="B3857" s="24" t="str">
        <f>IFERROR(__xludf.DUMMYFUNCTION("""COMPUTED_VALUE"""),"Sunita pathik")</f>
        <v>Sunita pathik</v>
      </c>
      <c r="C3857" s="24">
        <f>IFERROR(__xludf.DUMMYFUNCTION("""COMPUTED_VALUE"""),8.0)</f>
        <v>8</v>
      </c>
      <c r="D3857" s="24" t="str">
        <f>IFERROR(__xludf.DUMMYFUNCTION("""COMPUTED_VALUE"""),"Regular (up to 20lbs)")</f>
        <v>Regular (up to 20lbs)</v>
      </c>
      <c r="F3857" s="23">
        <f>IFERROR(__xludf.DUMMYFUNCTION("""COMPUTED_VALUE"""),44892.62894304399)</f>
        <v>44892.62894</v>
      </c>
      <c r="G3857" s="24" t="str">
        <f>IFERROR(__xludf.DUMMYFUNCTION("""COMPUTED_VALUE"""),"JUANITA Chandler ")</f>
        <v>JUANITA Chandler </v>
      </c>
      <c r="H3857" s="24">
        <f>IFERROR(__xludf.DUMMYFUNCTION("""COMPUTED_VALUE"""),362.0)</f>
        <v>362</v>
      </c>
      <c r="I3857" s="24" t="str">
        <f>IFERROR(__xludf.DUMMYFUNCTION("""COMPUTED_VALUE"""),"Produce")</f>
        <v>Produce</v>
      </c>
    </row>
    <row r="3858">
      <c r="A3858" s="23">
        <f>IFERROR(__xludf.DUMMYFUNCTION("""COMPUTED_VALUE"""),44869.70064086805)</f>
        <v>44869.70064</v>
      </c>
      <c r="B3858" s="24" t="str">
        <f>IFERROR(__xludf.DUMMYFUNCTION("""COMPUTED_VALUE"""),"Juanita Chandler ")</f>
        <v>Juanita Chandler </v>
      </c>
      <c r="C3858" s="24">
        <f>IFERROR(__xludf.DUMMYFUNCTION("""COMPUTED_VALUE"""),16.0)</f>
        <v>16</v>
      </c>
      <c r="D3858" s="24" t="str">
        <f>IFERROR(__xludf.DUMMYFUNCTION("""COMPUTED_VALUE"""),"Regular (up to 20lbs)")</f>
        <v>Regular (up to 20lbs)</v>
      </c>
      <c r="F3858" s="23">
        <f>IFERROR(__xludf.DUMMYFUNCTION("""COMPUTED_VALUE"""),44892.62970628472)</f>
        <v>44892.62971</v>
      </c>
      <c r="G3858" s="24" t="str">
        <f>IFERROR(__xludf.DUMMYFUNCTION("""COMPUTED_VALUE"""),"JUANITA Chandler ")</f>
        <v>JUANITA Chandler </v>
      </c>
      <c r="H3858" s="24">
        <f>IFERROR(__xludf.DUMMYFUNCTION("""COMPUTED_VALUE"""),103.0)</f>
        <v>103</v>
      </c>
      <c r="I3858" s="24" t="str">
        <f>IFERROR(__xludf.DUMMYFUNCTION("""COMPUTED_VALUE"""),"Assorted Dry")</f>
        <v>Assorted Dry</v>
      </c>
    </row>
    <row r="3859">
      <c r="A3859" s="23">
        <f>IFERROR(__xludf.DUMMYFUNCTION("""COMPUTED_VALUE"""),44869.70164248843)</f>
        <v>44869.70164</v>
      </c>
      <c r="B3859" s="24" t="str">
        <f>IFERROR(__xludf.DUMMYFUNCTION("""COMPUTED_VALUE"""),"Juanita Chandler ")</f>
        <v>Juanita Chandler </v>
      </c>
      <c r="C3859" s="24">
        <f>IFERROR(__xludf.DUMMYFUNCTION("""COMPUTED_VALUE"""),2.0)</f>
        <v>2</v>
      </c>
      <c r="D3859" s="24" t="str">
        <f>IFERROR(__xludf.DUMMYFUNCTION("""COMPUTED_VALUE"""),"Damage/expired/extra")</f>
        <v>Damage/expired/extra</v>
      </c>
      <c r="F3859" s="23">
        <f>IFERROR(__xludf.DUMMYFUNCTION("""COMPUTED_VALUE"""),44892.63765597222)</f>
        <v>44892.63766</v>
      </c>
      <c r="G3859" s="24" t="str">
        <f>IFERROR(__xludf.DUMMYFUNCTION("""COMPUTED_VALUE"""),"Zoe")</f>
        <v>Zoe</v>
      </c>
      <c r="H3859" s="24">
        <f>IFERROR(__xludf.DUMMYFUNCTION("""COMPUTED_VALUE"""),994.0)</f>
        <v>994</v>
      </c>
      <c r="I3859" s="24" t="str">
        <f>IFERROR(__xludf.DUMMYFUNCTION("""COMPUTED_VALUE"""),"Assorted Dry")</f>
        <v>Assorted Dry</v>
      </c>
    </row>
    <row r="3860">
      <c r="A3860" s="23">
        <f>IFERROR(__xludf.DUMMYFUNCTION("""COMPUTED_VALUE"""),44870.0)</f>
        <v>44870</v>
      </c>
      <c r="B3860" s="24" t="str">
        <f>IFERROR(__xludf.DUMMYFUNCTION("""COMPUTED_VALUE"""),"Angeles Cortes")</f>
        <v>Angeles Cortes</v>
      </c>
      <c r="C3860" s="24">
        <f>IFERROR(__xludf.DUMMYFUNCTION("""COMPUTED_VALUE"""),15.0)</f>
        <v>15</v>
      </c>
      <c r="D3860" s="24" t="str">
        <f>IFERROR(__xludf.DUMMYFUNCTION("""COMPUTED_VALUE"""),"Regular (up to 20lbs)")</f>
        <v>Regular (up to 20lbs)</v>
      </c>
      <c r="F3860" s="23">
        <f>IFERROR(__xludf.DUMMYFUNCTION("""COMPUTED_VALUE"""),44892.66067438658)</f>
        <v>44892.66067</v>
      </c>
      <c r="G3860" s="24" t="str">
        <f>IFERROR(__xludf.DUMMYFUNCTION("""COMPUTED_VALUE"""),"Kaneesha ")</f>
        <v>Kaneesha </v>
      </c>
      <c r="H3860" s="24">
        <f>IFERROR(__xludf.DUMMYFUNCTION("""COMPUTED_VALUE"""),20.0)</f>
        <v>20</v>
      </c>
      <c r="I3860" s="24" t="str">
        <f>IFERROR(__xludf.DUMMYFUNCTION("""COMPUTED_VALUE"""),"Regular (up to 20lbs)")</f>
        <v>Regular (up to 20lbs)</v>
      </c>
    </row>
    <row r="3861">
      <c r="A3861" s="23">
        <f>IFERROR(__xludf.DUMMYFUNCTION("""COMPUTED_VALUE"""),44870.0)</f>
        <v>44870</v>
      </c>
      <c r="B3861" s="24" t="str">
        <f>IFERROR(__xludf.DUMMYFUNCTION("""COMPUTED_VALUE"""),"Angeles Cortes")</f>
        <v>Angeles Cortes</v>
      </c>
      <c r="C3861" s="24">
        <f>IFERROR(__xludf.DUMMYFUNCTION("""COMPUTED_VALUE"""),4.0)</f>
        <v>4</v>
      </c>
      <c r="D3861" s="24" t="str">
        <f>IFERROR(__xludf.DUMMYFUNCTION("""COMPUTED_VALUE"""),"Damage/expired/extra")</f>
        <v>Damage/expired/extra</v>
      </c>
      <c r="F3861" s="23">
        <f>IFERROR(__xludf.DUMMYFUNCTION("""COMPUTED_VALUE"""),44892.66079920139)</f>
        <v>44892.6608</v>
      </c>
      <c r="G3861" s="24" t="str">
        <f>IFERROR(__xludf.DUMMYFUNCTION("""COMPUTED_VALUE"""),"Kaneesha ")</f>
        <v>Kaneesha </v>
      </c>
      <c r="H3861" s="24">
        <f>IFERROR(__xludf.DUMMYFUNCTION("""COMPUTED_VALUE"""),22.0)</f>
        <v>22</v>
      </c>
      <c r="I3861" s="24" t="str">
        <f>IFERROR(__xludf.DUMMYFUNCTION("""COMPUTED_VALUE"""),"Damage/expired/extra")</f>
        <v>Damage/expired/extra</v>
      </c>
    </row>
    <row r="3862">
      <c r="A3862" s="23">
        <f>IFERROR(__xludf.DUMMYFUNCTION("""COMPUTED_VALUE"""),44870.0)</f>
        <v>44870</v>
      </c>
      <c r="B3862" s="24" t="str">
        <f>IFERROR(__xludf.DUMMYFUNCTION("""COMPUTED_VALUE"""),"Gilda Castillo")</f>
        <v>Gilda Castillo</v>
      </c>
      <c r="C3862" s="24">
        <f>IFERROR(__xludf.DUMMYFUNCTION("""COMPUTED_VALUE"""),20.0)</f>
        <v>20</v>
      </c>
      <c r="D3862" s="24" t="str">
        <f>IFERROR(__xludf.DUMMYFUNCTION("""COMPUTED_VALUE"""),"Regular (up to 20lbs)")</f>
        <v>Regular (up to 20lbs)</v>
      </c>
      <c r="F3862" s="23">
        <f>IFERROR(__xludf.DUMMYFUNCTION("""COMPUTED_VALUE"""),44892.66157098379)</f>
        <v>44892.66157</v>
      </c>
      <c r="G3862" s="24" t="str">
        <f>IFERROR(__xludf.DUMMYFUNCTION("""COMPUTED_VALUE"""),"Opey")</f>
        <v>Opey</v>
      </c>
      <c r="H3862" s="24">
        <f>IFERROR(__xludf.DUMMYFUNCTION("""COMPUTED_VALUE"""),11.0)</f>
        <v>11</v>
      </c>
      <c r="I3862" s="24" t="str">
        <f>IFERROR(__xludf.DUMMYFUNCTION("""COMPUTED_VALUE"""),"Regular (up to 20lbs)")</f>
        <v>Regular (up to 20lbs)</v>
      </c>
    </row>
    <row r="3863">
      <c r="A3863" s="23">
        <f>IFERROR(__xludf.DUMMYFUNCTION("""COMPUTED_VALUE"""),44870.0)</f>
        <v>44870</v>
      </c>
      <c r="B3863" s="24" t="str">
        <f>IFERROR(__xludf.DUMMYFUNCTION("""COMPUTED_VALUE"""),"Lynette C")</f>
        <v>Lynette C</v>
      </c>
      <c r="C3863" s="24">
        <f>IFERROR(__xludf.DUMMYFUNCTION("""COMPUTED_VALUE"""),13.0)</f>
        <v>13</v>
      </c>
      <c r="D3863" s="24" t="str">
        <f>IFERROR(__xludf.DUMMYFUNCTION("""COMPUTED_VALUE"""),"Regular (up to 20lbs)")</f>
        <v>Regular (up to 20lbs)</v>
      </c>
      <c r="F3863" s="23">
        <f>IFERROR(__xludf.DUMMYFUNCTION("""COMPUTED_VALUE"""),44892.66253579861)</f>
        <v>44892.66254</v>
      </c>
      <c r="G3863" s="24" t="str">
        <f>IFERROR(__xludf.DUMMYFUNCTION("""COMPUTED_VALUE"""),"Zoe")</f>
        <v>Zoe</v>
      </c>
      <c r="H3863" s="24">
        <f>IFERROR(__xludf.DUMMYFUNCTION("""COMPUTED_VALUE"""),20.0)</f>
        <v>20</v>
      </c>
      <c r="I3863" s="24" t="str">
        <f>IFERROR(__xludf.DUMMYFUNCTION("""COMPUTED_VALUE"""),"Regular (up to 20lbs)")</f>
        <v>Regular (up to 20lbs)</v>
      </c>
    </row>
    <row r="3864">
      <c r="A3864" s="23">
        <f>IFERROR(__xludf.DUMMYFUNCTION("""COMPUTED_VALUE"""),44870.0)</f>
        <v>44870</v>
      </c>
      <c r="B3864" s="24" t="str">
        <f>IFERROR(__xludf.DUMMYFUNCTION("""COMPUTED_VALUE"""),"Lynette C")</f>
        <v>Lynette C</v>
      </c>
      <c r="C3864" s="24">
        <f>IFERROR(__xludf.DUMMYFUNCTION("""COMPUTED_VALUE"""),9.0)</f>
        <v>9</v>
      </c>
      <c r="D3864" s="24" t="str">
        <f>IFERROR(__xludf.DUMMYFUNCTION("""COMPUTED_VALUE"""),"Damage/expired/extra")</f>
        <v>Damage/expired/extra</v>
      </c>
      <c r="F3864" s="23">
        <f>IFERROR(__xludf.DUMMYFUNCTION("""COMPUTED_VALUE"""),44892.66473568287)</f>
        <v>44892.66474</v>
      </c>
      <c r="G3864" s="24" t="str">
        <f>IFERROR(__xludf.DUMMYFUNCTION("""COMPUTED_VALUE"""),"Kate Weeks")</f>
        <v>Kate Weeks</v>
      </c>
      <c r="H3864" s="24">
        <f>IFERROR(__xludf.DUMMYFUNCTION("""COMPUTED_VALUE"""),19.0)</f>
        <v>19</v>
      </c>
      <c r="I3864" s="24" t="str">
        <f>IFERROR(__xludf.DUMMYFUNCTION("""COMPUTED_VALUE"""),"Regular (up to 20lbs)")</f>
        <v>Regular (up to 20lbs)</v>
      </c>
    </row>
    <row r="3865">
      <c r="A3865" s="23">
        <f>IFERROR(__xludf.DUMMYFUNCTION("""COMPUTED_VALUE"""),44870.51431663194)</f>
        <v>44870.51432</v>
      </c>
      <c r="B3865" s="24" t="str">
        <f>IFERROR(__xludf.DUMMYFUNCTION("""COMPUTED_VALUE"""),"Ryan Murphy")</f>
        <v>Ryan Murphy</v>
      </c>
      <c r="C3865" s="24">
        <f>IFERROR(__xludf.DUMMYFUNCTION("""COMPUTED_VALUE"""),41.0)</f>
        <v>41</v>
      </c>
      <c r="D3865" s="24" t="str">
        <f>IFERROR(__xludf.DUMMYFUNCTION("""COMPUTED_VALUE"""),"Damage/expired/extra")</f>
        <v>Damage/expired/extra</v>
      </c>
      <c r="F3865" s="23">
        <f>IFERROR(__xludf.DUMMYFUNCTION("""COMPUTED_VALUE"""),44892.66486841436)</f>
        <v>44892.66487</v>
      </c>
      <c r="G3865" s="24" t="str">
        <f>IFERROR(__xludf.DUMMYFUNCTION("""COMPUTED_VALUE"""),"Kate Weeks")</f>
        <v>Kate Weeks</v>
      </c>
      <c r="H3865" s="24">
        <f>IFERROR(__xludf.DUMMYFUNCTION("""COMPUTED_VALUE"""),39.0)</f>
        <v>39</v>
      </c>
      <c r="I3865" s="24" t="str">
        <f>IFERROR(__xludf.DUMMYFUNCTION("""COMPUTED_VALUE"""),"Damage/expired/extra")</f>
        <v>Damage/expired/extra</v>
      </c>
    </row>
    <row r="3866">
      <c r="A3866" s="23">
        <f>IFERROR(__xludf.DUMMYFUNCTION("""COMPUTED_VALUE"""),44870.68045101852)</f>
        <v>44870.68045</v>
      </c>
      <c r="B3866" s="24" t="str">
        <f>IFERROR(__xludf.DUMMYFUNCTION("""COMPUTED_VALUE"""),"Nicolle diaz")</f>
        <v>Nicolle diaz</v>
      </c>
      <c r="C3866" s="24">
        <f>IFERROR(__xludf.DUMMYFUNCTION("""COMPUTED_VALUE"""),7.0)</f>
        <v>7</v>
      </c>
      <c r="D3866" s="24" t="str">
        <f>IFERROR(__xludf.DUMMYFUNCTION("""COMPUTED_VALUE"""),"Regular (up to 20lbs)")</f>
        <v>Regular (up to 20lbs)</v>
      </c>
      <c r="F3866" s="23">
        <f>IFERROR(__xludf.DUMMYFUNCTION("""COMPUTED_VALUE"""),44894.0)</f>
        <v>44894</v>
      </c>
      <c r="G3866" s="24" t="str">
        <f>IFERROR(__xludf.DUMMYFUNCTION("""COMPUTED_VALUE"""),"Kaneesha ")</f>
        <v>Kaneesha </v>
      </c>
      <c r="H3866" s="24">
        <f>IFERROR(__xludf.DUMMYFUNCTION("""COMPUTED_VALUE"""),20.0)</f>
        <v>20</v>
      </c>
      <c r="I3866" s="24" t="str">
        <f>IFERROR(__xludf.DUMMYFUNCTION("""COMPUTED_VALUE"""),"Regular (up to 20lbs)")</f>
        <v>Regular (up to 20lbs)</v>
      </c>
    </row>
    <row r="3867">
      <c r="A3867" s="23">
        <f>IFERROR(__xludf.DUMMYFUNCTION("""COMPUTED_VALUE"""),44870.680584305555)</f>
        <v>44870.68058</v>
      </c>
      <c r="B3867" s="24" t="str">
        <f>IFERROR(__xludf.DUMMYFUNCTION("""COMPUTED_VALUE"""),"Nicolle diaz ")</f>
        <v>Nicolle diaz </v>
      </c>
      <c r="C3867" s="24">
        <f>IFERROR(__xludf.DUMMYFUNCTION("""COMPUTED_VALUE"""),3.0)</f>
        <v>3</v>
      </c>
      <c r="D3867" s="24" t="str">
        <f>IFERROR(__xludf.DUMMYFUNCTION("""COMPUTED_VALUE"""),"Damage/expired/extra")</f>
        <v>Damage/expired/extra</v>
      </c>
      <c r="F3867" s="23">
        <f>IFERROR(__xludf.DUMMYFUNCTION("""COMPUTED_VALUE"""),44894.0)</f>
        <v>44894</v>
      </c>
      <c r="G3867" s="24" t="str">
        <f>IFERROR(__xludf.DUMMYFUNCTION("""COMPUTED_VALUE"""),"Kaneesha ")</f>
        <v>Kaneesha </v>
      </c>
      <c r="H3867" s="24">
        <f>IFERROR(__xludf.DUMMYFUNCTION("""COMPUTED_VALUE"""),22.0)</f>
        <v>22</v>
      </c>
      <c r="I3867" s="24" t="str">
        <f>IFERROR(__xludf.DUMMYFUNCTION("""COMPUTED_VALUE"""),"Damage/expired/extra")</f>
        <v>Damage/expired/extra</v>
      </c>
    </row>
    <row r="3868">
      <c r="A3868" s="23">
        <f>IFERROR(__xludf.DUMMYFUNCTION("""COMPUTED_VALUE"""),44870.68431572916)</f>
        <v>44870.68432</v>
      </c>
      <c r="B3868" s="24" t="str">
        <f>IFERROR(__xludf.DUMMYFUNCTION("""COMPUTED_VALUE"""),"Bach huynh")</f>
        <v>Bach huynh</v>
      </c>
      <c r="C3868" s="24">
        <f>IFERROR(__xludf.DUMMYFUNCTION("""COMPUTED_VALUE"""),12.0)</f>
        <v>12</v>
      </c>
      <c r="D3868" s="24" t="str">
        <f>IFERROR(__xludf.DUMMYFUNCTION("""COMPUTED_VALUE"""),"Regular (up to 20lbs)")</f>
        <v>Regular (up to 20lbs)</v>
      </c>
      <c r="F3868" s="23">
        <f>IFERROR(__xludf.DUMMYFUNCTION("""COMPUTED_VALUE"""),44894.61714072917)</f>
        <v>44894.61714</v>
      </c>
      <c r="G3868" s="24" t="str">
        <f>IFERROR(__xludf.DUMMYFUNCTION("""COMPUTED_VALUE"""),"Theresa Keil")</f>
        <v>Theresa Keil</v>
      </c>
      <c r="H3868" s="24">
        <f>IFERROR(__xludf.DUMMYFUNCTION("""COMPUTED_VALUE"""),64.0)</f>
        <v>64</v>
      </c>
      <c r="I3868" s="24" t="str">
        <f>IFERROR(__xludf.DUMMYFUNCTION("""COMPUTED_VALUE"""),"Regular (up to 20lbs)")</f>
        <v>Regular (up to 20lbs)</v>
      </c>
    </row>
    <row r="3869">
      <c r="A3869" s="23">
        <f>IFERROR(__xludf.DUMMYFUNCTION("""COMPUTED_VALUE"""),44870.684477766205)</f>
        <v>44870.68448</v>
      </c>
      <c r="B3869" s="24" t="str">
        <f>IFERROR(__xludf.DUMMYFUNCTION("""COMPUTED_VALUE"""),"Bach huynh ")</f>
        <v>Bach huynh </v>
      </c>
      <c r="C3869" s="24">
        <f>IFERROR(__xludf.DUMMYFUNCTION("""COMPUTED_VALUE"""),1.0)</f>
        <v>1</v>
      </c>
      <c r="D3869" s="24" t="str">
        <f>IFERROR(__xludf.DUMMYFUNCTION("""COMPUTED_VALUE"""),"Damage/expired/extra")</f>
        <v>Damage/expired/extra</v>
      </c>
      <c r="F3869" s="23">
        <f>IFERROR(__xludf.DUMMYFUNCTION("""COMPUTED_VALUE"""),44894.69689924768)</f>
        <v>44894.6969</v>
      </c>
      <c r="G3869" s="24" t="str">
        <f>IFERROR(__xludf.DUMMYFUNCTION("""COMPUTED_VALUE"""),"Rosemary Hendricks")</f>
        <v>Rosemary Hendricks</v>
      </c>
      <c r="H3869" s="24">
        <f>IFERROR(__xludf.DUMMYFUNCTION("""COMPUTED_VALUE"""),12.0)</f>
        <v>12</v>
      </c>
      <c r="I3869" s="24" t="str">
        <f>IFERROR(__xludf.DUMMYFUNCTION("""COMPUTED_VALUE"""),"Regular (up to 20lbs)")</f>
        <v>Regular (up to 20lbs)</v>
      </c>
    </row>
    <row r="3870">
      <c r="A3870" s="23">
        <f>IFERROR(__xludf.DUMMYFUNCTION("""COMPUTED_VALUE"""),44870.68549964121)</f>
        <v>44870.6855</v>
      </c>
      <c r="B3870" s="24" t="str">
        <f>IFERROR(__xludf.DUMMYFUNCTION("""COMPUTED_VALUE"""),"Salena Wheatley ")</f>
        <v>Salena Wheatley </v>
      </c>
      <c r="C3870" s="24">
        <f>IFERROR(__xludf.DUMMYFUNCTION("""COMPUTED_VALUE"""),4.0)</f>
        <v>4</v>
      </c>
      <c r="D3870" s="24" t="str">
        <f>IFERROR(__xludf.DUMMYFUNCTION("""COMPUTED_VALUE"""),"Damage/expired/extra")</f>
        <v>Damage/expired/extra</v>
      </c>
      <c r="F3870" s="23">
        <f>IFERROR(__xludf.DUMMYFUNCTION("""COMPUTED_VALUE"""),44894.701049236115)</f>
        <v>44894.70105</v>
      </c>
      <c r="G3870" s="24" t="str">
        <f>IFERROR(__xludf.DUMMYFUNCTION("""COMPUTED_VALUE"""),"Romaine Bouldin ")</f>
        <v>Romaine Bouldin </v>
      </c>
      <c r="H3870" s="24">
        <f>IFERROR(__xludf.DUMMYFUNCTION("""COMPUTED_VALUE"""),18.0)</f>
        <v>18</v>
      </c>
      <c r="I3870" s="24" t="str">
        <f>IFERROR(__xludf.DUMMYFUNCTION("""COMPUTED_VALUE"""),"Regular (up to 20lbs)")</f>
        <v>Regular (up to 20lbs)</v>
      </c>
    </row>
    <row r="3871">
      <c r="A3871" s="23">
        <f>IFERROR(__xludf.DUMMYFUNCTION("""COMPUTED_VALUE"""),44870.0)</f>
        <v>44870</v>
      </c>
      <c r="B3871" s="24" t="str">
        <f>IFERROR(__xludf.DUMMYFUNCTION("""COMPUTED_VALUE"""),"Salena Wheatley ")</f>
        <v>Salena Wheatley </v>
      </c>
      <c r="C3871" s="24">
        <f>IFERROR(__xludf.DUMMYFUNCTION("""COMPUTED_VALUE"""),4.0)</f>
        <v>4</v>
      </c>
      <c r="D3871" s="24" t="str">
        <f>IFERROR(__xludf.DUMMYFUNCTION("""COMPUTED_VALUE"""),"Regular (up to 20lbs)")</f>
        <v>Regular (up to 20lbs)</v>
      </c>
      <c r="F3871" s="23">
        <f>IFERROR(__xludf.DUMMYFUNCTION("""COMPUTED_VALUE"""),44894.70122434028)</f>
        <v>44894.70122</v>
      </c>
      <c r="G3871" s="24" t="str">
        <f>IFERROR(__xludf.DUMMYFUNCTION("""COMPUTED_VALUE"""),"Romaine Bouldin ")</f>
        <v>Romaine Bouldin </v>
      </c>
      <c r="H3871" s="24">
        <f>IFERROR(__xludf.DUMMYFUNCTION("""COMPUTED_VALUE"""),5.0)</f>
        <v>5</v>
      </c>
      <c r="I3871" s="24" t="str">
        <f>IFERROR(__xludf.DUMMYFUNCTION("""COMPUTED_VALUE"""),"Damage/expired/extra")</f>
        <v>Damage/expired/extra</v>
      </c>
    </row>
    <row r="3872">
      <c r="A3872" s="23">
        <f>IFERROR(__xludf.DUMMYFUNCTION("""COMPUTED_VALUE"""),44870.69006056713)</f>
        <v>44870.69006</v>
      </c>
      <c r="B3872" s="24" t="str">
        <f>IFERROR(__xludf.DUMMYFUNCTION("""COMPUTED_VALUE"""),"Connor Lu")</f>
        <v>Connor Lu</v>
      </c>
      <c r="C3872" s="24">
        <f>IFERROR(__xludf.DUMMYFUNCTION("""COMPUTED_VALUE"""),16.0)</f>
        <v>16</v>
      </c>
      <c r="D3872" s="24" t="str">
        <f>IFERROR(__xludf.DUMMYFUNCTION("""COMPUTED_VALUE"""),"Regular (up to 20lbs)")</f>
        <v>Regular (up to 20lbs)</v>
      </c>
      <c r="F3872" s="23">
        <f>IFERROR(__xludf.DUMMYFUNCTION("""COMPUTED_VALUE"""),44894.70556637731)</f>
        <v>44894.70557</v>
      </c>
      <c r="G3872" s="24" t="str">
        <f>IFERROR(__xludf.DUMMYFUNCTION("""COMPUTED_VALUE"""),"Jean")</f>
        <v>Jean</v>
      </c>
      <c r="H3872" s="24">
        <f>IFERROR(__xludf.DUMMYFUNCTION("""COMPUTED_VALUE"""),11.0)</f>
        <v>11</v>
      </c>
      <c r="I3872" s="24" t="str">
        <f>IFERROR(__xludf.DUMMYFUNCTION("""COMPUTED_VALUE"""),"Regular (up to 20lbs)")</f>
        <v>Regular (up to 20lbs)</v>
      </c>
    </row>
    <row r="3873">
      <c r="A3873" s="23">
        <f>IFERROR(__xludf.DUMMYFUNCTION("""COMPUTED_VALUE"""),44870.690181018515)</f>
        <v>44870.69018</v>
      </c>
      <c r="B3873" s="24" t="str">
        <f>IFERROR(__xludf.DUMMYFUNCTION("""COMPUTED_VALUE"""),"Connor Lu")</f>
        <v>Connor Lu</v>
      </c>
      <c r="C3873" s="24">
        <f>IFERROR(__xludf.DUMMYFUNCTION("""COMPUTED_VALUE"""),3.0)</f>
        <v>3</v>
      </c>
      <c r="D3873" s="24" t="str">
        <f>IFERROR(__xludf.DUMMYFUNCTION("""COMPUTED_VALUE"""),"Damage/expired/extra")</f>
        <v>Damage/expired/extra</v>
      </c>
      <c r="F3873" s="23">
        <f>IFERROR(__xludf.DUMMYFUNCTION("""COMPUTED_VALUE"""),44894.70599641204)</f>
        <v>44894.706</v>
      </c>
      <c r="G3873" s="24" t="str">
        <f>IFERROR(__xludf.DUMMYFUNCTION("""COMPUTED_VALUE"""),"Jean")</f>
        <v>Jean</v>
      </c>
      <c r="H3873" s="24">
        <f>IFERROR(__xludf.DUMMYFUNCTION("""COMPUTED_VALUE"""),52.0)</f>
        <v>52</v>
      </c>
      <c r="I3873" s="24" t="str">
        <f>IFERROR(__xludf.DUMMYFUNCTION("""COMPUTED_VALUE"""),"Damage/expired/extra")</f>
        <v>Damage/expired/extra</v>
      </c>
    </row>
    <row r="3874">
      <c r="A3874" s="23">
        <f>IFERROR(__xludf.DUMMYFUNCTION("""COMPUTED_VALUE"""),44870.691125115736)</f>
        <v>44870.69113</v>
      </c>
      <c r="B3874" s="24" t="str">
        <f>IFERROR(__xludf.DUMMYFUNCTION("""COMPUTED_VALUE"""),"ryan jedlicka")</f>
        <v>ryan jedlicka</v>
      </c>
      <c r="C3874" s="24">
        <f>IFERROR(__xludf.DUMMYFUNCTION("""COMPUTED_VALUE"""),11.0)</f>
        <v>11</v>
      </c>
      <c r="D3874" s="24" t="str">
        <f>IFERROR(__xludf.DUMMYFUNCTION("""COMPUTED_VALUE"""),"Regular (up to 20lbs)")</f>
        <v>Regular (up to 20lbs)</v>
      </c>
      <c r="F3874" s="23">
        <f>IFERROR(__xludf.DUMMYFUNCTION("""COMPUTED_VALUE"""),44894.712047430556)</f>
        <v>44894.71205</v>
      </c>
      <c r="G3874" s="24" t="str">
        <f>IFERROR(__xludf.DUMMYFUNCTION("""COMPUTED_VALUE"""),"Beverly Pinn")</f>
        <v>Beverly Pinn</v>
      </c>
      <c r="H3874" s="24">
        <f>IFERROR(__xludf.DUMMYFUNCTION("""COMPUTED_VALUE"""),18.0)</f>
        <v>18</v>
      </c>
      <c r="I3874" s="24" t="str">
        <f>IFERROR(__xludf.DUMMYFUNCTION("""COMPUTED_VALUE"""),"Regular (up to 20lbs)")</f>
        <v>Regular (up to 20lbs)</v>
      </c>
    </row>
    <row r="3875">
      <c r="A3875" s="23">
        <f>IFERROR(__xludf.DUMMYFUNCTION("""COMPUTED_VALUE"""),44870.6918844213)</f>
        <v>44870.69188</v>
      </c>
      <c r="B3875" s="24" t="str">
        <f>IFERROR(__xludf.DUMMYFUNCTION("""COMPUTED_VALUE"""),"Elaineda Wilson")</f>
        <v>Elaineda Wilson</v>
      </c>
      <c r="C3875" s="24">
        <f>IFERROR(__xludf.DUMMYFUNCTION("""COMPUTED_VALUE"""),17.0)</f>
        <v>17</v>
      </c>
      <c r="D3875" s="24" t="str">
        <f>IFERROR(__xludf.DUMMYFUNCTION("""COMPUTED_VALUE"""),"Regular (up to 20lbs)")</f>
        <v>Regular (up to 20lbs)</v>
      </c>
      <c r="F3875" s="23">
        <f>IFERROR(__xludf.DUMMYFUNCTION("""COMPUTED_VALUE"""),44894.71220048611)</f>
        <v>44894.7122</v>
      </c>
      <c r="G3875" s="24" t="str">
        <f>IFERROR(__xludf.DUMMYFUNCTION("""COMPUTED_VALUE"""),"Beverly Pinn")</f>
        <v>Beverly Pinn</v>
      </c>
      <c r="H3875" s="24">
        <f>IFERROR(__xludf.DUMMYFUNCTION("""COMPUTED_VALUE"""),22.0)</f>
        <v>22</v>
      </c>
      <c r="I3875" s="24" t="str">
        <f>IFERROR(__xludf.DUMMYFUNCTION("""COMPUTED_VALUE"""),"Damage/expired/extra")</f>
        <v>Damage/expired/extra</v>
      </c>
    </row>
    <row r="3876">
      <c r="A3876" s="23">
        <f>IFERROR(__xludf.DUMMYFUNCTION("""COMPUTED_VALUE"""),44870.69230190972)</f>
        <v>44870.6923</v>
      </c>
      <c r="B3876" s="24" t="str">
        <f>IFERROR(__xludf.DUMMYFUNCTION("""COMPUTED_VALUE"""),"Elaineda Wilson")</f>
        <v>Elaineda Wilson</v>
      </c>
      <c r="C3876" s="24">
        <f>IFERROR(__xludf.DUMMYFUNCTION("""COMPUTED_VALUE"""),6.0)</f>
        <v>6</v>
      </c>
      <c r="D3876" s="24" t="str">
        <f>IFERROR(__xludf.DUMMYFUNCTION("""COMPUTED_VALUE"""),"Damage/expired/extra")</f>
        <v>Damage/expired/extra</v>
      </c>
      <c r="F3876" s="23">
        <f>IFERROR(__xludf.DUMMYFUNCTION("""COMPUTED_VALUE"""),44894.712540891196)</f>
        <v>44894.71254</v>
      </c>
      <c r="G3876" s="24" t="str">
        <f>IFERROR(__xludf.DUMMYFUNCTION("""COMPUTED_VALUE"""),"Beverly Graham ")</f>
        <v>Beverly Graham </v>
      </c>
      <c r="H3876" s="24">
        <f>IFERROR(__xludf.DUMMYFUNCTION("""COMPUTED_VALUE"""),18.0)</f>
        <v>18</v>
      </c>
      <c r="I3876" s="24" t="str">
        <f>IFERROR(__xludf.DUMMYFUNCTION("""COMPUTED_VALUE"""),"Regular (up to 20lbs)")</f>
        <v>Regular (up to 20lbs)</v>
      </c>
    </row>
    <row r="3877">
      <c r="A3877" s="23">
        <f>IFERROR(__xludf.DUMMYFUNCTION("""COMPUTED_VALUE"""),44870.69363328703)</f>
        <v>44870.69363</v>
      </c>
      <c r="B3877" s="24" t="str">
        <f>IFERROR(__xludf.DUMMYFUNCTION("""COMPUTED_VALUE"""),"ryan jedlicka")</f>
        <v>ryan jedlicka</v>
      </c>
      <c r="C3877" s="24">
        <f>IFERROR(__xludf.DUMMYFUNCTION("""COMPUTED_VALUE"""),17.0)</f>
        <v>17</v>
      </c>
      <c r="D3877" s="24" t="str">
        <f>IFERROR(__xludf.DUMMYFUNCTION("""COMPUTED_VALUE"""),"Damage/expired/extra")</f>
        <v>Damage/expired/extra</v>
      </c>
      <c r="F3877" s="23">
        <f>IFERROR(__xludf.DUMMYFUNCTION("""COMPUTED_VALUE"""),44894.71325375)</f>
        <v>44894.71325</v>
      </c>
      <c r="G3877" s="24" t="str">
        <f>IFERROR(__xludf.DUMMYFUNCTION("""COMPUTED_VALUE"""),"Beverly Graham ")</f>
        <v>Beverly Graham </v>
      </c>
      <c r="H3877" s="24">
        <f>IFERROR(__xludf.DUMMYFUNCTION("""COMPUTED_VALUE"""),7.0)</f>
        <v>7</v>
      </c>
      <c r="I3877" s="24" t="str">
        <f>IFERROR(__xludf.DUMMYFUNCTION("""COMPUTED_VALUE"""),"Damage/expired/extra")</f>
        <v>Damage/expired/extra</v>
      </c>
    </row>
    <row r="3878">
      <c r="A3878" s="23">
        <f>IFERROR(__xludf.DUMMYFUNCTION("""COMPUTED_VALUE"""),44870.69471761575)</f>
        <v>44870.69472</v>
      </c>
      <c r="B3878" s="24" t="str">
        <f>IFERROR(__xludf.DUMMYFUNCTION("""COMPUTED_VALUE"""),"Aza Shiao")</f>
        <v>Aza Shiao</v>
      </c>
      <c r="C3878" s="24">
        <f>IFERROR(__xludf.DUMMYFUNCTION("""COMPUTED_VALUE"""),8.0)</f>
        <v>8</v>
      </c>
      <c r="D3878" s="24" t="str">
        <f>IFERROR(__xludf.DUMMYFUNCTION("""COMPUTED_VALUE"""),"Regular (up to 20lbs)")</f>
        <v>Regular (up to 20lbs)</v>
      </c>
      <c r="F3878" s="23">
        <f>IFERROR(__xludf.DUMMYFUNCTION("""COMPUTED_VALUE"""),44894.7297646875)</f>
        <v>44894.72976</v>
      </c>
      <c r="G3878" s="24" t="str">
        <f>IFERROR(__xludf.DUMMYFUNCTION("""COMPUTED_VALUE"""),"Anna West")</f>
        <v>Anna West</v>
      </c>
      <c r="H3878" s="24">
        <f>IFERROR(__xludf.DUMMYFUNCTION("""COMPUTED_VALUE"""),20.0)</f>
        <v>20</v>
      </c>
      <c r="I3878" s="24" t="str">
        <f>IFERROR(__xludf.DUMMYFUNCTION("""COMPUTED_VALUE"""),"Regular (up to 20lbs)")</f>
        <v>Regular (up to 20lbs)</v>
      </c>
    </row>
    <row r="3879">
      <c r="A3879" s="23">
        <f>IFERROR(__xludf.DUMMYFUNCTION("""COMPUTED_VALUE"""),44870.69487810185)</f>
        <v>44870.69488</v>
      </c>
      <c r="B3879" s="24" t="str">
        <f>IFERROR(__xludf.DUMMYFUNCTION("""COMPUTED_VALUE"""),"Julie Erhart ")</f>
        <v>Julie Erhart </v>
      </c>
      <c r="C3879" s="24">
        <f>IFERROR(__xludf.DUMMYFUNCTION("""COMPUTED_VALUE"""),4.0)</f>
        <v>4</v>
      </c>
      <c r="D3879" s="24" t="str">
        <f>IFERROR(__xludf.DUMMYFUNCTION("""COMPUTED_VALUE"""),"Regular (up to 20lbs)")</f>
        <v>Regular (up to 20lbs)</v>
      </c>
      <c r="F3879" s="23">
        <f>IFERROR(__xludf.DUMMYFUNCTION("""COMPUTED_VALUE"""),44894.72990384259)</f>
        <v>44894.7299</v>
      </c>
      <c r="G3879" s="24" t="str">
        <f>IFERROR(__xludf.DUMMYFUNCTION("""COMPUTED_VALUE"""),"Anna West")</f>
        <v>Anna West</v>
      </c>
      <c r="H3879" s="24">
        <f>IFERROR(__xludf.DUMMYFUNCTION("""COMPUTED_VALUE"""),25.0)</f>
        <v>25</v>
      </c>
      <c r="I3879" s="24" t="str">
        <f>IFERROR(__xludf.DUMMYFUNCTION("""COMPUTED_VALUE"""),"Damage/expired/extra")</f>
        <v>Damage/expired/extra</v>
      </c>
    </row>
    <row r="3880">
      <c r="A3880" s="23">
        <f>IFERROR(__xludf.DUMMYFUNCTION("""COMPUTED_VALUE"""),44870.695011400465)</f>
        <v>44870.69501</v>
      </c>
      <c r="B3880" s="24" t="str">
        <f>IFERROR(__xludf.DUMMYFUNCTION("""COMPUTED_VALUE"""),"Julie Erhart ")</f>
        <v>Julie Erhart </v>
      </c>
      <c r="C3880" s="24">
        <f>IFERROR(__xludf.DUMMYFUNCTION("""COMPUTED_VALUE"""),5.0)</f>
        <v>5</v>
      </c>
      <c r="D3880" s="24" t="str">
        <f>IFERROR(__xludf.DUMMYFUNCTION("""COMPUTED_VALUE"""),"Damage/expired/extra")</f>
        <v>Damage/expired/extra</v>
      </c>
      <c r="F3880" s="23">
        <f>IFERROR(__xludf.DUMMYFUNCTION("""COMPUTED_VALUE"""),44895.0)</f>
        <v>44895</v>
      </c>
      <c r="G3880" s="24" t="str">
        <f>IFERROR(__xludf.DUMMYFUNCTION("""COMPUTED_VALUE"""),"Juanita Chandler ")</f>
        <v>Juanita Chandler </v>
      </c>
      <c r="H3880" s="24">
        <f>IFERROR(__xludf.DUMMYFUNCTION("""COMPUTED_VALUE"""),18.0)</f>
        <v>18</v>
      </c>
      <c r="I3880" s="24" t="str">
        <f>IFERROR(__xludf.DUMMYFUNCTION("""COMPUTED_VALUE"""),"Regular (up to 20lbs)")</f>
        <v>Regular (up to 20lbs)</v>
      </c>
    </row>
    <row r="3881">
      <c r="A3881" s="23">
        <f>IFERROR(__xludf.DUMMYFUNCTION("""COMPUTED_VALUE"""),44870.695058784724)</f>
        <v>44870.69506</v>
      </c>
      <c r="B3881" s="24" t="str">
        <f>IFERROR(__xludf.DUMMYFUNCTION("""COMPUTED_VALUE"""),"Diego Trafton")</f>
        <v>Diego Trafton</v>
      </c>
      <c r="C3881" s="24">
        <f>IFERROR(__xludf.DUMMYFUNCTION("""COMPUTED_VALUE"""),10.0)</f>
        <v>10</v>
      </c>
      <c r="D3881" s="24" t="str">
        <f>IFERROR(__xludf.DUMMYFUNCTION("""COMPUTED_VALUE"""),"Regular (up to 20lbs)")</f>
        <v>Regular (up to 20lbs)</v>
      </c>
      <c r="F3881" s="23">
        <f>IFERROR(__xludf.DUMMYFUNCTION("""COMPUTED_VALUE"""),44895.0)</f>
        <v>44895</v>
      </c>
      <c r="G3881" s="24" t="str">
        <f>IFERROR(__xludf.DUMMYFUNCTION("""COMPUTED_VALUE"""),"Juanita Chandler ")</f>
        <v>Juanita Chandler </v>
      </c>
      <c r="H3881" s="24">
        <f>IFERROR(__xludf.DUMMYFUNCTION("""COMPUTED_VALUE"""),28.0)</f>
        <v>28</v>
      </c>
      <c r="I3881" s="24" t="str">
        <f>IFERROR(__xludf.DUMMYFUNCTION("""COMPUTED_VALUE"""),"Damage/expired/extra")</f>
        <v>Damage/expired/extra</v>
      </c>
    </row>
    <row r="3882">
      <c r="A3882" s="23">
        <f>IFERROR(__xludf.DUMMYFUNCTION("""COMPUTED_VALUE"""),44870.69507541667)</f>
        <v>44870.69508</v>
      </c>
      <c r="B3882" s="24" t="str">
        <f>IFERROR(__xludf.DUMMYFUNCTION("""COMPUTED_VALUE"""),"Waldo Alvarez")</f>
        <v>Waldo Alvarez</v>
      </c>
      <c r="C3882" s="24">
        <f>IFERROR(__xludf.DUMMYFUNCTION("""COMPUTED_VALUE"""),1.0)</f>
        <v>1</v>
      </c>
      <c r="D3882" s="24" t="str">
        <f>IFERROR(__xludf.DUMMYFUNCTION("""COMPUTED_VALUE"""),"Regular (up to 20lbs)")</f>
        <v>Regular (up to 20lbs)</v>
      </c>
      <c r="F3882" s="23">
        <f>IFERROR(__xludf.DUMMYFUNCTION("""COMPUTED_VALUE"""),44895.0)</f>
        <v>44895</v>
      </c>
      <c r="G3882" s="24" t="str">
        <f>IFERROR(__xludf.DUMMYFUNCTION("""COMPUTED_VALUE"""),"Doris Parker Tuggle")</f>
        <v>Doris Parker Tuggle</v>
      </c>
      <c r="H3882" s="24">
        <f>IFERROR(__xludf.DUMMYFUNCTION("""COMPUTED_VALUE"""),19.0)</f>
        <v>19</v>
      </c>
      <c r="I3882" s="24" t="str">
        <f>IFERROR(__xludf.DUMMYFUNCTION("""COMPUTED_VALUE"""),"Regular (up to 20lbs)")</f>
        <v>Regular (up to 20lbs)</v>
      </c>
    </row>
    <row r="3883">
      <c r="A3883" s="23">
        <f>IFERROR(__xludf.DUMMYFUNCTION("""COMPUTED_VALUE"""),44870.69515358796)</f>
        <v>44870.69515</v>
      </c>
      <c r="B3883" s="24" t="str">
        <f>IFERROR(__xludf.DUMMYFUNCTION("""COMPUTED_VALUE"""),"Diego Trafton")</f>
        <v>Diego Trafton</v>
      </c>
      <c r="C3883" s="24">
        <f>IFERROR(__xludf.DUMMYFUNCTION("""COMPUTED_VALUE"""),2.0)</f>
        <v>2</v>
      </c>
      <c r="D3883" s="24" t="str">
        <f>IFERROR(__xludf.DUMMYFUNCTION("""COMPUTED_VALUE"""),"Damage/expired/extra")</f>
        <v>Damage/expired/extra</v>
      </c>
      <c r="F3883" s="23">
        <f>IFERROR(__xludf.DUMMYFUNCTION("""COMPUTED_VALUE"""),44895.0)</f>
        <v>44895</v>
      </c>
      <c r="G3883" s="24" t="str">
        <f>IFERROR(__xludf.DUMMYFUNCTION("""COMPUTED_VALUE"""),"Doris Parker Tuggle")</f>
        <v>Doris Parker Tuggle</v>
      </c>
      <c r="H3883" s="24">
        <f>IFERROR(__xludf.DUMMYFUNCTION("""COMPUTED_VALUE"""),6.0)</f>
        <v>6</v>
      </c>
      <c r="I3883" s="24" t="str">
        <f>IFERROR(__xludf.DUMMYFUNCTION("""COMPUTED_VALUE"""),"Damage/expired/extra")</f>
        <v>Damage/expired/extra</v>
      </c>
    </row>
    <row r="3884">
      <c r="A3884" s="23">
        <f>IFERROR(__xludf.DUMMYFUNCTION("""COMPUTED_VALUE"""),44870.695179849536)</f>
        <v>44870.69518</v>
      </c>
      <c r="B3884" s="24" t="str">
        <f>IFERROR(__xludf.DUMMYFUNCTION("""COMPUTED_VALUE"""),"Justin Zhong")</f>
        <v>Justin Zhong</v>
      </c>
      <c r="C3884" s="24">
        <f>IFERROR(__xludf.DUMMYFUNCTION("""COMPUTED_VALUE"""),5.0)</f>
        <v>5</v>
      </c>
      <c r="D3884" s="24" t="str">
        <f>IFERROR(__xludf.DUMMYFUNCTION("""COMPUTED_VALUE"""),"Regular (up to 20lbs)")</f>
        <v>Regular (up to 20lbs)</v>
      </c>
      <c r="F3884" s="23">
        <f>IFERROR(__xludf.DUMMYFUNCTION("""COMPUTED_VALUE"""),44895.0)</f>
        <v>44895</v>
      </c>
      <c r="G3884" s="24" t="str">
        <f>IFERROR(__xludf.DUMMYFUNCTION("""COMPUTED_VALUE"""),"Bonnie Peck")</f>
        <v>Bonnie Peck</v>
      </c>
      <c r="H3884" s="24">
        <f>IFERROR(__xludf.DUMMYFUNCTION("""COMPUTED_VALUE"""),20.0)</f>
        <v>20</v>
      </c>
      <c r="I3884" s="24" t="str">
        <f>IFERROR(__xludf.DUMMYFUNCTION("""COMPUTED_VALUE"""),"Regular (up to 20lbs)")</f>
        <v>Regular (up to 20lbs)</v>
      </c>
    </row>
    <row r="3885">
      <c r="A3885" s="23">
        <f>IFERROR(__xludf.DUMMYFUNCTION("""COMPUTED_VALUE"""),44870.69521694444)</f>
        <v>44870.69522</v>
      </c>
      <c r="B3885" s="24" t="str">
        <f>IFERROR(__xludf.DUMMYFUNCTION("""COMPUTED_VALUE"""),"Waldo")</f>
        <v>Waldo</v>
      </c>
      <c r="C3885" s="24">
        <f>IFERROR(__xludf.DUMMYFUNCTION("""COMPUTED_VALUE"""),1.0)</f>
        <v>1</v>
      </c>
      <c r="D3885" s="24" t="str">
        <f>IFERROR(__xludf.DUMMYFUNCTION("""COMPUTED_VALUE"""),"Damage/expired/extra")</f>
        <v>Damage/expired/extra</v>
      </c>
      <c r="F3885" s="23">
        <f>IFERROR(__xludf.DUMMYFUNCTION("""COMPUTED_VALUE"""),44895.0)</f>
        <v>44895</v>
      </c>
      <c r="G3885" s="24" t="str">
        <f>IFERROR(__xludf.DUMMYFUNCTION("""COMPUTED_VALUE"""),"Bonnie Peck")</f>
        <v>Bonnie Peck</v>
      </c>
      <c r="H3885" s="24">
        <f>IFERROR(__xludf.DUMMYFUNCTION("""COMPUTED_VALUE"""),39.0)</f>
        <v>39</v>
      </c>
      <c r="I3885" s="24" t="str">
        <f>IFERROR(__xludf.DUMMYFUNCTION("""COMPUTED_VALUE"""),"Damage/expired/extra")</f>
        <v>Damage/expired/extra</v>
      </c>
    </row>
    <row r="3886">
      <c r="A3886" s="23">
        <f>IFERROR(__xludf.DUMMYFUNCTION("""COMPUTED_VALUE"""),44870.69530870371)</f>
        <v>44870.69531</v>
      </c>
      <c r="B3886" s="24" t="str">
        <f>IFERROR(__xludf.DUMMYFUNCTION("""COMPUTED_VALUE"""),"Justin Zhong")</f>
        <v>Justin Zhong</v>
      </c>
      <c r="C3886" s="24">
        <f>IFERROR(__xludf.DUMMYFUNCTION("""COMPUTED_VALUE"""),11.0)</f>
        <v>11</v>
      </c>
      <c r="D3886" s="24" t="str">
        <f>IFERROR(__xludf.DUMMYFUNCTION("""COMPUTED_VALUE"""),"Damage/expired/extra")</f>
        <v>Damage/expired/extra</v>
      </c>
      <c r="F3886" s="23">
        <f>IFERROR(__xludf.DUMMYFUNCTION("""COMPUTED_VALUE"""),44895.0)</f>
        <v>44895</v>
      </c>
      <c r="G3886" s="24" t="str">
        <f>IFERROR(__xludf.DUMMYFUNCTION("""COMPUTED_VALUE"""),"Aurora Dustin")</f>
        <v>Aurora Dustin</v>
      </c>
      <c r="H3886" s="24">
        <f>IFERROR(__xludf.DUMMYFUNCTION("""COMPUTED_VALUE"""),17.0)</f>
        <v>17</v>
      </c>
      <c r="I3886" s="24" t="str">
        <f>IFERROR(__xludf.DUMMYFUNCTION("""COMPUTED_VALUE"""),"Regular (up to 20lbs)")</f>
        <v>Regular (up to 20lbs)</v>
      </c>
    </row>
    <row r="3887">
      <c r="A3887" s="23">
        <f>IFERROR(__xludf.DUMMYFUNCTION("""COMPUTED_VALUE"""),44870.697766273144)</f>
        <v>44870.69777</v>
      </c>
      <c r="B3887" s="24" t="str">
        <f>IFERROR(__xludf.DUMMYFUNCTION("""COMPUTED_VALUE"""),"Abby Disman")</f>
        <v>Abby Disman</v>
      </c>
      <c r="C3887" s="24">
        <f>IFERROR(__xludf.DUMMYFUNCTION("""COMPUTED_VALUE"""),8.0)</f>
        <v>8</v>
      </c>
      <c r="D3887" s="24" t="str">
        <f>IFERROR(__xludf.DUMMYFUNCTION("""COMPUTED_VALUE"""),"Regular (up to 20lbs)")</f>
        <v>Regular (up to 20lbs)</v>
      </c>
      <c r="F3887" s="23">
        <f>IFERROR(__xludf.DUMMYFUNCTION("""COMPUTED_VALUE"""),44895.0)</f>
        <v>44895</v>
      </c>
      <c r="G3887" s="24" t="str">
        <f>IFERROR(__xludf.DUMMYFUNCTION("""COMPUTED_VALUE"""),"Aurora Dustin")</f>
        <v>Aurora Dustin</v>
      </c>
      <c r="H3887" s="24">
        <f>IFERROR(__xludf.DUMMYFUNCTION("""COMPUTED_VALUE"""),28.0)</f>
        <v>28</v>
      </c>
      <c r="I3887" s="24" t="str">
        <f>IFERROR(__xludf.DUMMYFUNCTION("""COMPUTED_VALUE"""),"Damage/expired/extra")</f>
        <v>Damage/expired/extra</v>
      </c>
    </row>
    <row r="3888">
      <c r="A3888" s="23">
        <f>IFERROR(__xludf.DUMMYFUNCTION("""COMPUTED_VALUE"""),44870.69779215277)</f>
        <v>44870.69779</v>
      </c>
      <c r="B3888" s="24" t="str">
        <f>IFERROR(__xludf.DUMMYFUNCTION("""COMPUTED_VALUE"""),"Madison Whybrew")</f>
        <v>Madison Whybrew</v>
      </c>
      <c r="C3888" s="24">
        <f>IFERROR(__xludf.DUMMYFUNCTION("""COMPUTED_VALUE"""),10.0)</f>
        <v>10</v>
      </c>
      <c r="D3888" s="24" t="str">
        <f>IFERROR(__xludf.DUMMYFUNCTION("""COMPUTED_VALUE"""),"Regular (up to 20lbs)")</f>
        <v>Regular (up to 20lbs)</v>
      </c>
      <c r="F3888" s="23">
        <f>IFERROR(__xludf.DUMMYFUNCTION("""COMPUTED_VALUE"""),44895.0)</f>
        <v>44895</v>
      </c>
      <c r="G3888" s="24" t="str">
        <f>IFERROR(__xludf.DUMMYFUNCTION("""COMPUTED_VALUE"""),"Nat Busbee")</f>
        <v>Nat Busbee</v>
      </c>
      <c r="H3888" s="24">
        <f>IFERROR(__xludf.DUMMYFUNCTION("""COMPUTED_VALUE"""),2.0)</f>
        <v>2</v>
      </c>
      <c r="I3888" s="24" t="str">
        <f>IFERROR(__xludf.DUMMYFUNCTION("""COMPUTED_VALUE"""),"Regular (up to 20lbs)")</f>
        <v>Regular (up to 20lbs)</v>
      </c>
    </row>
    <row r="3889">
      <c r="A3889" s="23">
        <f>IFERROR(__xludf.DUMMYFUNCTION("""COMPUTED_VALUE"""),44870.69791203703)</f>
        <v>44870.69791</v>
      </c>
      <c r="B3889" s="24" t="str">
        <f>IFERROR(__xludf.DUMMYFUNCTION("""COMPUTED_VALUE"""),"Abby Disman")</f>
        <v>Abby Disman</v>
      </c>
      <c r="C3889" s="24">
        <f>IFERROR(__xludf.DUMMYFUNCTION("""COMPUTED_VALUE"""),6.0)</f>
        <v>6</v>
      </c>
      <c r="D3889" s="24" t="str">
        <f>IFERROR(__xludf.DUMMYFUNCTION("""COMPUTED_VALUE"""),"Damage/expired/extra")</f>
        <v>Damage/expired/extra</v>
      </c>
      <c r="F3889" s="23">
        <f>IFERROR(__xludf.DUMMYFUNCTION("""COMPUTED_VALUE"""),44895.0)</f>
        <v>44895</v>
      </c>
      <c r="G3889" s="24" t="str">
        <f>IFERROR(__xludf.DUMMYFUNCTION("""COMPUTED_VALUE"""),"Nat Busbee")</f>
        <v>Nat Busbee</v>
      </c>
      <c r="H3889" s="24">
        <f>IFERROR(__xludf.DUMMYFUNCTION("""COMPUTED_VALUE"""),1.0)</f>
        <v>1</v>
      </c>
      <c r="I3889" s="24" t="str">
        <f>IFERROR(__xludf.DUMMYFUNCTION("""COMPUTED_VALUE"""),"Damage/expired/extra")</f>
        <v>Damage/expired/extra</v>
      </c>
    </row>
    <row r="3890">
      <c r="A3890" s="23">
        <f>IFERROR(__xludf.DUMMYFUNCTION("""COMPUTED_VALUE"""),44870.69797509259)</f>
        <v>44870.69798</v>
      </c>
      <c r="B3890" s="24" t="str">
        <f>IFERROR(__xludf.DUMMYFUNCTION("""COMPUTED_VALUE"""),"Madison Whybrew")</f>
        <v>Madison Whybrew</v>
      </c>
      <c r="C3890" s="24">
        <f>IFERROR(__xludf.DUMMYFUNCTION("""COMPUTED_VALUE"""),9.0)</f>
        <v>9</v>
      </c>
      <c r="D3890" s="24" t="str">
        <f>IFERROR(__xludf.DUMMYFUNCTION("""COMPUTED_VALUE"""),"Damage/expired/extra")</f>
        <v>Damage/expired/extra</v>
      </c>
      <c r="F3890" s="23">
        <f>IFERROR(__xludf.DUMMYFUNCTION("""COMPUTED_VALUE"""),44895.0)</f>
        <v>44895</v>
      </c>
      <c r="G3890" s="24" t="str">
        <f>IFERROR(__xludf.DUMMYFUNCTION("""COMPUTED_VALUE"""),"Brian Horan")</f>
        <v>Brian Horan</v>
      </c>
      <c r="H3890" s="24">
        <f>IFERROR(__xludf.DUMMYFUNCTION("""COMPUTED_VALUE"""),3.0)</f>
        <v>3</v>
      </c>
      <c r="I3890" s="24" t="str">
        <f>IFERROR(__xludf.DUMMYFUNCTION("""COMPUTED_VALUE"""),"Damage/expired/extra")</f>
        <v>Damage/expired/extra</v>
      </c>
    </row>
    <row r="3891">
      <c r="A3891" s="23">
        <f>IFERROR(__xludf.DUMMYFUNCTION("""COMPUTED_VALUE"""),44870.698238576384)</f>
        <v>44870.69824</v>
      </c>
      <c r="B3891" s="24" t="str">
        <f>IFERROR(__xludf.DUMMYFUNCTION("""COMPUTED_VALUE"""),"Sara B. ")</f>
        <v>Sara B. </v>
      </c>
      <c r="C3891" s="24">
        <f>IFERROR(__xludf.DUMMYFUNCTION("""COMPUTED_VALUE"""),10.0)</f>
        <v>10</v>
      </c>
      <c r="D3891" s="24" t="str">
        <f>IFERROR(__xludf.DUMMYFUNCTION("""COMPUTED_VALUE"""),"Regular (up to 20lbs)")</f>
        <v>Regular (up to 20lbs)</v>
      </c>
      <c r="F3891" s="23">
        <f>IFERROR(__xludf.DUMMYFUNCTION("""COMPUTED_VALUE"""),44895.0)</f>
        <v>44895</v>
      </c>
      <c r="G3891" s="24" t="str">
        <f>IFERROR(__xludf.DUMMYFUNCTION("""COMPUTED_VALUE"""),"Sarah K")</f>
        <v>Sarah K</v>
      </c>
      <c r="H3891" s="24">
        <f>IFERROR(__xludf.DUMMYFUNCTION("""COMPUTED_VALUE"""),4.0)</f>
        <v>4</v>
      </c>
      <c r="I3891" s="24" t="str">
        <f>IFERROR(__xludf.DUMMYFUNCTION("""COMPUTED_VALUE"""),"Regular (up to 20lbs)")</f>
        <v>Regular (up to 20lbs)</v>
      </c>
    </row>
    <row r="3892">
      <c r="A3892" s="23">
        <f>IFERROR(__xludf.DUMMYFUNCTION("""COMPUTED_VALUE"""),44870.698396458334)</f>
        <v>44870.6984</v>
      </c>
      <c r="B3892" s="24" t="str">
        <f>IFERROR(__xludf.DUMMYFUNCTION("""COMPUTED_VALUE"""),"Sara B. ")</f>
        <v>Sara B. </v>
      </c>
      <c r="C3892" s="24">
        <f>IFERROR(__xludf.DUMMYFUNCTION("""COMPUTED_VALUE"""),2.0)</f>
        <v>2</v>
      </c>
      <c r="D3892" s="24" t="str">
        <f>IFERROR(__xludf.DUMMYFUNCTION("""COMPUTED_VALUE"""),"Damage/expired/extra")</f>
        <v>Damage/expired/extra</v>
      </c>
      <c r="F3892" s="23">
        <f>IFERROR(__xludf.DUMMYFUNCTION("""COMPUTED_VALUE"""),44895.0)</f>
        <v>44895</v>
      </c>
      <c r="G3892" s="24" t="str">
        <f>IFERROR(__xludf.DUMMYFUNCTION("""COMPUTED_VALUE"""),"Dee Satterfield")</f>
        <v>Dee Satterfield</v>
      </c>
      <c r="H3892" s="24">
        <f>IFERROR(__xludf.DUMMYFUNCTION("""COMPUTED_VALUE"""),20.0)</f>
        <v>20</v>
      </c>
      <c r="I3892" s="24" t="str">
        <f>IFERROR(__xludf.DUMMYFUNCTION("""COMPUTED_VALUE"""),"Regular (up to 20lbs)")</f>
        <v>Regular (up to 20lbs)</v>
      </c>
    </row>
    <row r="3893">
      <c r="A3893" s="23">
        <f>IFERROR(__xludf.DUMMYFUNCTION("""COMPUTED_VALUE"""),44870.70633246528)</f>
        <v>44870.70633</v>
      </c>
      <c r="B3893" s="24" t="str">
        <f>IFERROR(__xludf.DUMMYFUNCTION("""COMPUTED_VALUE"""),"Kendal ")</f>
        <v>Kendal </v>
      </c>
      <c r="C3893" s="24">
        <f>IFERROR(__xludf.DUMMYFUNCTION("""COMPUTED_VALUE"""),9.0)</f>
        <v>9</v>
      </c>
      <c r="D3893" s="24" t="str">
        <f>IFERROR(__xludf.DUMMYFUNCTION("""COMPUTED_VALUE"""),"Regular (up to 20lbs)")</f>
        <v>Regular (up to 20lbs)</v>
      </c>
      <c r="F3893" s="23">
        <f>IFERROR(__xludf.DUMMYFUNCTION("""COMPUTED_VALUE"""),44895.0)</f>
        <v>44895</v>
      </c>
      <c r="G3893" s="24" t="str">
        <f>IFERROR(__xludf.DUMMYFUNCTION("""COMPUTED_VALUE"""),"Bryce Barnes")</f>
        <v>Bryce Barnes</v>
      </c>
      <c r="H3893" s="24">
        <f>IFERROR(__xludf.DUMMYFUNCTION("""COMPUTED_VALUE"""),13.0)</f>
        <v>13</v>
      </c>
      <c r="I3893" s="24" t="str">
        <f>IFERROR(__xludf.DUMMYFUNCTION("""COMPUTED_VALUE"""),"Damage/expired/extra")</f>
        <v>Damage/expired/extra</v>
      </c>
    </row>
    <row r="3894">
      <c r="A3894" s="23">
        <f>IFERROR(__xludf.DUMMYFUNCTION("""COMPUTED_VALUE"""),44870.70643121528)</f>
        <v>44870.70643</v>
      </c>
      <c r="B3894" s="24" t="str">
        <f>IFERROR(__xludf.DUMMYFUNCTION("""COMPUTED_VALUE"""),"Kendal")</f>
        <v>Kendal</v>
      </c>
      <c r="C3894" s="24">
        <f>IFERROR(__xludf.DUMMYFUNCTION("""COMPUTED_VALUE"""),9.0)</f>
        <v>9</v>
      </c>
      <c r="D3894" s="24" t="str">
        <f>IFERROR(__xludf.DUMMYFUNCTION("""COMPUTED_VALUE"""),"Damage/expired/extra")</f>
        <v>Damage/expired/extra</v>
      </c>
      <c r="F3894" s="23">
        <f>IFERROR(__xludf.DUMMYFUNCTION("""COMPUTED_VALUE"""),44895.71947123843)</f>
        <v>44895.71947</v>
      </c>
      <c r="G3894" s="24" t="str">
        <f>IFERROR(__xludf.DUMMYFUNCTION("""COMPUTED_VALUE"""),"Karen")</f>
        <v>Karen</v>
      </c>
      <c r="H3894" s="24">
        <f>IFERROR(__xludf.DUMMYFUNCTION("""COMPUTED_VALUE"""),17.0)</f>
        <v>17</v>
      </c>
      <c r="I3894" s="24" t="str">
        <f>IFERROR(__xludf.DUMMYFUNCTION("""COMPUTED_VALUE"""),"Regular (up to 20lbs)")</f>
        <v>Regular (up to 20lbs)</v>
      </c>
    </row>
    <row r="3895">
      <c r="A3895" s="23">
        <f>IFERROR(__xludf.DUMMYFUNCTION("""COMPUTED_VALUE"""),44870.71055528935)</f>
        <v>44870.71056</v>
      </c>
      <c r="B3895" s="24" t="str">
        <f>IFERROR(__xludf.DUMMYFUNCTION("""COMPUTED_VALUE"""),"Dean Chien")</f>
        <v>Dean Chien</v>
      </c>
      <c r="C3895" s="24">
        <f>IFERROR(__xludf.DUMMYFUNCTION("""COMPUTED_VALUE"""),12.0)</f>
        <v>12</v>
      </c>
      <c r="D3895" s="24" t="str">
        <f>IFERROR(__xludf.DUMMYFUNCTION("""COMPUTED_VALUE"""),"Regular (up to 20lbs)")</f>
        <v>Regular (up to 20lbs)</v>
      </c>
      <c r="F3895" s="23">
        <f>IFERROR(__xludf.DUMMYFUNCTION("""COMPUTED_VALUE"""),44895.71962299768)</f>
        <v>44895.71962</v>
      </c>
      <c r="G3895" s="24" t="str">
        <f>IFERROR(__xludf.DUMMYFUNCTION("""COMPUTED_VALUE"""),"Karen")</f>
        <v>Karen</v>
      </c>
      <c r="H3895" s="24">
        <f>IFERROR(__xludf.DUMMYFUNCTION("""COMPUTED_VALUE"""),10.0)</f>
        <v>10</v>
      </c>
      <c r="I3895" s="24" t="str">
        <f>IFERROR(__xludf.DUMMYFUNCTION("""COMPUTED_VALUE"""),"Damage/expired/extra")</f>
        <v>Damage/expired/extra</v>
      </c>
    </row>
    <row r="3896">
      <c r="A3896" s="23">
        <f>IFERROR(__xludf.DUMMYFUNCTION("""COMPUTED_VALUE"""),44870.713944178235)</f>
        <v>44870.71394</v>
      </c>
      <c r="B3896" s="24" t="str">
        <f>IFERROR(__xludf.DUMMYFUNCTION("""COMPUTED_VALUE"""),"Beverly Pinn")</f>
        <v>Beverly Pinn</v>
      </c>
      <c r="C3896" s="24">
        <f>IFERROR(__xludf.DUMMYFUNCTION("""COMPUTED_VALUE"""),11.0)</f>
        <v>11</v>
      </c>
      <c r="D3896" s="24" t="str">
        <f>IFERROR(__xludf.DUMMYFUNCTION("""COMPUTED_VALUE"""),"Regular (up to 20lbs)")</f>
        <v>Regular (up to 20lbs)</v>
      </c>
      <c r="F3896" s="23">
        <f>IFERROR(__xludf.DUMMYFUNCTION("""COMPUTED_VALUE"""),44895.72333699073)</f>
        <v>44895.72334</v>
      </c>
      <c r="G3896" s="24" t="str">
        <f>IFERROR(__xludf.DUMMYFUNCTION("""COMPUTED_VALUE"""),"Lynnette c")</f>
        <v>Lynnette c</v>
      </c>
      <c r="H3896" s="24">
        <f>IFERROR(__xludf.DUMMYFUNCTION("""COMPUTED_VALUE"""),17.0)</f>
        <v>17</v>
      </c>
      <c r="I3896" s="24" t="str">
        <f>IFERROR(__xludf.DUMMYFUNCTION("""COMPUTED_VALUE"""),"Regular (up to 20lbs)")</f>
        <v>Regular (up to 20lbs)</v>
      </c>
    </row>
    <row r="3897">
      <c r="A3897" s="23">
        <f>IFERROR(__xludf.DUMMYFUNCTION("""COMPUTED_VALUE"""),44870.71408878472)</f>
        <v>44870.71409</v>
      </c>
      <c r="B3897" s="24" t="str">
        <f>IFERROR(__xludf.DUMMYFUNCTION("""COMPUTED_VALUE"""),"Beverly Pinn")</f>
        <v>Beverly Pinn</v>
      </c>
      <c r="C3897" s="24">
        <f>IFERROR(__xludf.DUMMYFUNCTION("""COMPUTED_VALUE"""),17.0)</f>
        <v>17</v>
      </c>
      <c r="D3897" s="24" t="str">
        <f>IFERROR(__xludf.DUMMYFUNCTION("""COMPUTED_VALUE"""),"Damage/expired/extra")</f>
        <v>Damage/expired/extra</v>
      </c>
      <c r="F3897" s="23">
        <f>IFERROR(__xludf.DUMMYFUNCTION("""COMPUTED_VALUE"""),44895.72353123843)</f>
        <v>44895.72353</v>
      </c>
      <c r="G3897" s="24" t="str">
        <f>IFERROR(__xludf.DUMMYFUNCTION("""COMPUTED_VALUE"""),"Lynnette")</f>
        <v>Lynnette</v>
      </c>
      <c r="H3897" s="24">
        <f>IFERROR(__xludf.DUMMYFUNCTION("""COMPUTED_VALUE"""),24.0)</f>
        <v>24</v>
      </c>
      <c r="I3897" s="24" t="str">
        <f>IFERROR(__xludf.DUMMYFUNCTION("""COMPUTED_VALUE"""),"Damage/expired/extra")</f>
        <v>Damage/expired/extra</v>
      </c>
    </row>
    <row r="3898">
      <c r="A3898" s="23">
        <f>IFERROR(__xludf.DUMMYFUNCTION("""COMPUTED_VALUE"""),44870.71486222222)</f>
        <v>44870.71486</v>
      </c>
      <c r="B3898" s="24" t="str">
        <f>IFERROR(__xludf.DUMMYFUNCTION("""COMPUTED_VALUE"""),"Juanita Chandler ")</f>
        <v>Juanita Chandler </v>
      </c>
      <c r="C3898" s="24">
        <f>IFERROR(__xludf.DUMMYFUNCTION("""COMPUTED_VALUE"""),17.0)</f>
        <v>17</v>
      </c>
      <c r="D3898" s="24" t="str">
        <f>IFERROR(__xludf.DUMMYFUNCTION("""COMPUTED_VALUE"""),"Damage/expired/extra")</f>
        <v>Damage/expired/extra</v>
      </c>
      <c r="F3898" s="23">
        <f>IFERROR(__xludf.DUMMYFUNCTION("""COMPUTED_VALUE"""),44895.807215740744)</f>
        <v>44895.80722</v>
      </c>
      <c r="G3898" s="24" t="str">
        <f>IFERROR(__xludf.DUMMYFUNCTION("""COMPUTED_VALUE"""),"Claire")</f>
        <v>Claire</v>
      </c>
      <c r="H3898" s="24">
        <f>IFERROR(__xludf.DUMMYFUNCTION("""COMPUTED_VALUE"""),242.0)</f>
        <v>242</v>
      </c>
      <c r="I3898" s="24" t="str">
        <f>IFERROR(__xludf.DUMMYFUNCTION("""COMPUTED_VALUE"""),"Amazon")</f>
        <v>Amazon</v>
      </c>
    </row>
    <row r="3899">
      <c r="A3899" s="23">
        <f>IFERROR(__xludf.DUMMYFUNCTION("""COMPUTED_VALUE"""),44870.71515686342)</f>
        <v>44870.71516</v>
      </c>
      <c r="B3899" s="24" t="str">
        <f>IFERROR(__xludf.DUMMYFUNCTION("""COMPUTED_VALUE"""),"Juanita Chandler ")</f>
        <v>Juanita Chandler </v>
      </c>
      <c r="C3899" s="24">
        <f>IFERROR(__xludf.DUMMYFUNCTION("""COMPUTED_VALUE"""),11.0)</f>
        <v>11</v>
      </c>
      <c r="D3899" s="24" t="str">
        <f>IFERROR(__xludf.DUMMYFUNCTION("""COMPUTED_VALUE"""),"Regular (up to 20lbs)")</f>
        <v>Regular (up to 20lbs)</v>
      </c>
      <c r="F3899" s="23">
        <f>IFERROR(__xludf.DUMMYFUNCTION("""COMPUTED_VALUE"""),44895.80756071759)</f>
        <v>44895.80756</v>
      </c>
      <c r="G3899" s="24" t="str">
        <f>IFERROR(__xludf.DUMMYFUNCTION("""COMPUTED_VALUE"""),"Claire")</f>
        <v>Claire</v>
      </c>
      <c r="H3899" s="24">
        <f>IFERROR(__xludf.DUMMYFUNCTION("""COMPUTED_VALUE"""),566.0)</f>
        <v>566</v>
      </c>
      <c r="I3899" s="24" t="str">
        <f>IFERROR(__xludf.DUMMYFUNCTION("""COMPUTED_VALUE"""),"Amazon")</f>
        <v>Amazon</v>
      </c>
    </row>
    <row r="3900">
      <c r="A3900" s="23">
        <f>IFERROR(__xludf.DUMMYFUNCTION("""COMPUTED_VALUE"""),44871.0)</f>
        <v>44871</v>
      </c>
      <c r="B3900" s="24" t="str">
        <f>IFERROR(__xludf.DUMMYFUNCTION("""COMPUTED_VALUE"""),"Juanita Chandler ")</f>
        <v>Juanita Chandler </v>
      </c>
      <c r="C3900" s="24">
        <f>IFERROR(__xludf.DUMMYFUNCTION("""COMPUTED_VALUE"""),15.0)</f>
        <v>15</v>
      </c>
      <c r="D3900" s="24" t="str">
        <f>IFERROR(__xludf.DUMMYFUNCTION("""COMPUTED_VALUE"""),"Regular (up to 20lbs)")</f>
        <v>Regular (up to 20lbs)</v>
      </c>
      <c r="F3900" s="23">
        <f>IFERROR(__xludf.DUMMYFUNCTION("""COMPUTED_VALUE"""),44895.80784508102)</f>
        <v>44895.80785</v>
      </c>
      <c r="G3900" s="24" t="str">
        <f>IFERROR(__xludf.DUMMYFUNCTION("""COMPUTED_VALUE"""),"Claire")</f>
        <v>Claire</v>
      </c>
      <c r="H3900" s="24">
        <f>IFERROR(__xludf.DUMMYFUNCTION("""COMPUTED_VALUE"""),306.0)</f>
        <v>306</v>
      </c>
      <c r="I3900" s="24" t="str">
        <f>IFERROR(__xludf.DUMMYFUNCTION("""COMPUTED_VALUE"""),"Amazon")</f>
        <v>Amazon</v>
      </c>
    </row>
    <row r="3901">
      <c r="A3901" s="23">
        <f>IFERROR(__xludf.DUMMYFUNCTION("""COMPUTED_VALUE"""),44871.0)</f>
        <v>44871</v>
      </c>
      <c r="B3901" s="24" t="str">
        <f>IFERROR(__xludf.DUMMYFUNCTION("""COMPUTED_VALUE"""),"Juanita Chandler ")</f>
        <v>Juanita Chandler </v>
      </c>
      <c r="C3901" s="24">
        <f>IFERROR(__xludf.DUMMYFUNCTION("""COMPUTED_VALUE"""),6.0)</f>
        <v>6</v>
      </c>
      <c r="D3901" s="24" t="str">
        <f>IFERROR(__xludf.DUMMYFUNCTION("""COMPUTED_VALUE"""),"Damage/expired/extra")</f>
        <v>Damage/expired/extra</v>
      </c>
      <c r="F3901" s="23">
        <f>IFERROR(__xludf.DUMMYFUNCTION("""COMPUTED_VALUE"""),44895.80820049768)</f>
        <v>44895.8082</v>
      </c>
      <c r="G3901" s="24" t="str">
        <f>IFERROR(__xludf.DUMMYFUNCTION("""COMPUTED_VALUE"""),"Claire ")</f>
        <v>Claire </v>
      </c>
      <c r="H3901" s="24">
        <f>IFERROR(__xludf.DUMMYFUNCTION("""COMPUTED_VALUE"""),163.0)</f>
        <v>163</v>
      </c>
      <c r="I3901" s="24" t="str">
        <f>IFERROR(__xludf.DUMMYFUNCTION("""COMPUTED_VALUE"""),"Amazon")</f>
        <v>Amazon</v>
      </c>
    </row>
    <row r="3902">
      <c r="A3902" s="23">
        <f>IFERROR(__xludf.DUMMYFUNCTION("""COMPUTED_VALUE"""),44871.0)</f>
        <v>44871</v>
      </c>
      <c r="B3902" s="24" t="str">
        <f>IFERROR(__xludf.DUMMYFUNCTION("""COMPUTED_VALUE"""),"Ladaisha Thompson")</f>
        <v>Ladaisha Thompson</v>
      </c>
      <c r="C3902" s="24">
        <f>IFERROR(__xludf.DUMMYFUNCTION("""COMPUTED_VALUE"""),19.0)</f>
        <v>19</v>
      </c>
      <c r="D3902" s="24" t="str">
        <f>IFERROR(__xludf.DUMMYFUNCTION("""COMPUTED_VALUE"""),"Regular (up to 20lbs)")</f>
        <v>Regular (up to 20lbs)</v>
      </c>
      <c r="F3902" s="23">
        <f>IFERROR(__xludf.DUMMYFUNCTION("""COMPUTED_VALUE"""),44895.80858650463)</f>
        <v>44895.80859</v>
      </c>
      <c r="G3902" s="24" t="str">
        <f>IFERROR(__xludf.DUMMYFUNCTION("""COMPUTED_VALUE"""),"Claire")</f>
        <v>Claire</v>
      </c>
      <c r="H3902" s="24">
        <f>IFERROR(__xludf.DUMMYFUNCTION("""COMPUTED_VALUE"""),176.0)</f>
        <v>176</v>
      </c>
      <c r="I3902" s="24" t="str">
        <f>IFERROR(__xludf.DUMMYFUNCTION("""COMPUTED_VALUE"""),"Amazon")</f>
        <v>Amazon</v>
      </c>
    </row>
    <row r="3903">
      <c r="A3903" s="23">
        <f>IFERROR(__xludf.DUMMYFUNCTION("""COMPUTED_VALUE"""),44871.0)</f>
        <v>44871</v>
      </c>
      <c r="B3903" s="24" t="str">
        <f>IFERROR(__xludf.DUMMYFUNCTION("""COMPUTED_VALUE"""),"Ladaisha Thompson")</f>
        <v>Ladaisha Thompson</v>
      </c>
      <c r="C3903" s="24">
        <f>IFERROR(__xludf.DUMMYFUNCTION("""COMPUTED_VALUE"""),7.0)</f>
        <v>7</v>
      </c>
      <c r="D3903" s="24" t="str">
        <f>IFERROR(__xludf.DUMMYFUNCTION("""COMPUTED_VALUE"""),"Damage/expired/extra")</f>
        <v>Damage/expired/extra</v>
      </c>
      <c r="F3903" s="23">
        <f>IFERROR(__xludf.DUMMYFUNCTION("""COMPUTED_VALUE"""),44895.80881403935)</f>
        <v>44895.80881</v>
      </c>
      <c r="G3903" s="24" t="str">
        <f>IFERROR(__xludf.DUMMYFUNCTION("""COMPUTED_VALUE"""),"Claire")</f>
        <v>Claire</v>
      </c>
      <c r="H3903" s="24">
        <f>IFERROR(__xludf.DUMMYFUNCTION("""COMPUTED_VALUE"""),351.0)</f>
        <v>351</v>
      </c>
      <c r="I3903" s="24" t="str">
        <f>IFERROR(__xludf.DUMMYFUNCTION("""COMPUTED_VALUE"""),"Amazon")</f>
        <v>Amazon</v>
      </c>
    </row>
    <row r="3904">
      <c r="A3904" s="23">
        <f>IFERROR(__xludf.DUMMYFUNCTION("""COMPUTED_VALUE"""),44871.0)</f>
        <v>44871</v>
      </c>
      <c r="B3904" s="24" t="str">
        <f>IFERROR(__xludf.DUMMYFUNCTION("""COMPUTED_VALUE"""),"Patricia Mensah")</f>
        <v>Patricia Mensah</v>
      </c>
      <c r="C3904" s="24">
        <f>IFERROR(__xludf.DUMMYFUNCTION("""COMPUTED_VALUE"""),13.0)</f>
        <v>13</v>
      </c>
      <c r="D3904" s="24" t="str">
        <f>IFERROR(__xludf.DUMMYFUNCTION("""COMPUTED_VALUE"""),"Regular (up to 20lbs)")</f>
        <v>Regular (up to 20lbs)</v>
      </c>
      <c r="F3904" s="23">
        <f>IFERROR(__xludf.DUMMYFUNCTION("""COMPUTED_VALUE"""),44895.80902144676)</f>
        <v>44895.80902</v>
      </c>
      <c r="G3904" s="24" t="str">
        <f>IFERROR(__xludf.DUMMYFUNCTION("""COMPUTED_VALUE"""),"Claire")</f>
        <v>Claire</v>
      </c>
      <c r="H3904" s="24">
        <f>IFERROR(__xludf.DUMMYFUNCTION("""COMPUTED_VALUE"""),767.0)</f>
        <v>767</v>
      </c>
      <c r="I3904" s="24" t="str">
        <f>IFERROR(__xludf.DUMMYFUNCTION("""COMPUTED_VALUE"""),"Amazon")</f>
        <v>Amazon</v>
      </c>
    </row>
    <row r="3905">
      <c r="A3905" s="23">
        <f>IFERROR(__xludf.DUMMYFUNCTION("""COMPUTED_VALUE"""),44871.0)</f>
        <v>44871</v>
      </c>
      <c r="B3905" s="24" t="str">
        <f>IFERROR(__xludf.DUMMYFUNCTION("""COMPUTED_VALUE"""),"Patricia Mensah")</f>
        <v>Patricia Mensah</v>
      </c>
      <c r="C3905" s="24">
        <f>IFERROR(__xludf.DUMMYFUNCTION("""COMPUTED_VALUE"""),29.0)</f>
        <v>29</v>
      </c>
      <c r="D3905" s="24" t="str">
        <f>IFERROR(__xludf.DUMMYFUNCTION("""COMPUTED_VALUE"""),"Damage/expired/extra")</f>
        <v>Damage/expired/extra</v>
      </c>
      <c r="F3905" s="23">
        <f>IFERROR(__xludf.DUMMYFUNCTION("""COMPUTED_VALUE"""),44895.809583078706)</f>
        <v>44895.80958</v>
      </c>
      <c r="G3905" s="24" t="str">
        <f>IFERROR(__xludf.DUMMYFUNCTION("""COMPUTED_VALUE"""),"Claire")</f>
        <v>Claire</v>
      </c>
      <c r="H3905" s="24">
        <f>IFERROR(__xludf.DUMMYFUNCTION("""COMPUTED_VALUE"""),403.0)</f>
        <v>403</v>
      </c>
      <c r="I3905" s="24" t="str">
        <f>IFERROR(__xludf.DUMMYFUNCTION("""COMPUTED_VALUE"""),"Amazon")</f>
        <v>Amazon</v>
      </c>
    </row>
    <row r="3906">
      <c r="A3906" s="23">
        <f>IFERROR(__xludf.DUMMYFUNCTION("""COMPUTED_VALUE"""),44871.0)</f>
        <v>44871</v>
      </c>
      <c r="B3906" s="24" t="str">
        <f>IFERROR(__xludf.DUMMYFUNCTION("""COMPUTED_VALUE"""),"Alex Wang")</f>
        <v>Alex Wang</v>
      </c>
      <c r="C3906" s="24">
        <f>IFERROR(__xludf.DUMMYFUNCTION("""COMPUTED_VALUE"""),12.0)</f>
        <v>12</v>
      </c>
      <c r="D3906" s="24" t="str">
        <f>IFERROR(__xludf.DUMMYFUNCTION("""COMPUTED_VALUE"""),"Regular (up to 20lbs)")</f>
        <v>Regular (up to 20lbs)</v>
      </c>
      <c r="F3906" s="23">
        <f>IFERROR(__xludf.DUMMYFUNCTION("""COMPUTED_VALUE"""),44895.81440012732)</f>
        <v>44895.8144</v>
      </c>
      <c r="G3906" s="24" t="str">
        <f>IFERROR(__xludf.DUMMYFUNCTION("""COMPUTED_VALUE"""),"Claire")</f>
        <v>Claire</v>
      </c>
      <c r="H3906" s="24">
        <f>IFERROR(__xludf.DUMMYFUNCTION("""COMPUTED_VALUE"""),250.0)</f>
        <v>250</v>
      </c>
      <c r="I3906" s="24" t="str">
        <f>IFERROR(__xludf.DUMMYFUNCTION("""COMPUTED_VALUE"""),"Amazon")</f>
        <v>Amazon</v>
      </c>
    </row>
    <row r="3907">
      <c r="A3907" s="23">
        <f>IFERROR(__xludf.DUMMYFUNCTION("""COMPUTED_VALUE"""),44871.0)</f>
        <v>44871</v>
      </c>
      <c r="B3907" s="24" t="str">
        <f>IFERROR(__xludf.DUMMYFUNCTION("""COMPUTED_VALUE"""),"Treston Codrington")</f>
        <v>Treston Codrington</v>
      </c>
      <c r="C3907" s="24">
        <f>IFERROR(__xludf.DUMMYFUNCTION("""COMPUTED_VALUE"""),19.0)</f>
        <v>19</v>
      </c>
      <c r="D3907" s="24" t="str">
        <f>IFERROR(__xludf.DUMMYFUNCTION("""COMPUTED_VALUE"""),"Regular (up to 20lbs)")</f>
        <v>Regular (up to 20lbs)</v>
      </c>
      <c r="F3907" s="23">
        <f>IFERROR(__xludf.DUMMYFUNCTION("""COMPUTED_VALUE"""),44895.861690543985)</f>
        <v>44895.86169</v>
      </c>
      <c r="G3907" s="24" t="str">
        <f>IFERROR(__xludf.DUMMYFUNCTION("""COMPUTED_VALUE"""),"Connor Gephart")</f>
        <v>Connor Gephart</v>
      </c>
      <c r="H3907" s="24">
        <f>IFERROR(__xludf.DUMMYFUNCTION("""COMPUTED_VALUE"""),14.0)</f>
        <v>14</v>
      </c>
      <c r="I3907" s="24" t="str">
        <f>IFERROR(__xludf.DUMMYFUNCTION("""COMPUTED_VALUE"""),"Regular (up to 20lbs)")</f>
        <v>Regular (up to 20lbs)</v>
      </c>
    </row>
    <row r="3908">
      <c r="A3908" s="23">
        <f>IFERROR(__xludf.DUMMYFUNCTION("""COMPUTED_VALUE"""),44871.0)</f>
        <v>44871</v>
      </c>
      <c r="B3908" s="24" t="str">
        <f>IFERROR(__xludf.DUMMYFUNCTION("""COMPUTED_VALUE"""),"Treston Codrington")</f>
        <v>Treston Codrington</v>
      </c>
      <c r="C3908" s="24">
        <f>IFERROR(__xludf.DUMMYFUNCTION("""COMPUTED_VALUE"""),12.0)</f>
        <v>12</v>
      </c>
      <c r="D3908" s="24" t="str">
        <f>IFERROR(__xludf.DUMMYFUNCTION("""COMPUTED_VALUE"""),"Damage/expired/extra")</f>
        <v>Damage/expired/extra</v>
      </c>
      <c r="F3908" s="23">
        <f>IFERROR(__xludf.DUMMYFUNCTION("""COMPUTED_VALUE"""),44895.86579474537)</f>
        <v>44895.86579</v>
      </c>
      <c r="G3908" s="24" t="str">
        <f>IFERROR(__xludf.DUMMYFUNCTION("""COMPUTED_VALUE"""),"Maddie Pardes ")</f>
        <v>Maddie Pardes </v>
      </c>
      <c r="H3908" s="24">
        <f>IFERROR(__xludf.DUMMYFUNCTION("""COMPUTED_VALUE"""),10.0)</f>
        <v>10</v>
      </c>
      <c r="I3908" s="24" t="str">
        <f>IFERROR(__xludf.DUMMYFUNCTION("""COMPUTED_VALUE"""),"Regular (up to 20lbs)")</f>
        <v>Regular (up to 20lbs)</v>
      </c>
    </row>
    <row r="3909">
      <c r="A3909" s="23">
        <f>IFERROR(__xludf.DUMMYFUNCTION("""COMPUTED_VALUE"""),44871.61500921297)</f>
        <v>44871.61501</v>
      </c>
      <c r="B3909" s="24" t="str">
        <f>IFERROR(__xludf.DUMMYFUNCTION("""COMPUTED_VALUE"""),"Carla")</f>
        <v>Carla</v>
      </c>
      <c r="C3909" s="24">
        <f>IFERROR(__xludf.DUMMYFUNCTION("""COMPUTED_VALUE"""),15.0)</f>
        <v>15</v>
      </c>
      <c r="D3909" s="24" t="str">
        <f>IFERROR(__xludf.DUMMYFUNCTION("""COMPUTED_VALUE"""),"Regular (up to 20lbs)")</f>
        <v>Regular (up to 20lbs)</v>
      </c>
      <c r="F3909" s="23">
        <f>IFERROR(__xludf.DUMMYFUNCTION("""COMPUTED_VALUE"""),44895.87311126157)</f>
        <v>44895.87311</v>
      </c>
      <c r="G3909" s="24" t="str">
        <f>IFERROR(__xludf.DUMMYFUNCTION("""COMPUTED_VALUE"""),"Bryce Barnes")</f>
        <v>Bryce Barnes</v>
      </c>
      <c r="H3909" s="24">
        <f>IFERROR(__xludf.DUMMYFUNCTION("""COMPUTED_VALUE"""),20.0)</f>
        <v>20</v>
      </c>
      <c r="I3909" s="24" t="str">
        <f>IFERROR(__xludf.DUMMYFUNCTION("""COMPUTED_VALUE"""),"Regular (up to 20lbs)")</f>
        <v>Regular (up to 20lbs)</v>
      </c>
    </row>
    <row r="3910">
      <c r="A3910" s="23">
        <f>IFERROR(__xludf.DUMMYFUNCTION("""COMPUTED_VALUE"""),44871.63827743055)</f>
        <v>44871.63828</v>
      </c>
      <c r="B3910" s="24" t="str">
        <f>IFERROR(__xludf.DUMMYFUNCTION("""COMPUTED_VALUE"""),"Kate Weeks")</f>
        <v>Kate Weeks</v>
      </c>
      <c r="C3910" s="24">
        <f>IFERROR(__xludf.DUMMYFUNCTION("""COMPUTED_VALUE"""),20.0)</f>
        <v>20</v>
      </c>
      <c r="D3910" s="24" t="str">
        <f>IFERROR(__xludf.DUMMYFUNCTION("""COMPUTED_VALUE"""),"Regular (up to 20lbs)")</f>
        <v>Regular (up to 20lbs)</v>
      </c>
      <c r="F3910" s="23">
        <f>IFERROR(__xludf.DUMMYFUNCTION("""COMPUTED_VALUE"""),44896.0)</f>
        <v>44896</v>
      </c>
      <c r="G3910" s="24" t="str">
        <f>IFERROR(__xludf.DUMMYFUNCTION("""COMPUTED_VALUE"""),"Claire")</f>
        <v>Claire</v>
      </c>
      <c r="H3910" s="24">
        <f>IFERROR(__xludf.DUMMYFUNCTION("""COMPUTED_VALUE"""),41.0)</f>
        <v>41</v>
      </c>
      <c r="I3910" s="24" t="str">
        <f>IFERROR(__xludf.DUMMYFUNCTION("""COMPUTED_VALUE"""),"Assorted Dry")</f>
        <v>Assorted Dry</v>
      </c>
    </row>
    <row r="3911">
      <c r="A3911" s="23">
        <f>IFERROR(__xludf.DUMMYFUNCTION("""COMPUTED_VALUE"""),44871.63850994213)</f>
        <v>44871.63851</v>
      </c>
      <c r="B3911" s="24" t="str">
        <f>IFERROR(__xludf.DUMMYFUNCTION("""COMPUTED_VALUE"""),"Kate Weeks")</f>
        <v>Kate Weeks</v>
      </c>
      <c r="C3911" s="24">
        <f>IFERROR(__xludf.DUMMYFUNCTION("""COMPUTED_VALUE"""),20.0)</f>
        <v>20</v>
      </c>
      <c r="D3911" s="24" t="str">
        <f>IFERROR(__xludf.DUMMYFUNCTION("""COMPUTED_VALUE"""),"Damage/expired/extra")</f>
        <v>Damage/expired/extra</v>
      </c>
      <c r="F3911" s="23">
        <f>IFERROR(__xludf.DUMMYFUNCTION("""COMPUTED_VALUE"""),44896.0)</f>
        <v>44896</v>
      </c>
      <c r="G3911" s="24" t="str">
        <f>IFERROR(__xludf.DUMMYFUNCTION("""COMPUTED_VALUE"""),"Claire")</f>
        <v>Claire</v>
      </c>
      <c r="H3911" s="24">
        <f>IFERROR(__xludf.DUMMYFUNCTION("""COMPUTED_VALUE"""),6.0)</f>
        <v>6</v>
      </c>
      <c r="I3911" s="24" t="str">
        <f>IFERROR(__xludf.DUMMYFUNCTION("""COMPUTED_VALUE"""),"Assorted Dry")</f>
        <v>Assorted Dry</v>
      </c>
    </row>
    <row r="3912">
      <c r="A3912" s="23">
        <f>IFERROR(__xludf.DUMMYFUNCTION("""COMPUTED_VALUE"""),44871.639112847224)</f>
        <v>44871.63911</v>
      </c>
      <c r="B3912" s="24" t="str">
        <f>IFERROR(__xludf.DUMMYFUNCTION("""COMPUTED_VALUE"""),"Anita Bryant ")</f>
        <v>Anita Bryant </v>
      </c>
      <c r="C3912" s="24">
        <f>IFERROR(__xludf.DUMMYFUNCTION("""COMPUTED_VALUE"""),11.0)</f>
        <v>11</v>
      </c>
      <c r="D3912" s="24" t="str">
        <f>IFERROR(__xludf.DUMMYFUNCTION("""COMPUTED_VALUE"""),"Regular (up to 20lbs)")</f>
        <v>Regular (up to 20lbs)</v>
      </c>
      <c r="F3912" s="23">
        <f>IFERROR(__xludf.DUMMYFUNCTION("""COMPUTED_VALUE"""),44896.0)</f>
        <v>44896</v>
      </c>
      <c r="G3912" s="24" t="str">
        <f>IFERROR(__xludf.DUMMYFUNCTION("""COMPUTED_VALUE"""),"Bertille")</f>
        <v>Bertille</v>
      </c>
      <c r="H3912" s="24">
        <f>IFERROR(__xludf.DUMMYFUNCTION("""COMPUTED_VALUE"""),15.0)</f>
        <v>15</v>
      </c>
      <c r="I3912" s="24" t="str">
        <f>IFERROR(__xludf.DUMMYFUNCTION("""COMPUTED_VALUE"""),"Regular (up to 20lbs)")</f>
        <v>Regular (up to 20lbs)</v>
      </c>
    </row>
    <row r="3913">
      <c r="A3913" s="23">
        <f>IFERROR(__xludf.DUMMYFUNCTION("""COMPUTED_VALUE"""),44871.0)</f>
        <v>44871</v>
      </c>
      <c r="B3913" s="24" t="str">
        <f>IFERROR(__xludf.DUMMYFUNCTION("""COMPUTED_VALUE"""),"Anita Bryant ")</f>
        <v>Anita Bryant </v>
      </c>
      <c r="C3913" s="24">
        <f>IFERROR(__xludf.DUMMYFUNCTION("""COMPUTED_VALUE"""),16.0)</f>
        <v>16</v>
      </c>
      <c r="D3913" s="24" t="str">
        <f>IFERROR(__xludf.DUMMYFUNCTION("""COMPUTED_VALUE"""),"Damage/expired/extra")</f>
        <v>Damage/expired/extra</v>
      </c>
      <c r="F3913" s="23">
        <f>IFERROR(__xludf.DUMMYFUNCTION("""COMPUTED_VALUE"""),44896.0)</f>
        <v>44896</v>
      </c>
      <c r="G3913" s="24" t="str">
        <f>IFERROR(__xludf.DUMMYFUNCTION("""COMPUTED_VALUE"""),"Bertille")</f>
        <v>Bertille</v>
      </c>
      <c r="H3913" s="24">
        <f>IFERROR(__xludf.DUMMYFUNCTION("""COMPUTED_VALUE"""),6.0)</f>
        <v>6</v>
      </c>
      <c r="I3913" s="24" t="str">
        <f>IFERROR(__xludf.DUMMYFUNCTION("""COMPUTED_VALUE"""),"Damage/expired/extra")</f>
        <v>Damage/expired/extra</v>
      </c>
    </row>
    <row r="3914">
      <c r="A3914" s="23">
        <f>IFERROR(__xludf.DUMMYFUNCTION("""COMPUTED_VALUE"""),44871.640139131945)</f>
        <v>44871.64014</v>
      </c>
      <c r="B3914" s="24" t="str">
        <f>IFERROR(__xludf.DUMMYFUNCTION("""COMPUTED_VALUE"""),"Yulia")</f>
        <v>Yulia</v>
      </c>
      <c r="C3914" s="24">
        <f>IFERROR(__xludf.DUMMYFUNCTION("""COMPUTED_VALUE"""),17.0)</f>
        <v>17</v>
      </c>
      <c r="D3914" s="24" t="str">
        <f>IFERROR(__xludf.DUMMYFUNCTION("""COMPUTED_VALUE"""),"Regular (up to 20lbs)")</f>
        <v>Regular (up to 20lbs)</v>
      </c>
      <c r="F3914" s="23">
        <f>IFERROR(__xludf.DUMMYFUNCTION("""COMPUTED_VALUE"""),44896.0)</f>
        <v>44896</v>
      </c>
      <c r="G3914" s="24" t="str">
        <f>IFERROR(__xludf.DUMMYFUNCTION("""COMPUTED_VALUE"""),"Barbara Jordan")</f>
        <v>Barbara Jordan</v>
      </c>
      <c r="H3914" s="24">
        <f>IFERROR(__xludf.DUMMYFUNCTION("""COMPUTED_VALUE"""),11.0)</f>
        <v>11</v>
      </c>
      <c r="I3914" s="24" t="str">
        <f>IFERROR(__xludf.DUMMYFUNCTION("""COMPUTED_VALUE"""),"Regular (up to 20lbs)")</f>
        <v>Regular (up to 20lbs)</v>
      </c>
    </row>
    <row r="3915">
      <c r="A3915" s="23">
        <f>IFERROR(__xludf.DUMMYFUNCTION("""COMPUTED_VALUE"""),44871.0)</f>
        <v>44871</v>
      </c>
      <c r="B3915" s="24" t="str">
        <f>IFERROR(__xludf.DUMMYFUNCTION("""COMPUTED_VALUE"""),"Yulia")</f>
        <v>Yulia</v>
      </c>
      <c r="C3915" s="24">
        <f>IFERROR(__xludf.DUMMYFUNCTION("""COMPUTED_VALUE"""),26.0)</f>
        <v>26</v>
      </c>
      <c r="D3915" s="24" t="str">
        <f>IFERROR(__xludf.DUMMYFUNCTION("""COMPUTED_VALUE"""),"Damage/expired/extra")</f>
        <v>Damage/expired/extra</v>
      </c>
      <c r="F3915" s="23">
        <f>IFERROR(__xludf.DUMMYFUNCTION("""COMPUTED_VALUE"""),44896.0)</f>
        <v>44896</v>
      </c>
      <c r="G3915" s="24" t="str">
        <f>IFERROR(__xludf.DUMMYFUNCTION("""COMPUTED_VALUE"""),"Barbara Jordan")</f>
        <v>Barbara Jordan</v>
      </c>
      <c r="H3915" s="24">
        <f>IFERROR(__xludf.DUMMYFUNCTION("""COMPUTED_VALUE"""),16.0)</f>
        <v>16</v>
      </c>
      <c r="I3915" s="24" t="str">
        <f>IFERROR(__xludf.DUMMYFUNCTION("""COMPUTED_VALUE"""),"Damage/expired/extra")</f>
        <v>Damage/expired/extra</v>
      </c>
    </row>
    <row r="3916">
      <c r="A3916" s="23">
        <f>IFERROR(__xludf.DUMMYFUNCTION("""COMPUTED_VALUE"""),44871.643904131946)</f>
        <v>44871.6439</v>
      </c>
      <c r="B3916" s="24" t="str">
        <f>IFERROR(__xludf.DUMMYFUNCTION("""COMPUTED_VALUE"""),"James w")</f>
        <v>James w</v>
      </c>
      <c r="C3916" s="24">
        <f>IFERROR(__xludf.DUMMYFUNCTION("""COMPUTED_VALUE"""),20.0)</f>
        <v>20</v>
      </c>
      <c r="D3916" s="24" t="str">
        <f>IFERROR(__xludf.DUMMYFUNCTION("""COMPUTED_VALUE"""),"Regular (up to 20lbs)")</f>
        <v>Regular (up to 20lbs)</v>
      </c>
      <c r="F3916" s="23">
        <f>IFERROR(__xludf.DUMMYFUNCTION("""COMPUTED_VALUE"""),44896.0)</f>
        <v>44896</v>
      </c>
      <c r="G3916" s="24" t="str">
        <f>IFERROR(__xludf.DUMMYFUNCTION("""COMPUTED_VALUE"""),"Norma &amp; friend")</f>
        <v>Norma &amp; friend</v>
      </c>
      <c r="H3916" s="24">
        <f>IFERROR(__xludf.DUMMYFUNCTION("""COMPUTED_VALUE"""),13.0)</f>
        <v>13</v>
      </c>
      <c r="I3916" s="24" t="str">
        <f>IFERROR(__xludf.DUMMYFUNCTION("""COMPUTED_VALUE"""),"Regular (up to 20lbs)")</f>
        <v>Regular (up to 20lbs)</v>
      </c>
    </row>
    <row r="3917">
      <c r="A3917" s="23">
        <f>IFERROR(__xludf.DUMMYFUNCTION("""COMPUTED_VALUE"""),44871.65110170138)</f>
        <v>44871.6511</v>
      </c>
      <c r="B3917" s="24" t="str">
        <f>IFERROR(__xludf.DUMMYFUNCTION("""COMPUTED_VALUE"""),"Zoe")</f>
        <v>Zoe</v>
      </c>
      <c r="C3917" s="24">
        <f>IFERROR(__xludf.DUMMYFUNCTION("""COMPUTED_VALUE"""),11.0)</f>
        <v>11</v>
      </c>
      <c r="D3917" s="24" t="str">
        <f>IFERROR(__xludf.DUMMYFUNCTION("""COMPUTED_VALUE"""),"Regular (up to 20lbs)")</f>
        <v>Regular (up to 20lbs)</v>
      </c>
      <c r="F3917" s="23">
        <f>IFERROR(__xludf.DUMMYFUNCTION("""COMPUTED_VALUE"""),44896.0)</f>
        <v>44896</v>
      </c>
      <c r="G3917" s="24" t="str">
        <f>IFERROR(__xludf.DUMMYFUNCTION("""COMPUTED_VALUE"""),"Norma &amp; friend")</f>
        <v>Norma &amp; friend</v>
      </c>
      <c r="H3917" s="24">
        <f>IFERROR(__xludf.DUMMYFUNCTION("""COMPUTED_VALUE"""),4.0)</f>
        <v>4</v>
      </c>
      <c r="I3917" s="24" t="str">
        <f>IFERROR(__xludf.DUMMYFUNCTION("""COMPUTED_VALUE"""),"Damage/expired/extra")</f>
        <v>Damage/expired/extra</v>
      </c>
    </row>
    <row r="3918">
      <c r="A3918" s="23">
        <f>IFERROR(__xludf.DUMMYFUNCTION("""COMPUTED_VALUE"""),44871.65384121527)</f>
        <v>44871.65384</v>
      </c>
      <c r="B3918" s="24" t="str">
        <f>IFERROR(__xludf.DUMMYFUNCTION("""COMPUTED_VALUE"""),"Opey")</f>
        <v>Opey</v>
      </c>
      <c r="C3918" s="24">
        <f>IFERROR(__xludf.DUMMYFUNCTION("""COMPUTED_VALUE"""),10.0)</f>
        <v>10</v>
      </c>
      <c r="D3918" s="24" t="str">
        <f>IFERROR(__xludf.DUMMYFUNCTION("""COMPUTED_VALUE"""),"Regular (up to 20lbs)")</f>
        <v>Regular (up to 20lbs)</v>
      </c>
      <c r="F3918" s="23">
        <f>IFERROR(__xludf.DUMMYFUNCTION("""COMPUTED_VALUE"""),44896.0)</f>
        <v>44896</v>
      </c>
      <c r="G3918" s="24" t="str">
        <f>IFERROR(__xludf.DUMMYFUNCTION("""COMPUTED_VALUE"""),"Melissa Thomas")</f>
        <v>Melissa Thomas</v>
      </c>
      <c r="H3918" s="24">
        <f>IFERROR(__xludf.DUMMYFUNCTION("""COMPUTED_VALUE"""),20.0)</f>
        <v>20</v>
      </c>
      <c r="I3918" s="24" t="str">
        <f>IFERROR(__xludf.DUMMYFUNCTION("""COMPUTED_VALUE"""),"Regular (up to 20lbs)")</f>
        <v>Regular (up to 20lbs)</v>
      </c>
    </row>
    <row r="3919">
      <c r="A3919" s="23">
        <f>IFERROR(__xludf.DUMMYFUNCTION("""COMPUTED_VALUE"""),44873.0)</f>
        <v>44873</v>
      </c>
      <c r="B3919" s="24" t="str">
        <f>IFERROR(__xludf.DUMMYFUNCTION("""COMPUTED_VALUE"""),"Marci")</f>
        <v>Marci</v>
      </c>
      <c r="C3919" s="24">
        <f>IFERROR(__xludf.DUMMYFUNCTION("""COMPUTED_VALUE"""),16.0)</f>
        <v>16</v>
      </c>
      <c r="D3919" s="24" t="str">
        <f>IFERROR(__xludf.DUMMYFUNCTION("""COMPUTED_VALUE"""),"Regular (up to 20lbs)")</f>
        <v>Regular (up to 20lbs)</v>
      </c>
      <c r="F3919" s="23">
        <f>IFERROR(__xludf.DUMMYFUNCTION("""COMPUTED_VALUE"""),44896.0)</f>
        <v>44896</v>
      </c>
      <c r="G3919" s="24" t="str">
        <f>IFERROR(__xludf.DUMMYFUNCTION("""COMPUTED_VALUE"""),"Melissa Thomas")</f>
        <v>Melissa Thomas</v>
      </c>
      <c r="H3919" s="24">
        <f>IFERROR(__xludf.DUMMYFUNCTION("""COMPUTED_VALUE"""),30.0)</f>
        <v>30</v>
      </c>
      <c r="I3919" s="24" t="str">
        <f>IFERROR(__xludf.DUMMYFUNCTION("""COMPUTED_VALUE"""),"Damage/expired/extra")</f>
        <v>Damage/expired/extra</v>
      </c>
    </row>
    <row r="3920">
      <c r="A3920" s="23">
        <f>IFERROR(__xludf.DUMMYFUNCTION("""COMPUTED_VALUE"""),44873.0)</f>
        <v>44873</v>
      </c>
      <c r="B3920" s="24" t="str">
        <f>IFERROR(__xludf.DUMMYFUNCTION("""COMPUTED_VALUE"""),"Marci")</f>
        <v>Marci</v>
      </c>
      <c r="C3920" s="24">
        <f>IFERROR(__xludf.DUMMYFUNCTION("""COMPUTED_VALUE"""),56.0)</f>
        <v>56</v>
      </c>
      <c r="D3920" s="24" t="str">
        <f>IFERROR(__xludf.DUMMYFUNCTION("""COMPUTED_VALUE"""),"Damage/expired/extra")</f>
        <v>Damage/expired/extra</v>
      </c>
      <c r="F3920" s="23">
        <f>IFERROR(__xludf.DUMMYFUNCTION("""COMPUTED_VALUE"""),44896.0)</f>
        <v>44896</v>
      </c>
      <c r="G3920" s="24" t="str">
        <f>IFERROR(__xludf.DUMMYFUNCTION("""COMPUTED_VALUE"""),"Julia Buckson")</f>
        <v>Julia Buckson</v>
      </c>
      <c r="H3920" s="24">
        <f>IFERROR(__xludf.DUMMYFUNCTION("""COMPUTED_VALUE"""),17.0)</f>
        <v>17</v>
      </c>
      <c r="I3920" s="24" t="str">
        <f>IFERROR(__xludf.DUMMYFUNCTION("""COMPUTED_VALUE"""),"Regular (up to 20lbs)")</f>
        <v>Regular (up to 20lbs)</v>
      </c>
    </row>
    <row r="3921">
      <c r="A3921" s="23">
        <f>IFERROR(__xludf.DUMMYFUNCTION("""COMPUTED_VALUE"""),44873.0)</f>
        <v>44873</v>
      </c>
      <c r="B3921" s="24" t="str">
        <f>IFERROR(__xludf.DUMMYFUNCTION("""COMPUTED_VALUE"""),"Hong Xue")</f>
        <v>Hong Xue</v>
      </c>
      <c r="C3921" s="24">
        <f>IFERROR(__xludf.DUMMYFUNCTION("""COMPUTED_VALUE"""),17.0)</f>
        <v>17</v>
      </c>
      <c r="D3921" s="24" t="str">
        <f>IFERROR(__xludf.DUMMYFUNCTION("""COMPUTED_VALUE"""),"Regular (up to 20lbs)")</f>
        <v>Regular (up to 20lbs)</v>
      </c>
      <c r="F3921" s="23">
        <f>IFERROR(__xludf.DUMMYFUNCTION("""COMPUTED_VALUE"""),44896.0)</f>
        <v>44896</v>
      </c>
      <c r="G3921" s="24" t="str">
        <f>IFERROR(__xludf.DUMMYFUNCTION("""COMPUTED_VALUE"""),"Julia Buckson")</f>
        <v>Julia Buckson</v>
      </c>
      <c r="H3921" s="24">
        <f>IFERROR(__xludf.DUMMYFUNCTION("""COMPUTED_VALUE"""),32.0)</f>
        <v>32</v>
      </c>
      <c r="I3921" s="24" t="str">
        <f>IFERROR(__xludf.DUMMYFUNCTION("""COMPUTED_VALUE"""),"Damage/expired/extra")</f>
        <v>Damage/expired/extra</v>
      </c>
    </row>
    <row r="3922">
      <c r="A3922" s="23">
        <f>IFERROR(__xludf.DUMMYFUNCTION("""COMPUTED_VALUE"""),44873.0)</f>
        <v>44873</v>
      </c>
      <c r="B3922" s="24" t="str">
        <f>IFERROR(__xludf.DUMMYFUNCTION("""COMPUTED_VALUE"""),"Hong Xue")</f>
        <v>Hong Xue</v>
      </c>
      <c r="C3922" s="24">
        <f>IFERROR(__xludf.DUMMYFUNCTION("""COMPUTED_VALUE"""),23.0)</f>
        <v>23</v>
      </c>
      <c r="D3922" s="24" t="str">
        <f>IFERROR(__xludf.DUMMYFUNCTION("""COMPUTED_VALUE"""),"Damage/expired/extra")</f>
        <v>Damage/expired/extra</v>
      </c>
      <c r="F3922" s="23">
        <f>IFERROR(__xludf.DUMMYFUNCTION("""COMPUTED_VALUE"""),44896.0)</f>
        <v>44896</v>
      </c>
      <c r="G3922" s="24" t="str">
        <f>IFERROR(__xludf.DUMMYFUNCTION("""COMPUTED_VALUE"""),"Obi Nwokoro")</f>
        <v>Obi Nwokoro</v>
      </c>
      <c r="H3922" s="24">
        <f>IFERROR(__xludf.DUMMYFUNCTION("""COMPUTED_VALUE"""),21.0)</f>
        <v>21</v>
      </c>
      <c r="I3922" s="24" t="str">
        <f>IFERROR(__xludf.DUMMYFUNCTION("""COMPUTED_VALUE"""),"Regular (up to 20lbs)")</f>
        <v>Regular (up to 20lbs)</v>
      </c>
    </row>
    <row r="3923">
      <c r="A3923" s="23">
        <f>IFERROR(__xludf.DUMMYFUNCTION("""COMPUTED_VALUE"""),44873.66480121528)</f>
        <v>44873.6648</v>
      </c>
      <c r="B3923" s="24" t="str">
        <f>IFERROR(__xludf.DUMMYFUNCTION("""COMPUTED_VALUE"""),"Rosemary Hendricks")</f>
        <v>Rosemary Hendricks</v>
      </c>
      <c r="C3923" s="24">
        <f>IFERROR(__xludf.DUMMYFUNCTION("""COMPUTED_VALUE"""),9.0)</f>
        <v>9</v>
      </c>
      <c r="D3923" s="24" t="str">
        <f>IFERROR(__xludf.DUMMYFUNCTION("""COMPUTED_VALUE"""),"Regular (up to 20lbs)")</f>
        <v>Regular (up to 20lbs)</v>
      </c>
      <c r="F3923" s="23">
        <f>IFERROR(__xludf.DUMMYFUNCTION("""COMPUTED_VALUE"""),44896.0)</f>
        <v>44896</v>
      </c>
      <c r="G3923" s="24" t="str">
        <f>IFERROR(__xludf.DUMMYFUNCTION("""COMPUTED_VALUE"""),"Aziza Frank")</f>
        <v>Aziza Frank</v>
      </c>
      <c r="H3923" s="24">
        <f>IFERROR(__xludf.DUMMYFUNCTION("""COMPUTED_VALUE"""),15.0)</f>
        <v>15</v>
      </c>
      <c r="I3923" s="24" t="str">
        <f>IFERROR(__xludf.DUMMYFUNCTION("""COMPUTED_VALUE"""),"Regular (up to 20lbs)")</f>
        <v>Regular (up to 20lbs)</v>
      </c>
    </row>
    <row r="3924">
      <c r="A3924" s="23">
        <f>IFERROR(__xludf.DUMMYFUNCTION("""COMPUTED_VALUE"""),44873.6651483912)</f>
        <v>44873.66515</v>
      </c>
      <c r="B3924" s="24" t="str">
        <f>IFERROR(__xludf.DUMMYFUNCTION("""COMPUTED_VALUE"""),"Rosemary Hendricks")</f>
        <v>Rosemary Hendricks</v>
      </c>
      <c r="C3924" s="24">
        <f>IFERROR(__xludf.DUMMYFUNCTION("""COMPUTED_VALUE"""),4.0)</f>
        <v>4</v>
      </c>
      <c r="D3924" s="24" t="str">
        <f>IFERROR(__xludf.DUMMYFUNCTION("""COMPUTED_VALUE"""),"Damage/expired/extra")</f>
        <v>Damage/expired/extra</v>
      </c>
      <c r="F3924" s="23">
        <f>IFERROR(__xludf.DUMMYFUNCTION("""COMPUTED_VALUE"""),44896.0)</f>
        <v>44896</v>
      </c>
      <c r="G3924" s="24" t="str">
        <f>IFERROR(__xludf.DUMMYFUNCTION("""COMPUTED_VALUE"""),"Aziza Frank")</f>
        <v>Aziza Frank</v>
      </c>
      <c r="H3924" s="24">
        <f>IFERROR(__xludf.DUMMYFUNCTION("""COMPUTED_VALUE"""),4.0)</f>
        <v>4</v>
      </c>
      <c r="I3924" s="24" t="str">
        <f>IFERROR(__xludf.DUMMYFUNCTION("""COMPUTED_VALUE"""),"Damage/expired/extra")</f>
        <v>Damage/expired/extra</v>
      </c>
    </row>
    <row r="3925">
      <c r="A3925" s="23">
        <f>IFERROR(__xludf.DUMMYFUNCTION("""COMPUTED_VALUE"""),44873.6684409375)</f>
        <v>44873.66844</v>
      </c>
      <c r="B3925" s="24" t="str">
        <f>IFERROR(__xludf.DUMMYFUNCTION("""COMPUTED_VALUE"""),"Romaine Bouldin ")</f>
        <v>Romaine Bouldin </v>
      </c>
      <c r="C3925" s="24">
        <f>IFERROR(__xludf.DUMMYFUNCTION("""COMPUTED_VALUE"""),16.0)</f>
        <v>16</v>
      </c>
      <c r="D3925" s="24" t="str">
        <f>IFERROR(__xludf.DUMMYFUNCTION("""COMPUTED_VALUE"""),"Regular (up to 20lbs)")</f>
        <v>Regular (up to 20lbs)</v>
      </c>
      <c r="F3925" s="23">
        <f>IFERROR(__xludf.DUMMYFUNCTION("""COMPUTED_VALUE"""),44896.0)</f>
        <v>44896</v>
      </c>
      <c r="G3925" s="24" t="str">
        <f>IFERROR(__xludf.DUMMYFUNCTION("""COMPUTED_VALUE"""),"Sheniel Black")</f>
        <v>Sheniel Black</v>
      </c>
      <c r="H3925" s="24">
        <f>IFERROR(__xludf.DUMMYFUNCTION("""COMPUTED_VALUE"""),20.0)</f>
        <v>20</v>
      </c>
      <c r="I3925" s="24" t="str">
        <f>IFERROR(__xludf.DUMMYFUNCTION("""COMPUTED_VALUE"""),"Regular (up to 20lbs)")</f>
        <v>Regular (up to 20lbs)</v>
      </c>
    </row>
    <row r="3926">
      <c r="A3926" s="23">
        <f>IFERROR(__xludf.DUMMYFUNCTION("""COMPUTED_VALUE"""),44873.668490185184)</f>
        <v>44873.66849</v>
      </c>
      <c r="B3926" s="24" t="str">
        <f>IFERROR(__xludf.DUMMYFUNCTION("""COMPUTED_VALUE"""),"Susan")</f>
        <v>Susan</v>
      </c>
      <c r="C3926" s="24">
        <f>IFERROR(__xludf.DUMMYFUNCTION("""COMPUTED_VALUE"""),8.0)</f>
        <v>8</v>
      </c>
      <c r="D3926" s="24" t="str">
        <f>IFERROR(__xludf.DUMMYFUNCTION("""COMPUTED_VALUE"""),"Regular (up to 20lbs)")</f>
        <v>Regular (up to 20lbs)</v>
      </c>
      <c r="F3926" s="23">
        <f>IFERROR(__xludf.DUMMYFUNCTION("""COMPUTED_VALUE"""),44896.0)</f>
        <v>44896</v>
      </c>
      <c r="G3926" s="24" t="str">
        <f>IFERROR(__xludf.DUMMYFUNCTION("""COMPUTED_VALUE"""),"Sheniel Black")</f>
        <v>Sheniel Black</v>
      </c>
      <c r="H3926" s="24">
        <f>IFERROR(__xludf.DUMMYFUNCTION("""COMPUTED_VALUE"""),2.0)</f>
        <v>2</v>
      </c>
      <c r="I3926" s="24" t="str">
        <f>IFERROR(__xludf.DUMMYFUNCTION("""COMPUTED_VALUE"""),"Damage/expired/extra")</f>
        <v>Damage/expired/extra</v>
      </c>
    </row>
    <row r="3927">
      <c r="A3927" s="23">
        <f>IFERROR(__xludf.DUMMYFUNCTION("""COMPUTED_VALUE"""),44873.66871953703)</f>
        <v>44873.66872</v>
      </c>
      <c r="B3927" s="24" t="str">
        <f>IFERROR(__xludf.DUMMYFUNCTION("""COMPUTED_VALUE"""),"Romaine Bouldin ")</f>
        <v>Romaine Bouldin </v>
      </c>
      <c r="C3927" s="24">
        <f>IFERROR(__xludf.DUMMYFUNCTION("""COMPUTED_VALUE"""),8.0)</f>
        <v>8</v>
      </c>
      <c r="D3927" s="24" t="str">
        <f>IFERROR(__xludf.DUMMYFUNCTION("""COMPUTED_VALUE"""),"Damage/expired/extra")</f>
        <v>Damage/expired/extra</v>
      </c>
      <c r="F3927" s="23">
        <f>IFERROR(__xludf.DUMMYFUNCTION("""COMPUTED_VALUE"""),44896.0)</f>
        <v>44896</v>
      </c>
      <c r="G3927" s="24" t="str">
        <f>IFERROR(__xludf.DUMMYFUNCTION("""COMPUTED_VALUE"""),"Nathaniel McClean")</f>
        <v>Nathaniel McClean</v>
      </c>
      <c r="H3927" s="24">
        <f>IFERROR(__xludf.DUMMYFUNCTION("""COMPUTED_VALUE"""),19.0)</f>
        <v>19</v>
      </c>
      <c r="I3927" s="24" t="str">
        <f>IFERROR(__xludf.DUMMYFUNCTION("""COMPUTED_VALUE"""),"Regular (up to 20lbs)")</f>
        <v>Regular (up to 20lbs)</v>
      </c>
    </row>
    <row r="3928">
      <c r="A3928" s="23">
        <f>IFERROR(__xludf.DUMMYFUNCTION("""COMPUTED_VALUE"""),44873.66876550926)</f>
        <v>44873.66877</v>
      </c>
      <c r="B3928" s="24" t="str">
        <f>IFERROR(__xludf.DUMMYFUNCTION("""COMPUTED_VALUE"""),"Susan larson")</f>
        <v>Susan larson</v>
      </c>
      <c r="C3928" s="24">
        <f>IFERROR(__xludf.DUMMYFUNCTION("""COMPUTED_VALUE"""),18.0)</f>
        <v>18</v>
      </c>
      <c r="D3928" s="24" t="str">
        <f>IFERROR(__xludf.DUMMYFUNCTION("""COMPUTED_VALUE"""),"Damage/expired/extra")</f>
        <v>Damage/expired/extra</v>
      </c>
      <c r="F3928" s="23">
        <f>IFERROR(__xludf.DUMMYFUNCTION("""COMPUTED_VALUE"""),44896.0)</f>
        <v>44896</v>
      </c>
      <c r="G3928" s="24" t="str">
        <f>IFERROR(__xludf.DUMMYFUNCTION("""COMPUTED_VALUE"""),"Nathaniel McClean")</f>
        <v>Nathaniel McClean</v>
      </c>
      <c r="H3928" s="24">
        <f>IFERROR(__xludf.DUMMYFUNCTION("""COMPUTED_VALUE"""),4.0)</f>
        <v>4</v>
      </c>
      <c r="I3928" s="24" t="str">
        <f>IFERROR(__xludf.DUMMYFUNCTION("""COMPUTED_VALUE"""),"Damage/expired/extra")</f>
        <v>Damage/expired/extra</v>
      </c>
    </row>
    <row r="3929">
      <c r="A3929" s="23">
        <f>IFERROR(__xludf.DUMMYFUNCTION("""COMPUTED_VALUE"""),44873.66877217592)</f>
        <v>44873.66877</v>
      </c>
      <c r="B3929" s="24" t="str">
        <f>IFERROR(__xludf.DUMMYFUNCTION("""COMPUTED_VALUE"""),"Beverly Graham")</f>
        <v>Beverly Graham</v>
      </c>
      <c r="C3929" s="24">
        <f>IFERROR(__xludf.DUMMYFUNCTION("""COMPUTED_VALUE"""),12.0)</f>
        <v>12</v>
      </c>
      <c r="D3929" s="24" t="str">
        <f>IFERROR(__xludf.DUMMYFUNCTION("""COMPUTED_VALUE"""),"Regular (up to 20lbs)")</f>
        <v>Regular (up to 20lbs)</v>
      </c>
      <c r="F3929" s="23">
        <f>IFERROR(__xludf.DUMMYFUNCTION("""COMPUTED_VALUE"""),44896.63720168982)</f>
        <v>44896.6372</v>
      </c>
      <c r="G3929" s="24" t="str">
        <f>IFERROR(__xludf.DUMMYFUNCTION("""COMPUTED_VALUE"""),"Jean")</f>
        <v>Jean</v>
      </c>
      <c r="H3929" s="24">
        <f>IFERROR(__xludf.DUMMYFUNCTION("""COMPUTED_VALUE"""),312.0)</f>
        <v>312</v>
      </c>
      <c r="I3929" s="24" t="str">
        <f>IFERROR(__xludf.DUMMYFUNCTION("""COMPUTED_VALUE"""),"Assorted Fridge")</f>
        <v>Assorted Fridge</v>
      </c>
    </row>
    <row r="3930">
      <c r="A3930" s="23">
        <f>IFERROR(__xludf.DUMMYFUNCTION("""COMPUTED_VALUE"""),44873.66900376158)</f>
        <v>44873.669</v>
      </c>
      <c r="B3930" s="24" t="str">
        <f>IFERROR(__xludf.DUMMYFUNCTION("""COMPUTED_VALUE"""),"Beverly  Graham ")</f>
        <v>Beverly  Graham </v>
      </c>
      <c r="C3930" s="24">
        <f>IFERROR(__xludf.DUMMYFUNCTION("""COMPUTED_VALUE"""),10.0)</f>
        <v>10</v>
      </c>
      <c r="D3930" s="24" t="str">
        <f>IFERROR(__xludf.DUMMYFUNCTION("""COMPUTED_VALUE"""),"Damage/expired/extra")</f>
        <v>Damage/expired/extra</v>
      </c>
      <c r="F3930" s="23">
        <f>IFERROR(__xludf.DUMMYFUNCTION("""COMPUTED_VALUE"""),44896.64054111111)</f>
        <v>44896.64054</v>
      </c>
      <c r="G3930" s="24" t="str">
        <f>IFERROR(__xludf.DUMMYFUNCTION("""COMPUTED_VALUE"""),"Jean")</f>
        <v>Jean</v>
      </c>
      <c r="H3930" s="24">
        <f>IFERROR(__xludf.DUMMYFUNCTION("""COMPUTED_VALUE"""),430.0)</f>
        <v>430</v>
      </c>
      <c r="I3930" s="24" t="str">
        <f>IFERROR(__xludf.DUMMYFUNCTION("""COMPUTED_VALUE"""),"Assorted Dry")</f>
        <v>Assorted Dry</v>
      </c>
    </row>
    <row r="3931">
      <c r="A3931" s="23">
        <f>IFERROR(__xludf.DUMMYFUNCTION("""COMPUTED_VALUE"""),44873.6728537963)</f>
        <v>44873.67285</v>
      </c>
      <c r="B3931" s="24" t="str">
        <f>IFERROR(__xludf.DUMMYFUNCTION("""COMPUTED_VALUE"""),"Anna West")</f>
        <v>Anna West</v>
      </c>
      <c r="C3931" s="24">
        <f>IFERROR(__xludf.DUMMYFUNCTION("""COMPUTED_VALUE"""),20.0)</f>
        <v>20</v>
      </c>
      <c r="D3931" s="24" t="str">
        <f>IFERROR(__xludf.DUMMYFUNCTION("""COMPUTED_VALUE"""),"Regular (up to 20lbs)")</f>
        <v>Regular (up to 20lbs)</v>
      </c>
      <c r="F3931" s="23">
        <f>IFERROR(__xludf.DUMMYFUNCTION("""COMPUTED_VALUE"""),44896.6436456713)</f>
        <v>44896.64365</v>
      </c>
      <c r="G3931" s="24" t="str">
        <f>IFERROR(__xludf.DUMMYFUNCTION("""COMPUTED_VALUE"""),"Jean")</f>
        <v>Jean</v>
      </c>
      <c r="H3931" s="24">
        <f>IFERROR(__xludf.DUMMYFUNCTION("""COMPUTED_VALUE"""),238.0)</f>
        <v>238</v>
      </c>
      <c r="I3931" s="24" t="str">
        <f>IFERROR(__xludf.DUMMYFUNCTION("""COMPUTED_VALUE"""),"Assorted Dry")</f>
        <v>Assorted Dry</v>
      </c>
    </row>
    <row r="3932">
      <c r="A3932" s="23">
        <f>IFERROR(__xludf.DUMMYFUNCTION("""COMPUTED_VALUE"""),44873.67298107639)</f>
        <v>44873.67298</v>
      </c>
      <c r="B3932" s="24" t="str">
        <f>IFERROR(__xludf.DUMMYFUNCTION("""COMPUTED_VALUE"""),"Anna West")</f>
        <v>Anna West</v>
      </c>
      <c r="C3932" s="24">
        <f>IFERROR(__xludf.DUMMYFUNCTION("""COMPUTED_VALUE"""),31.0)</f>
        <v>31</v>
      </c>
      <c r="D3932" s="24" t="str">
        <f>IFERROR(__xludf.DUMMYFUNCTION("""COMPUTED_VALUE"""),"Damage/expired/extra")</f>
        <v>Damage/expired/extra</v>
      </c>
      <c r="F3932" s="23">
        <f>IFERROR(__xludf.DUMMYFUNCTION("""COMPUTED_VALUE"""),44896.644129120374)</f>
        <v>44896.64413</v>
      </c>
      <c r="G3932" s="24" t="str">
        <f>IFERROR(__xludf.DUMMYFUNCTION("""COMPUTED_VALUE"""),"Jean")</f>
        <v>Jean</v>
      </c>
      <c r="H3932" s="24">
        <f>IFERROR(__xludf.DUMMYFUNCTION("""COMPUTED_VALUE"""),54.0)</f>
        <v>54</v>
      </c>
      <c r="I3932" s="24" t="str">
        <f>IFERROR(__xludf.DUMMYFUNCTION("""COMPUTED_VALUE"""),"Drinks [Dry]")</f>
        <v>Drinks [Dry]</v>
      </c>
    </row>
    <row r="3933">
      <c r="A3933" s="23">
        <f>IFERROR(__xludf.DUMMYFUNCTION("""COMPUTED_VALUE"""),44873.67357466435)</f>
        <v>44873.67357</v>
      </c>
      <c r="B3933" s="24" t="str">
        <f>IFERROR(__xludf.DUMMYFUNCTION("""COMPUTED_VALUE"""),"Beverly Pinn")</f>
        <v>Beverly Pinn</v>
      </c>
      <c r="C3933" s="24">
        <f>IFERROR(__xludf.DUMMYFUNCTION("""COMPUTED_VALUE"""),12.0)</f>
        <v>12</v>
      </c>
      <c r="D3933" s="24" t="str">
        <f>IFERROR(__xludf.DUMMYFUNCTION("""COMPUTED_VALUE"""),"Regular (up to 20lbs)")</f>
        <v>Regular (up to 20lbs)</v>
      </c>
      <c r="F3933" s="23">
        <f>IFERROR(__xludf.DUMMYFUNCTION("""COMPUTED_VALUE"""),44896.700549189816)</f>
        <v>44896.70055</v>
      </c>
      <c r="G3933" s="24" t="str">
        <f>IFERROR(__xludf.DUMMYFUNCTION("""COMPUTED_VALUE"""),"Jean")</f>
        <v>Jean</v>
      </c>
      <c r="H3933" s="24">
        <f>IFERROR(__xludf.DUMMYFUNCTION("""COMPUTED_VALUE"""),15.0)</f>
        <v>15</v>
      </c>
      <c r="I3933" s="24" t="str">
        <f>IFERROR(__xludf.DUMMYFUNCTION("""COMPUTED_VALUE"""),"Regular (up to 20lbs)")</f>
        <v>Regular (up to 20lbs)</v>
      </c>
    </row>
    <row r="3934">
      <c r="A3934" s="23">
        <f>IFERROR(__xludf.DUMMYFUNCTION("""COMPUTED_VALUE"""),44873.67370108796)</f>
        <v>44873.6737</v>
      </c>
      <c r="B3934" s="24" t="str">
        <f>IFERROR(__xludf.DUMMYFUNCTION("""COMPUTED_VALUE"""),"Beverly Pinn")</f>
        <v>Beverly Pinn</v>
      </c>
      <c r="C3934" s="24">
        <f>IFERROR(__xludf.DUMMYFUNCTION("""COMPUTED_VALUE"""),24.0)</f>
        <v>24</v>
      </c>
      <c r="D3934" s="24" t="str">
        <f>IFERROR(__xludf.DUMMYFUNCTION("""COMPUTED_VALUE"""),"Damage/expired/extra")</f>
        <v>Damage/expired/extra</v>
      </c>
      <c r="F3934" s="23">
        <f>IFERROR(__xludf.DUMMYFUNCTION("""COMPUTED_VALUE"""),44896.83187543982)</f>
        <v>44896.83188</v>
      </c>
      <c r="G3934" s="24" t="str">
        <f>IFERROR(__xludf.DUMMYFUNCTION("""COMPUTED_VALUE"""),"adeola sulaiman ")</f>
        <v>adeola sulaiman </v>
      </c>
      <c r="H3934" s="24">
        <f>IFERROR(__xludf.DUMMYFUNCTION("""COMPUTED_VALUE"""),20.0)</f>
        <v>20</v>
      </c>
      <c r="I3934" s="24" t="str">
        <f>IFERROR(__xludf.DUMMYFUNCTION("""COMPUTED_VALUE"""),"Regular (up to 20lbs)")</f>
        <v>Regular (up to 20lbs)</v>
      </c>
    </row>
    <row r="3935">
      <c r="A3935" s="23">
        <f>IFERROR(__xludf.DUMMYFUNCTION("""COMPUTED_VALUE"""),44873.67633519676)</f>
        <v>44873.67634</v>
      </c>
      <c r="B3935" s="24" t="str">
        <f>IFERROR(__xludf.DUMMYFUNCTION("""COMPUTED_VALUE"""),"Kaneesha ")</f>
        <v>Kaneesha </v>
      </c>
      <c r="C3935" s="24">
        <f>IFERROR(__xludf.DUMMYFUNCTION("""COMPUTED_VALUE"""),20.0)</f>
        <v>20</v>
      </c>
      <c r="D3935" s="24" t="str">
        <f>IFERROR(__xludf.DUMMYFUNCTION("""COMPUTED_VALUE"""),"Regular (up to 20lbs)")</f>
        <v>Regular (up to 20lbs)</v>
      </c>
      <c r="F3935" s="23">
        <f>IFERROR(__xludf.DUMMYFUNCTION("""COMPUTED_VALUE"""),44896.83200299768)</f>
        <v>44896.832</v>
      </c>
      <c r="G3935" s="24" t="str">
        <f>IFERROR(__xludf.DUMMYFUNCTION("""COMPUTED_VALUE"""),"adeola sulaiman ")</f>
        <v>adeola sulaiman </v>
      </c>
      <c r="H3935" s="24">
        <f>IFERROR(__xludf.DUMMYFUNCTION("""COMPUTED_VALUE"""),34.0)</f>
        <v>34</v>
      </c>
      <c r="I3935" s="24" t="str">
        <f>IFERROR(__xludf.DUMMYFUNCTION("""COMPUTED_VALUE"""),"Damage/expired/extra")</f>
        <v>Damage/expired/extra</v>
      </c>
    </row>
    <row r="3936">
      <c r="A3936" s="23">
        <f>IFERROR(__xludf.DUMMYFUNCTION("""COMPUTED_VALUE"""),44873.676506145835)</f>
        <v>44873.67651</v>
      </c>
      <c r="B3936" s="24" t="str">
        <f>IFERROR(__xludf.DUMMYFUNCTION("""COMPUTED_VALUE"""),"Kaneesha ")</f>
        <v>Kaneesha </v>
      </c>
      <c r="C3936" s="24">
        <f>IFERROR(__xludf.DUMMYFUNCTION("""COMPUTED_VALUE"""),16.0)</f>
        <v>16</v>
      </c>
      <c r="D3936" s="24" t="str">
        <f>IFERROR(__xludf.DUMMYFUNCTION("""COMPUTED_VALUE"""),"Damage/expired/extra")</f>
        <v>Damage/expired/extra</v>
      </c>
      <c r="F3936" s="23">
        <f>IFERROR(__xludf.DUMMYFUNCTION("""COMPUTED_VALUE"""),44897.0)</f>
        <v>44897</v>
      </c>
      <c r="G3936" s="24" t="str">
        <f>IFERROR(__xludf.DUMMYFUNCTION("""COMPUTED_VALUE"""),"Theresa Columbus")</f>
        <v>Theresa Columbus</v>
      </c>
      <c r="H3936" s="24">
        <f>IFERROR(__xludf.DUMMYFUNCTION("""COMPUTED_VALUE"""),19.0)</f>
        <v>19</v>
      </c>
      <c r="I3936" s="24" t="str">
        <f>IFERROR(__xludf.DUMMYFUNCTION("""COMPUTED_VALUE"""),"Regular (up to 20lbs)")</f>
        <v>Regular (up to 20lbs)</v>
      </c>
    </row>
    <row r="3937">
      <c r="A3937" s="23">
        <f>IFERROR(__xludf.DUMMYFUNCTION("""COMPUTED_VALUE"""),44874.0)</f>
        <v>44874</v>
      </c>
      <c r="B3937" s="24" t="str">
        <f>IFERROR(__xludf.DUMMYFUNCTION("""COMPUTED_VALUE"""),"Juanita Chandler ")</f>
        <v>Juanita Chandler </v>
      </c>
      <c r="C3937" s="24">
        <f>IFERROR(__xludf.DUMMYFUNCTION("""COMPUTED_VALUE"""),23.0)</f>
        <v>23</v>
      </c>
      <c r="D3937" s="24" t="str">
        <f>IFERROR(__xludf.DUMMYFUNCTION("""COMPUTED_VALUE"""),"Regular (up to 20lbs)")</f>
        <v>Regular (up to 20lbs)</v>
      </c>
      <c r="F3937" s="23">
        <f>IFERROR(__xludf.DUMMYFUNCTION("""COMPUTED_VALUE"""),44897.0)</f>
        <v>44897</v>
      </c>
      <c r="G3937" s="24" t="str">
        <f>IFERROR(__xludf.DUMMYFUNCTION("""COMPUTED_VALUE"""),"Theresa Columbus")</f>
        <v>Theresa Columbus</v>
      </c>
      <c r="H3937" s="24">
        <f>IFERROR(__xludf.DUMMYFUNCTION("""COMPUTED_VALUE"""),4.0)</f>
        <v>4</v>
      </c>
      <c r="I3937" s="24" t="str">
        <f>IFERROR(__xludf.DUMMYFUNCTION("""COMPUTED_VALUE"""),"Damage/expired/extra")</f>
        <v>Damage/expired/extra</v>
      </c>
    </row>
    <row r="3938">
      <c r="A3938" s="23">
        <f>IFERROR(__xludf.DUMMYFUNCTION("""COMPUTED_VALUE"""),44874.0)</f>
        <v>44874</v>
      </c>
      <c r="B3938" s="24" t="str">
        <f>IFERROR(__xludf.DUMMYFUNCTION("""COMPUTED_VALUE"""),"Juanita Chandler ")</f>
        <v>Juanita Chandler </v>
      </c>
      <c r="C3938" s="24">
        <f>IFERROR(__xludf.DUMMYFUNCTION("""COMPUTED_VALUE"""),18.0)</f>
        <v>18</v>
      </c>
      <c r="D3938" s="24" t="str">
        <f>IFERROR(__xludf.DUMMYFUNCTION("""COMPUTED_VALUE"""),"Damage/expired/extra")</f>
        <v>Damage/expired/extra</v>
      </c>
      <c r="F3938" s="23">
        <f>IFERROR(__xludf.DUMMYFUNCTION("""COMPUTED_VALUE"""),44897.0)</f>
        <v>44897</v>
      </c>
      <c r="G3938" s="24" t="str">
        <f>IFERROR(__xludf.DUMMYFUNCTION("""COMPUTED_VALUE"""),"Juanita Chandler ")</f>
        <v>Juanita Chandler </v>
      </c>
      <c r="H3938" s="24">
        <f>IFERROR(__xludf.DUMMYFUNCTION("""COMPUTED_VALUE"""),18.0)</f>
        <v>18</v>
      </c>
      <c r="I3938" s="24" t="str">
        <f>IFERROR(__xludf.DUMMYFUNCTION("""COMPUTED_VALUE"""),"Regular (up to 20lbs)")</f>
        <v>Regular (up to 20lbs)</v>
      </c>
    </row>
    <row r="3939">
      <c r="A3939" s="23">
        <f>IFERROR(__xludf.DUMMYFUNCTION("""COMPUTED_VALUE"""),44874.0)</f>
        <v>44874</v>
      </c>
      <c r="B3939" s="24" t="str">
        <f>IFERROR(__xludf.DUMMYFUNCTION("""COMPUTED_VALUE"""),"Doris Parker Tuggle")</f>
        <v>Doris Parker Tuggle</v>
      </c>
      <c r="C3939" s="24">
        <f>IFERROR(__xludf.DUMMYFUNCTION("""COMPUTED_VALUE"""),17.0)</f>
        <v>17</v>
      </c>
      <c r="D3939" s="24" t="str">
        <f>IFERROR(__xludf.DUMMYFUNCTION("""COMPUTED_VALUE"""),"Regular (up to 20lbs)")</f>
        <v>Regular (up to 20lbs)</v>
      </c>
      <c r="F3939" s="23">
        <f>IFERROR(__xludf.DUMMYFUNCTION("""COMPUTED_VALUE"""),44897.0)</f>
        <v>44897</v>
      </c>
      <c r="G3939" s="24" t="str">
        <f>IFERROR(__xludf.DUMMYFUNCTION("""COMPUTED_VALUE"""),"Juanita Chandler ")</f>
        <v>Juanita Chandler </v>
      </c>
      <c r="H3939" s="24">
        <f>IFERROR(__xludf.DUMMYFUNCTION("""COMPUTED_VALUE"""),13.0)</f>
        <v>13</v>
      </c>
      <c r="I3939" s="24" t="str">
        <f>IFERROR(__xludf.DUMMYFUNCTION("""COMPUTED_VALUE"""),"Damage/expired/extra")</f>
        <v>Damage/expired/extra</v>
      </c>
    </row>
    <row r="3940">
      <c r="A3940" s="23">
        <f>IFERROR(__xludf.DUMMYFUNCTION("""COMPUTED_VALUE"""),44874.0)</f>
        <v>44874</v>
      </c>
      <c r="B3940" s="24" t="str">
        <f>IFERROR(__xludf.DUMMYFUNCTION("""COMPUTED_VALUE"""),"Sarah Krensky")</f>
        <v>Sarah Krensky</v>
      </c>
      <c r="C3940" s="24">
        <f>IFERROR(__xludf.DUMMYFUNCTION("""COMPUTED_VALUE"""),2.0)</f>
        <v>2</v>
      </c>
      <c r="D3940" s="24" t="str">
        <f>IFERROR(__xludf.DUMMYFUNCTION("""COMPUTED_VALUE"""),"Regular (up to 20lbs)")</f>
        <v>Regular (up to 20lbs)</v>
      </c>
      <c r="F3940" s="23">
        <f>IFERROR(__xludf.DUMMYFUNCTION("""COMPUTED_VALUE"""),44897.0)</f>
        <v>44897</v>
      </c>
      <c r="G3940" s="24" t="str">
        <f>IFERROR(__xludf.DUMMYFUNCTION("""COMPUTED_VALUE"""),"Lynette Cromer")</f>
        <v>Lynette Cromer</v>
      </c>
      <c r="H3940" s="24">
        <f>IFERROR(__xludf.DUMMYFUNCTION("""COMPUTED_VALUE"""),20.0)</f>
        <v>20</v>
      </c>
      <c r="I3940" s="24" t="str">
        <f>IFERROR(__xludf.DUMMYFUNCTION("""COMPUTED_VALUE"""),"Regular (up to 20lbs)")</f>
        <v>Regular (up to 20lbs)</v>
      </c>
    </row>
    <row r="3941">
      <c r="A3941" s="23">
        <f>IFERROR(__xludf.DUMMYFUNCTION("""COMPUTED_VALUE"""),44874.0)</f>
        <v>44874</v>
      </c>
      <c r="B3941" s="24" t="str">
        <f>IFERROR(__xludf.DUMMYFUNCTION("""COMPUTED_VALUE"""),"Dee Satterfield")</f>
        <v>Dee Satterfield</v>
      </c>
      <c r="C3941" s="24">
        <f>IFERROR(__xludf.DUMMYFUNCTION("""COMPUTED_VALUE"""),20.0)</f>
        <v>20</v>
      </c>
      <c r="D3941" s="24" t="str">
        <f>IFERROR(__xludf.DUMMYFUNCTION("""COMPUTED_VALUE"""),"Regular (up to 20lbs)")</f>
        <v>Regular (up to 20lbs)</v>
      </c>
      <c r="F3941" s="23">
        <f>IFERROR(__xludf.DUMMYFUNCTION("""COMPUTED_VALUE"""),44897.0)</f>
        <v>44897</v>
      </c>
      <c r="G3941" s="24" t="str">
        <f>IFERROR(__xludf.DUMMYFUNCTION("""COMPUTED_VALUE"""),"Lynette Cromer")</f>
        <v>Lynette Cromer</v>
      </c>
      <c r="H3941" s="24">
        <f>IFERROR(__xludf.DUMMYFUNCTION("""COMPUTED_VALUE"""),23.0)</f>
        <v>23</v>
      </c>
      <c r="I3941" s="24" t="str">
        <f>IFERROR(__xludf.DUMMYFUNCTION("""COMPUTED_VALUE"""),"Damage/expired/extra")</f>
        <v>Damage/expired/extra</v>
      </c>
    </row>
    <row r="3942">
      <c r="A3942" s="23">
        <f>IFERROR(__xludf.DUMMYFUNCTION("""COMPUTED_VALUE"""),44874.56067902778)</f>
        <v>44874.56068</v>
      </c>
      <c r="B3942" s="24" t="str">
        <f>IFERROR(__xludf.DUMMYFUNCTION("""COMPUTED_VALUE"""),"Theresa Keil")</f>
        <v>Theresa Keil</v>
      </c>
      <c r="C3942" s="24">
        <f>IFERROR(__xludf.DUMMYFUNCTION("""COMPUTED_VALUE"""),66.0)</f>
        <v>66</v>
      </c>
      <c r="D3942" s="24" t="str">
        <f>IFERROR(__xludf.DUMMYFUNCTION("""COMPUTED_VALUE"""),"Regular (up to 20lbs)")</f>
        <v>Regular (up to 20lbs)</v>
      </c>
      <c r="F3942" s="23">
        <f>IFERROR(__xludf.DUMMYFUNCTION("""COMPUTED_VALUE"""),44897.65012627315)</f>
        <v>44897.65013</v>
      </c>
      <c r="G3942" s="24" t="str">
        <f>IFERROR(__xludf.DUMMYFUNCTION("""COMPUTED_VALUE"""),"JUANITA Chandler ")</f>
        <v>JUANITA Chandler </v>
      </c>
      <c r="H3942" s="24">
        <f>IFERROR(__xludf.DUMMYFUNCTION("""COMPUTED_VALUE"""),1005.0)</f>
        <v>1005</v>
      </c>
      <c r="I3942" s="24" t="str">
        <f>IFERROR(__xludf.DUMMYFUNCTION("""COMPUTED_VALUE"""),"Dole")</f>
        <v>Dole</v>
      </c>
    </row>
    <row r="3943">
      <c r="A3943" s="23">
        <f>IFERROR(__xludf.DUMMYFUNCTION("""COMPUTED_VALUE"""),44874.68253017361)</f>
        <v>44874.68253</v>
      </c>
      <c r="B3943" s="24" t="str">
        <f>IFERROR(__xludf.DUMMYFUNCTION("""COMPUTED_VALUE"""),"Dorja ")</f>
        <v>Dorja </v>
      </c>
      <c r="C3943" s="24">
        <f>IFERROR(__xludf.DUMMYFUNCTION("""COMPUTED_VALUE"""),12.0)</f>
        <v>12</v>
      </c>
      <c r="D3943" s="24" t="str">
        <f>IFERROR(__xludf.DUMMYFUNCTION("""COMPUTED_VALUE"""),"Regular (up to 20lbs)")</f>
        <v>Regular (up to 20lbs)</v>
      </c>
      <c r="F3943" s="23">
        <f>IFERROR(__xludf.DUMMYFUNCTION("""COMPUTED_VALUE"""),44897.68226766204)</f>
        <v>44897.68227</v>
      </c>
      <c r="G3943" s="24" t="str">
        <f>IFERROR(__xludf.DUMMYFUNCTION("""COMPUTED_VALUE"""),"JUANITA Chandler ")</f>
        <v>JUANITA Chandler </v>
      </c>
      <c r="H3943" s="24">
        <f>IFERROR(__xludf.DUMMYFUNCTION("""COMPUTED_VALUE"""),443.0)</f>
        <v>443</v>
      </c>
      <c r="I3943" s="24" t="str">
        <f>IFERROR(__xludf.DUMMYFUNCTION("""COMPUTED_VALUE"""),"Mix")</f>
        <v>Mix</v>
      </c>
    </row>
    <row r="3944">
      <c r="A3944" s="23">
        <f>IFERROR(__xludf.DUMMYFUNCTION("""COMPUTED_VALUE"""),44874.70180793981)</f>
        <v>44874.70181</v>
      </c>
      <c r="B3944" s="24" t="str">
        <f>IFERROR(__xludf.DUMMYFUNCTION("""COMPUTED_VALUE"""),"Dorja")</f>
        <v>Dorja</v>
      </c>
      <c r="C3944" s="24">
        <f>IFERROR(__xludf.DUMMYFUNCTION("""COMPUTED_VALUE"""),13.0)</f>
        <v>13</v>
      </c>
      <c r="D3944" s="24" t="str">
        <f>IFERROR(__xludf.DUMMYFUNCTION("""COMPUTED_VALUE"""),"Damage/expired/extra")</f>
        <v>Damage/expired/extra</v>
      </c>
      <c r="F3944" s="23">
        <f>IFERROR(__xludf.DUMMYFUNCTION("""COMPUTED_VALUE"""),44897.684260625)</f>
        <v>44897.68426</v>
      </c>
      <c r="G3944" s="24" t="str">
        <f>IFERROR(__xludf.DUMMYFUNCTION("""COMPUTED_VALUE"""),"JUANITA Chandler ")</f>
        <v>JUANITA Chandler </v>
      </c>
      <c r="H3944" s="24">
        <f>IFERROR(__xludf.DUMMYFUNCTION("""COMPUTED_VALUE"""),148.0)</f>
        <v>148</v>
      </c>
      <c r="I3944" s="24" t="str">
        <f>IFERROR(__xludf.DUMMYFUNCTION("""COMPUTED_VALUE"""),"COAT 🧥")</f>
        <v>COAT 🧥</v>
      </c>
    </row>
    <row r="3945">
      <c r="A3945" s="23">
        <f>IFERROR(__xludf.DUMMYFUNCTION("""COMPUTED_VALUE"""),44874.71969844907)</f>
        <v>44874.7197</v>
      </c>
      <c r="B3945" s="24" t="str">
        <f>IFERROR(__xludf.DUMMYFUNCTION("""COMPUTED_VALUE"""),"Dorja ")</f>
        <v>Dorja </v>
      </c>
      <c r="C3945" s="24">
        <f>IFERROR(__xludf.DUMMYFUNCTION("""COMPUTED_VALUE"""),22.0)</f>
        <v>22</v>
      </c>
      <c r="D3945" s="24" t="str">
        <f>IFERROR(__xludf.DUMMYFUNCTION("""COMPUTED_VALUE"""),"Regular (up to 20lbs)")</f>
        <v>Regular (up to 20lbs)</v>
      </c>
      <c r="F3945" s="23">
        <f>IFERROR(__xludf.DUMMYFUNCTION("""COMPUTED_VALUE"""),44897.68566725694)</f>
        <v>44897.68567</v>
      </c>
      <c r="G3945" s="24" t="str">
        <f>IFERROR(__xludf.DUMMYFUNCTION("""COMPUTED_VALUE"""),"JUANITA Chandler ")</f>
        <v>JUANITA Chandler </v>
      </c>
      <c r="H3945" s="24">
        <f>IFERROR(__xludf.DUMMYFUNCTION("""COMPUTED_VALUE"""),105.0)</f>
        <v>105</v>
      </c>
      <c r="I3945" s="24" t="str">
        <f>IFERROR(__xludf.DUMMYFUNCTION("""COMPUTED_VALUE"""),"Coats Gloves")</f>
        <v>Coats Gloves</v>
      </c>
    </row>
    <row r="3946">
      <c r="A3946" s="23">
        <f>IFERROR(__xludf.DUMMYFUNCTION("""COMPUTED_VALUE"""),44874.847648854164)</f>
        <v>44874.84765</v>
      </c>
      <c r="B3946" s="24" t="str">
        <f>IFERROR(__xludf.DUMMYFUNCTION("""COMPUTED_VALUE"""),"Connor Gephart")</f>
        <v>Connor Gephart</v>
      </c>
      <c r="C3946" s="24">
        <f>IFERROR(__xludf.DUMMYFUNCTION("""COMPUTED_VALUE"""),13.0)</f>
        <v>13</v>
      </c>
      <c r="D3946" s="24" t="str">
        <f>IFERROR(__xludf.DUMMYFUNCTION("""COMPUTED_VALUE"""),"Regular (up to 20lbs)")</f>
        <v>Regular (up to 20lbs)</v>
      </c>
      <c r="F3946" s="23">
        <f>IFERROR(__xludf.DUMMYFUNCTION("""COMPUTED_VALUE"""),44897.68640935185)</f>
        <v>44897.68641</v>
      </c>
      <c r="G3946" s="24" t="str">
        <f>IFERROR(__xludf.DUMMYFUNCTION("""COMPUTED_VALUE"""),"JUANITA Chandler ")</f>
        <v>JUANITA Chandler </v>
      </c>
      <c r="H3946" s="24">
        <f>IFERROR(__xludf.DUMMYFUNCTION("""COMPUTED_VALUE"""),252.0)</f>
        <v>252</v>
      </c>
      <c r="I3946" s="24" t="str">
        <f>IFERROR(__xludf.DUMMYFUNCTION("""COMPUTED_VALUE"""),"Frozen [Not Meat]")</f>
        <v>Frozen [Not Meat]</v>
      </c>
    </row>
    <row r="3947">
      <c r="A3947" s="23">
        <f>IFERROR(__xludf.DUMMYFUNCTION("""COMPUTED_VALUE"""),44874.848311967595)</f>
        <v>44874.84831</v>
      </c>
      <c r="B3947" s="24" t="str">
        <f>IFERROR(__xludf.DUMMYFUNCTION("""COMPUTED_VALUE"""),"Maddie Pardes")</f>
        <v>Maddie Pardes</v>
      </c>
      <c r="C3947" s="24">
        <f>IFERROR(__xludf.DUMMYFUNCTION("""COMPUTED_VALUE"""),14.0)</f>
        <v>14</v>
      </c>
      <c r="D3947" s="24" t="str">
        <f>IFERROR(__xludf.DUMMYFUNCTION("""COMPUTED_VALUE"""),"Regular (up to 20lbs)")</f>
        <v>Regular (up to 20lbs)</v>
      </c>
      <c r="F3947" s="23">
        <f>IFERROR(__xludf.DUMMYFUNCTION("""COMPUTED_VALUE"""),44897.68761876157)</f>
        <v>44897.68762</v>
      </c>
      <c r="G3947" s="24" t="str">
        <f>IFERROR(__xludf.DUMMYFUNCTION("""COMPUTED_VALUE"""),"JUANITA Chandler ")</f>
        <v>JUANITA Chandler </v>
      </c>
      <c r="H3947" s="24">
        <f>IFERROR(__xludf.DUMMYFUNCTION("""COMPUTED_VALUE"""),494.0)</f>
        <v>494</v>
      </c>
      <c r="I3947" s="24" t="str">
        <f>IFERROR(__xludf.DUMMYFUNCTION("""COMPUTED_VALUE"""),"Mix")</f>
        <v>Mix</v>
      </c>
    </row>
    <row r="3948">
      <c r="A3948" s="23">
        <f>IFERROR(__xludf.DUMMYFUNCTION("""COMPUTED_VALUE"""),44875.0)</f>
        <v>44875</v>
      </c>
      <c r="B3948" s="24" t="str">
        <f>IFERROR(__xludf.DUMMYFUNCTION("""COMPUTED_VALUE"""),"Barbara Jordan")</f>
        <v>Barbara Jordan</v>
      </c>
      <c r="C3948" s="24">
        <f>IFERROR(__xludf.DUMMYFUNCTION("""COMPUTED_VALUE"""),12.0)</f>
        <v>12</v>
      </c>
      <c r="D3948" s="24" t="str">
        <f>IFERROR(__xludf.DUMMYFUNCTION("""COMPUTED_VALUE"""),"Regular (up to 20lbs)")</f>
        <v>Regular (up to 20lbs)</v>
      </c>
      <c r="F3948" s="23">
        <f>IFERROR(__xludf.DUMMYFUNCTION("""COMPUTED_VALUE"""),44897.688650902775)</f>
        <v>44897.68865</v>
      </c>
      <c r="G3948" s="24" t="str">
        <f>IFERROR(__xludf.DUMMYFUNCTION("""COMPUTED_VALUE"""),"JUANITA Chandler ")</f>
        <v>JUANITA Chandler </v>
      </c>
      <c r="H3948" s="24">
        <f>IFERROR(__xludf.DUMMYFUNCTION("""COMPUTED_VALUE"""),102.0)</f>
        <v>102</v>
      </c>
      <c r="I3948" s="24" t="str">
        <f>IFERROR(__xludf.DUMMYFUNCTION("""COMPUTED_VALUE"""),"COATS ")</f>
        <v>COATS </v>
      </c>
    </row>
    <row r="3949">
      <c r="A3949" s="23">
        <f>IFERROR(__xludf.DUMMYFUNCTION("""COMPUTED_VALUE"""),44875.0)</f>
        <v>44875</v>
      </c>
      <c r="B3949" s="24" t="str">
        <f>IFERROR(__xludf.DUMMYFUNCTION("""COMPUTED_VALUE"""),"Barbara Jordan")</f>
        <v>Barbara Jordan</v>
      </c>
      <c r="C3949" s="24">
        <f>IFERROR(__xludf.DUMMYFUNCTION("""COMPUTED_VALUE"""),4.0)</f>
        <v>4</v>
      </c>
      <c r="D3949" s="24" t="str">
        <f>IFERROR(__xludf.DUMMYFUNCTION("""COMPUTED_VALUE"""),"Damage/expired/extra")</f>
        <v>Damage/expired/extra</v>
      </c>
      <c r="F3949" s="23">
        <f>IFERROR(__xludf.DUMMYFUNCTION("""COMPUTED_VALUE"""),44897.689751261576)</f>
        <v>44897.68975</v>
      </c>
      <c r="G3949" s="24" t="str">
        <f>IFERROR(__xludf.DUMMYFUNCTION("""COMPUTED_VALUE"""),"JUANITA Chandler ")</f>
        <v>JUANITA Chandler </v>
      </c>
      <c r="H3949" s="24">
        <f>IFERROR(__xludf.DUMMYFUNCTION("""COMPUTED_VALUE"""),494.0)</f>
        <v>494</v>
      </c>
      <c r="I3949" s="24" t="str">
        <f>IFERROR(__xludf.DUMMYFUNCTION("""COMPUTED_VALUE"""),"Assorted Dry")</f>
        <v>Assorted Dry</v>
      </c>
    </row>
    <row r="3950">
      <c r="A3950" s="23">
        <f>IFERROR(__xludf.DUMMYFUNCTION("""COMPUTED_VALUE"""),44875.0)</f>
        <v>44875</v>
      </c>
      <c r="B3950" s="24" t="str">
        <f>IFERROR(__xludf.DUMMYFUNCTION("""COMPUTED_VALUE"""),"Hong Xue")</f>
        <v>Hong Xue</v>
      </c>
      <c r="C3950" s="24">
        <f>IFERROR(__xludf.DUMMYFUNCTION("""COMPUTED_VALUE"""),20.0)</f>
        <v>20</v>
      </c>
      <c r="D3950" s="24" t="str">
        <f>IFERROR(__xludf.DUMMYFUNCTION("""COMPUTED_VALUE"""),"Regular (up to 20lbs)")</f>
        <v>Regular (up to 20lbs)</v>
      </c>
      <c r="F3950" s="23">
        <f>IFERROR(__xludf.DUMMYFUNCTION("""COMPUTED_VALUE"""),44897.69036774305)</f>
        <v>44897.69037</v>
      </c>
      <c r="G3950" s="24" t="str">
        <f>IFERROR(__xludf.DUMMYFUNCTION("""COMPUTED_VALUE"""),"JUANITA Chandler ")</f>
        <v>JUANITA Chandler </v>
      </c>
      <c r="H3950" s="24">
        <f>IFERROR(__xludf.DUMMYFUNCTION("""COMPUTED_VALUE"""),232.0)</f>
        <v>232</v>
      </c>
      <c r="I3950" s="24" t="str">
        <f>IFERROR(__xludf.DUMMYFUNCTION("""COMPUTED_VALUE"""),"Frozen [Not Meat]")</f>
        <v>Frozen [Not Meat]</v>
      </c>
    </row>
    <row r="3951">
      <c r="A3951" s="23">
        <f>IFERROR(__xludf.DUMMYFUNCTION("""COMPUTED_VALUE"""),44875.0)</f>
        <v>44875</v>
      </c>
      <c r="B3951" s="24" t="str">
        <f>IFERROR(__xludf.DUMMYFUNCTION("""COMPUTED_VALUE"""),"Hong Xue")</f>
        <v>Hong Xue</v>
      </c>
      <c r="C3951" s="24">
        <f>IFERROR(__xludf.DUMMYFUNCTION("""COMPUTED_VALUE"""),5.0)</f>
        <v>5</v>
      </c>
      <c r="D3951" s="24" t="str">
        <f>IFERROR(__xludf.DUMMYFUNCTION("""COMPUTED_VALUE"""),"Damage/expired/extra")</f>
        <v>Damage/expired/extra</v>
      </c>
      <c r="F3951" s="23">
        <f>IFERROR(__xludf.DUMMYFUNCTION("""COMPUTED_VALUE"""),44897.69092969908)</f>
        <v>44897.69093</v>
      </c>
      <c r="G3951" s="24" t="str">
        <f>IFERROR(__xludf.DUMMYFUNCTION("""COMPUTED_VALUE"""),"JUANITA Chandler ")</f>
        <v>JUANITA Chandler </v>
      </c>
      <c r="H3951" s="24">
        <f>IFERROR(__xludf.DUMMYFUNCTION("""COMPUTED_VALUE"""),76.0)</f>
        <v>76</v>
      </c>
      <c r="I3951" s="24" t="str">
        <f>IFERROR(__xludf.DUMMYFUNCTION("""COMPUTED_VALUE"""),"Snacks")</f>
        <v>Snacks</v>
      </c>
    </row>
    <row r="3952">
      <c r="A3952" s="23">
        <f>IFERROR(__xludf.DUMMYFUNCTION("""COMPUTED_VALUE"""),44875.0)</f>
        <v>44875</v>
      </c>
      <c r="B3952" s="24" t="str">
        <f>IFERROR(__xludf.DUMMYFUNCTION("""COMPUTED_VALUE"""),"Aziza Frank")</f>
        <v>Aziza Frank</v>
      </c>
      <c r="C3952" s="24">
        <f>IFERROR(__xludf.DUMMYFUNCTION("""COMPUTED_VALUE"""),19.0)</f>
        <v>19</v>
      </c>
      <c r="D3952" s="24" t="str">
        <f>IFERROR(__xludf.DUMMYFUNCTION("""COMPUTED_VALUE"""),"Regular (up to 20lbs)")</f>
        <v>Regular (up to 20lbs)</v>
      </c>
      <c r="F3952" s="23">
        <f>IFERROR(__xludf.DUMMYFUNCTION("""COMPUTED_VALUE"""),44897.698271215275)</f>
        <v>44897.69827</v>
      </c>
      <c r="G3952" s="24" t="str">
        <f>IFERROR(__xludf.DUMMYFUNCTION("""COMPUTED_VALUE"""),"Sunita pathik")</f>
        <v>Sunita pathik</v>
      </c>
      <c r="H3952" s="24">
        <f>IFERROR(__xludf.DUMMYFUNCTION("""COMPUTED_VALUE"""),13.0)</f>
        <v>13</v>
      </c>
      <c r="I3952" s="24" t="str">
        <f>IFERROR(__xludf.DUMMYFUNCTION("""COMPUTED_VALUE"""),"Regular (up to 20lbs)")</f>
        <v>Regular (up to 20lbs)</v>
      </c>
    </row>
    <row r="3953">
      <c r="A3953" s="23">
        <f>IFERROR(__xludf.DUMMYFUNCTION("""COMPUTED_VALUE"""),44875.0)</f>
        <v>44875</v>
      </c>
      <c r="B3953" s="24" t="str">
        <f>IFERROR(__xludf.DUMMYFUNCTION("""COMPUTED_VALUE"""),"Aziza Frank")</f>
        <v>Aziza Frank</v>
      </c>
      <c r="C3953" s="24">
        <f>IFERROR(__xludf.DUMMYFUNCTION("""COMPUTED_VALUE"""),3.0)</f>
        <v>3</v>
      </c>
      <c r="D3953" s="24" t="str">
        <f>IFERROR(__xludf.DUMMYFUNCTION("""COMPUTED_VALUE"""),"Damage/expired/extra")</f>
        <v>Damage/expired/extra</v>
      </c>
      <c r="F3953" s="23">
        <f>IFERROR(__xludf.DUMMYFUNCTION("""COMPUTED_VALUE"""),44897.698862523146)</f>
        <v>44897.69886</v>
      </c>
      <c r="G3953" s="24" t="str">
        <f>IFERROR(__xludf.DUMMYFUNCTION("""COMPUTED_VALUE"""),"Sunita pathik ")</f>
        <v>Sunita pathik </v>
      </c>
      <c r="H3953" s="24">
        <f>IFERROR(__xludf.DUMMYFUNCTION("""COMPUTED_VALUE"""),134.0)</f>
        <v>134</v>
      </c>
      <c r="I3953" s="24" t="str">
        <f>IFERROR(__xludf.DUMMYFUNCTION("""COMPUTED_VALUE"""),"Assorted Fridge")</f>
        <v>Assorted Fridge</v>
      </c>
    </row>
    <row r="3954">
      <c r="A3954" s="23">
        <f>IFERROR(__xludf.DUMMYFUNCTION("""COMPUTED_VALUE"""),44875.0)</f>
        <v>44875</v>
      </c>
      <c r="B3954" s="24" t="str">
        <f>IFERROR(__xludf.DUMMYFUNCTION("""COMPUTED_VALUE"""),"Nathaniel McClean")</f>
        <v>Nathaniel McClean</v>
      </c>
      <c r="C3954" s="24">
        <f>IFERROR(__xludf.DUMMYFUNCTION("""COMPUTED_VALUE"""),17.0)</f>
        <v>17</v>
      </c>
      <c r="D3954" s="24" t="str">
        <f>IFERROR(__xludf.DUMMYFUNCTION("""COMPUTED_VALUE"""),"Regular (up to 20lbs)")</f>
        <v>Regular (up to 20lbs)</v>
      </c>
      <c r="F3954" s="23">
        <f>IFERROR(__xludf.DUMMYFUNCTION("""COMPUTED_VALUE"""),44897.71299516204)</f>
        <v>44897.713</v>
      </c>
      <c r="G3954" s="24" t="str">
        <f>IFERROR(__xludf.DUMMYFUNCTION("""COMPUTED_VALUE"""),"Maria Reyes ")</f>
        <v>Maria Reyes </v>
      </c>
      <c r="H3954" s="24">
        <f>IFERROR(__xludf.DUMMYFUNCTION("""COMPUTED_VALUE"""),17.0)</f>
        <v>17</v>
      </c>
      <c r="I3954" s="24" t="str">
        <f>IFERROR(__xludf.DUMMYFUNCTION("""COMPUTED_VALUE"""),"Regular (up to 20lbs)")</f>
        <v>Regular (up to 20lbs)</v>
      </c>
    </row>
    <row r="3955">
      <c r="A3955" s="23">
        <f>IFERROR(__xludf.DUMMYFUNCTION("""COMPUTED_VALUE"""),44875.0)</f>
        <v>44875</v>
      </c>
      <c r="B3955" s="24" t="str">
        <f>IFERROR(__xludf.DUMMYFUNCTION("""COMPUTED_VALUE"""),"Nathaniel McClean")</f>
        <v>Nathaniel McClean</v>
      </c>
      <c r="C3955" s="24">
        <f>IFERROR(__xludf.DUMMYFUNCTION("""COMPUTED_VALUE"""),1.0)</f>
        <v>1</v>
      </c>
      <c r="D3955" s="24" t="str">
        <f>IFERROR(__xludf.DUMMYFUNCTION("""COMPUTED_VALUE"""),"Damage/expired/extra")</f>
        <v>Damage/expired/extra</v>
      </c>
      <c r="F3955" s="23">
        <f>IFERROR(__xludf.DUMMYFUNCTION("""COMPUTED_VALUE"""),44897.71524258102)</f>
        <v>44897.71524</v>
      </c>
      <c r="G3955" s="24" t="str">
        <f>IFERROR(__xludf.DUMMYFUNCTION("""COMPUTED_VALUE"""),"Beth Torres")</f>
        <v>Beth Torres</v>
      </c>
      <c r="H3955" s="24">
        <f>IFERROR(__xludf.DUMMYFUNCTION("""COMPUTED_VALUE"""),17.0)</f>
        <v>17</v>
      </c>
      <c r="I3955" s="24" t="str">
        <f>IFERROR(__xludf.DUMMYFUNCTION("""COMPUTED_VALUE"""),"Regular (up to 20lbs)")</f>
        <v>Regular (up to 20lbs)</v>
      </c>
    </row>
    <row r="3956">
      <c r="A3956" s="23">
        <f>IFERROR(__xludf.DUMMYFUNCTION("""COMPUTED_VALUE"""),44875.6866178588)</f>
        <v>44875.68662</v>
      </c>
      <c r="B3956" s="24" t="str">
        <f>IFERROR(__xludf.DUMMYFUNCTION("""COMPUTED_VALUE"""),"Jack bellows")</f>
        <v>Jack bellows</v>
      </c>
      <c r="C3956" s="24">
        <f>IFERROR(__xludf.DUMMYFUNCTION("""COMPUTED_VALUE"""),20.0)</f>
        <v>20</v>
      </c>
      <c r="D3956" s="24" t="str">
        <f>IFERROR(__xludf.DUMMYFUNCTION("""COMPUTED_VALUE"""),"Regular (up to 20lbs)")</f>
        <v>Regular (up to 20lbs)</v>
      </c>
      <c r="F3956" s="23">
        <f>IFERROR(__xludf.DUMMYFUNCTION("""COMPUTED_VALUE"""),44897.71564835648)</f>
        <v>44897.71565</v>
      </c>
      <c r="G3956" s="24" t="str">
        <f>IFERROR(__xludf.DUMMYFUNCTION("""COMPUTED_VALUE"""),"Beth Torres")</f>
        <v>Beth Torres</v>
      </c>
      <c r="H3956" s="24">
        <f>IFERROR(__xludf.DUMMYFUNCTION("""COMPUTED_VALUE"""),18.0)</f>
        <v>18</v>
      </c>
      <c r="I3956" s="24" t="str">
        <f>IFERROR(__xludf.DUMMYFUNCTION("""COMPUTED_VALUE"""),"Damage/expired/extra")</f>
        <v>Damage/expired/extra</v>
      </c>
    </row>
    <row r="3957">
      <c r="A3957" s="23">
        <f>IFERROR(__xludf.DUMMYFUNCTION("""COMPUTED_VALUE"""),44875.687711157414)</f>
        <v>44875.68771</v>
      </c>
      <c r="B3957" s="24" t="str">
        <f>IFERROR(__xludf.DUMMYFUNCTION("""COMPUTED_VALUE"""),"Nishikar Paruchuri ")</f>
        <v>Nishikar Paruchuri </v>
      </c>
      <c r="C3957" s="24">
        <f>IFERROR(__xludf.DUMMYFUNCTION("""COMPUTED_VALUE"""),5.0)</f>
        <v>5</v>
      </c>
      <c r="D3957" s="24" t="str">
        <f>IFERROR(__xludf.DUMMYFUNCTION("""COMPUTED_VALUE"""),"Regular (up to 20lbs)")</f>
        <v>Regular (up to 20lbs)</v>
      </c>
      <c r="F3957" s="23">
        <f>IFERROR(__xludf.DUMMYFUNCTION("""COMPUTED_VALUE"""),44898.0)</f>
        <v>44898</v>
      </c>
      <c r="G3957" s="24" t="str">
        <f>IFERROR(__xludf.DUMMYFUNCTION("""COMPUTED_VALUE"""),"Claire")</f>
        <v>Claire</v>
      </c>
      <c r="H3957" s="24">
        <f>IFERROR(__xludf.DUMMYFUNCTION("""COMPUTED_VALUE"""),702.0)</f>
        <v>702</v>
      </c>
      <c r="I3957" s="24" t="str">
        <f>IFERROR(__xludf.DUMMYFUNCTION("""COMPUTED_VALUE"""),"Amazon")</f>
        <v>Amazon</v>
      </c>
    </row>
    <row r="3958">
      <c r="A3958" s="23">
        <f>IFERROR(__xludf.DUMMYFUNCTION("""COMPUTED_VALUE"""),44875.69070283565)</f>
        <v>44875.6907</v>
      </c>
      <c r="B3958" s="24" t="str">
        <f>IFERROR(__xludf.DUMMYFUNCTION("""COMPUTED_VALUE"""),"Bertille")</f>
        <v>Bertille</v>
      </c>
      <c r="C3958" s="24">
        <f>IFERROR(__xludf.DUMMYFUNCTION("""COMPUTED_VALUE"""),15.0)</f>
        <v>15</v>
      </c>
      <c r="D3958" s="24" t="str">
        <f>IFERROR(__xludf.DUMMYFUNCTION("""COMPUTED_VALUE"""),"Regular (up to 20lbs)")</f>
        <v>Regular (up to 20lbs)</v>
      </c>
      <c r="F3958" s="23">
        <f>IFERROR(__xludf.DUMMYFUNCTION("""COMPUTED_VALUE"""),44898.0)</f>
        <v>44898</v>
      </c>
      <c r="G3958" s="24" t="str">
        <f>IFERROR(__xludf.DUMMYFUNCTION("""COMPUTED_VALUE"""),"Claire")</f>
        <v>Claire</v>
      </c>
      <c r="H3958" s="24">
        <f>IFERROR(__xludf.DUMMYFUNCTION("""COMPUTED_VALUE"""),548.0)</f>
        <v>548</v>
      </c>
      <c r="I3958" s="24" t="str">
        <f>IFERROR(__xludf.DUMMYFUNCTION("""COMPUTED_VALUE"""),"Amazon")</f>
        <v>Amazon</v>
      </c>
    </row>
    <row r="3959">
      <c r="A3959" s="23">
        <f>IFERROR(__xludf.DUMMYFUNCTION("""COMPUTED_VALUE"""),44875.69083298611)</f>
        <v>44875.69083</v>
      </c>
      <c r="B3959" s="24" t="str">
        <f>IFERROR(__xludf.DUMMYFUNCTION("""COMPUTED_VALUE"""),"Bertille")</f>
        <v>Bertille</v>
      </c>
      <c r="C3959" s="24">
        <f>IFERROR(__xludf.DUMMYFUNCTION("""COMPUTED_VALUE"""),3.0)</f>
        <v>3</v>
      </c>
      <c r="D3959" s="24" t="str">
        <f>IFERROR(__xludf.DUMMYFUNCTION("""COMPUTED_VALUE"""),"Damage/expired/extra")</f>
        <v>Damage/expired/extra</v>
      </c>
      <c r="F3959" s="23">
        <f>IFERROR(__xludf.DUMMYFUNCTION("""COMPUTED_VALUE"""),44898.0)</f>
        <v>44898</v>
      </c>
      <c r="G3959" s="24" t="str">
        <f>IFERROR(__xludf.DUMMYFUNCTION("""COMPUTED_VALUE"""),"Claire")</f>
        <v>Claire</v>
      </c>
      <c r="H3959" s="24">
        <f>IFERROR(__xludf.DUMMYFUNCTION("""COMPUTED_VALUE"""),258.0)</f>
        <v>258</v>
      </c>
      <c r="I3959" s="24" t="str">
        <f>IFERROR(__xludf.DUMMYFUNCTION("""COMPUTED_VALUE"""),"Amazon")</f>
        <v>Amazon</v>
      </c>
    </row>
    <row r="3960">
      <c r="A3960" s="23">
        <f>IFERROR(__xludf.DUMMYFUNCTION("""COMPUTED_VALUE"""),44875.695896331024)</f>
        <v>44875.6959</v>
      </c>
      <c r="B3960" s="24" t="str">
        <f>IFERROR(__xludf.DUMMYFUNCTION("""COMPUTED_VALUE"""),"Luke mayhew ")</f>
        <v>Luke mayhew </v>
      </c>
      <c r="C3960" s="24">
        <f>IFERROR(__xludf.DUMMYFUNCTION("""COMPUTED_VALUE"""),18.0)</f>
        <v>18</v>
      </c>
      <c r="D3960" s="24" t="str">
        <f>IFERROR(__xludf.DUMMYFUNCTION("""COMPUTED_VALUE"""),"Regular (up to 20lbs)")</f>
        <v>Regular (up to 20lbs)</v>
      </c>
      <c r="F3960" s="23">
        <f>IFERROR(__xludf.DUMMYFUNCTION("""COMPUTED_VALUE"""),44898.0)</f>
        <v>44898</v>
      </c>
      <c r="G3960" s="24" t="str">
        <f>IFERROR(__xludf.DUMMYFUNCTION("""COMPUTED_VALUE"""),"Claire")</f>
        <v>Claire</v>
      </c>
      <c r="H3960" s="24">
        <f>IFERROR(__xludf.DUMMYFUNCTION("""COMPUTED_VALUE"""),177.0)</f>
        <v>177</v>
      </c>
      <c r="I3960" s="24" t="str">
        <f>IFERROR(__xludf.DUMMYFUNCTION("""COMPUTED_VALUE"""),"Amazon")</f>
        <v>Amazon</v>
      </c>
    </row>
    <row r="3961">
      <c r="A3961" s="23">
        <f>IFERROR(__xludf.DUMMYFUNCTION("""COMPUTED_VALUE"""),44875.69613040509)</f>
        <v>44875.69613</v>
      </c>
      <c r="B3961" s="24" t="str">
        <f>IFERROR(__xludf.DUMMYFUNCTION("""COMPUTED_VALUE"""),"Luke mayhew ")</f>
        <v>Luke mayhew </v>
      </c>
      <c r="C3961" s="24">
        <f>IFERROR(__xludf.DUMMYFUNCTION("""COMPUTED_VALUE"""),12.0)</f>
        <v>12</v>
      </c>
      <c r="D3961" s="24" t="str">
        <f>IFERROR(__xludf.DUMMYFUNCTION("""COMPUTED_VALUE"""),"Damage/expired/extra")</f>
        <v>Damage/expired/extra</v>
      </c>
      <c r="F3961" s="23">
        <f>IFERROR(__xludf.DUMMYFUNCTION("""COMPUTED_VALUE"""),44898.0)</f>
        <v>44898</v>
      </c>
      <c r="G3961" s="24" t="str">
        <f>IFERROR(__xludf.DUMMYFUNCTION("""COMPUTED_VALUE"""),"Claire")</f>
        <v>Claire</v>
      </c>
      <c r="H3961" s="24">
        <f>IFERROR(__xludf.DUMMYFUNCTION("""COMPUTED_VALUE"""),184.0)</f>
        <v>184</v>
      </c>
      <c r="I3961" s="24" t="str">
        <f>IFERROR(__xludf.DUMMYFUNCTION("""COMPUTED_VALUE"""),"Amazon")</f>
        <v>Amazon</v>
      </c>
    </row>
    <row r="3962">
      <c r="A3962" s="23">
        <f>IFERROR(__xludf.DUMMYFUNCTION("""COMPUTED_VALUE"""),44875.69660538195)</f>
        <v>44875.69661</v>
      </c>
      <c r="B3962" s="24" t="str">
        <f>IFERROR(__xludf.DUMMYFUNCTION("""COMPUTED_VALUE"""),"Norma")</f>
        <v>Norma</v>
      </c>
      <c r="C3962" s="24">
        <f>IFERROR(__xludf.DUMMYFUNCTION("""COMPUTED_VALUE"""),15.0)</f>
        <v>15</v>
      </c>
      <c r="D3962" s="24" t="str">
        <f>IFERROR(__xludf.DUMMYFUNCTION("""COMPUTED_VALUE"""),"Regular (up to 20lbs)")</f>
        <v>Regular (up to 20lbs)</v>
      </c>
      <c r="F3962" s="23">
        <f>IFERROR(__xludf.DUMMYFUNCTION("""COMPUTED_VALUE"""),44898.0)</f>
        <v>44898</v>
      </c>
      <c r="G3962" s="24" t="str">
        <f>IFERROR(__xludf.DUMMYFUNCTION("""COMPUTED_VALUE"""),"Claire")</f>
        <v>Claire</v>
      </c>
      <c r="H3962" s="24">
        <f>IFERROR(__xludf.DUMMYFUNCTION("""COMPUTED_VALUE"""),1080.0)</f>
        <v>1080</v>
      </c>
      <c r="I3962" s="24" t="str">
        <f>IFERROR(__xludf.DUMMYFUNCTION("""COMPUTED_VALUE"""),"Dole")</f>
        <v>Dole</v>
      </c>
    </row>
    <row r="3963">
      <c r="A3963" s="23">
        <f>IFERROR(__xludf.DUMMYFUNCTION("""COMPUTED_VALUE"""),44875.70222677083)</f>
        <v>44875.70223</v>
      </c>
      <c r="B3963" s="24" t="str">
        <f>IFERROR(__xludf.DUMMYFUNCTION("""COMPUTED_VALUE"""),"Jean")</f>
        <v>Jean</v>
      </c>
      <c r="C3963" s="24">
        <f>IFERROR(__xludf.DUMMYFUNCTION("""COMPUTED_VALUE"""),32.0)</f>
        <v>32</v>
      </c>
      <c r="D3963" s="24" t="str">
        <f>IFERROR(__xludf.DUMMYFUNCTION("""COMPUTED_VALUE"""),"Regular (up to 20lbs)")</f>
        <v>Regular (up to 20lbs)</v>
      </c>
      <c r="F3963" s="23">
        <f>IFERROR(__xludf.DUMMYFUNCTION("""COMPUTED_VALUE"""),44898.0)</f>
        <v>44898</v>
      </c>
      <c r="G3963" s="24" t="str">
        <f>IFERROR(__xludf.DUMMYFUNCTION("""COMPUTED_VALUE"""),"Emily Baca")</f>
        <v>Emily Baca</v>
      </c>
      <c r="H3963" s="24">
        <f>IFERROR(__xludf.DUMMYFUNCTION("""COMPUTED_VALUE"""),8.0)</f>
        <v>8</v>
      </c>
      <c r="I3963" s="24" t="str">
        <f>IFERROR(__xludf.DUMMYFUNCTION("""COMPUTED_VALUE"""),"Regular (up to 20lbs)")</f>
        <v>Regular (up to 20lbs)</v>
      </c>
    </row>
    <row r="3964">
      <c r="A3964" s="23">
        <f>IFERROR(__xludf.DUMMYFUNCTION("""COMPUTED_VALUE"""),44875.70259583333)</f>
        <v>44875.7026</v>
      </c>
      <c r="B3964" s="24" t="str">
        <f>IFERROR(__xludf.DUMMYFUNCTION("""COMPUTED_VALUE"""),"Jean")</f>
        <v>Jean</v>
      </c>
      <c r="C3964" s="24">
        <f>IFERROR(__xludf.DUMMYFUNCTION("""COMPUTED_VALUE"""),4.0)</f>
        <v>4</v>
      </c>
      <c r="D3964" s="24" t="str">
        <f>IFERROR(__xludf.DUMMYFUNCTION("""COMPUTED_VALUE"""),"Damage/expired/extra")</f>
        <v>Damage/expired/extra</v>
      </c>
      <c r="F3964" s="23">
        <f>IFERROR(__xludf.DUMMYFUNCTION("""COMPUTED_VALUE"""),44898.0)</f>
        <v>44898</v>
      </c>
      <c r="G3964" s="24" t="str">
        <f>IFERROR(__xludf.DUMMYFUNCTION("""COMPUTED_VALUE"""),"Emily Baca")</f>
        <v>Emily Baca</v>
      </c>
      <c r="H3964" s="24">
        <f>IFERROR(__xludf.DUMMYFUNCTION("""COMPUTED_VALUE"""),9.0)</f>
        <v>9</v>
      </c>
      <c r="I3964" s="24" t="str">
        <f>IFERROR(__xludf.DUMMYFUNCTION("""COMPUTED_VALUE"""),"Damage/expired/extra")</f>
        <v>Damage/expired/extra</v>
      </c>
    </row>
    <row r="3965">
      <c r="A3965" s="23">
        <f>IFERROR(__xludf.DUMMYFUNCTION("""COMPUTED_VALUE"""),44875.83506936343)</f>
        <v>44875.83507</v>
      </c>
      <c r="B3965" s="24" t="str">
        <f>IFERROR(__xludf.DUMMYFUNCTION("""COMPUTED_VALUE"""),"Obinna Nwokoro")</f>
        <v>Obinna Nwokoro</v>
      </c>
      <c r="C3965" s="24">
        <f>IFERROR(__xludf.DUMMYFUNCTION("""COMPUTED_VALUE"""),19.0)</f>
        <v>19</v>
      </c>
      <c r="D3965" s="24" t="str">
        <f>IFERROR(__xludf.DUMMYFUNCTION("""COMPUTED_VALUE"""),"Regular (up to 20lbs)")</f>
        <v>Regular (up to 20lbs)</v>
      </c>
      <c r="F3965" s="23">
        <f>IFERROR(__xludf.DUMMYFUNCTION("""COMPUTED_VALUE"""),44898.0)</f>
        <v>44898</v>
      </c>
      <c r="G3965" s="24" t="str">
        <f>IFERROR(__xludf.DUMMYFUNCTION("""COMPUTED_VALUE"""),"Kelly Chen")</f>
        <v>Kelly Chen</v>
      </c>
      <c r="H3965" s="24">
        <f>IFERROR(__xludf.DUMMYFUNCTION("""COMPUTED_VALUE"""),20.0)</f>
        <v>20</v>
      </c>
      <c r="I3965" s="24" t="str">
        <f>IFERROR(__xludf.DUMMYFUNCTION("""COMPUTED_VALUE"""),"Regular (up to 20lbs)")</f>
        <v>Regular (up to 20lbs)</v>
      </c>
    </row>
    <row r="3966">
      <c r="A3966" s="23">
        <f>IFERROR(__xludf.DUMMYFUNCTION("""COMPUTED_VALUE"""),44875.83993986111)</f>
        <v>44875.83994</v>
      </c>
      <c r="B3966" s="24" t="str">
        <f>IFERROR(__xludf.DUMMYFUNCTION("""COMPUTED_VALUE"""),"adeola sulaiman")</f>
        <v>adeola sulaiman</v>
      </c>
      <c r="C3966" s="24">
        <f>IFERROR(__xludf.DUMMYFUNCTION("""COMPUTED_VALUE"""),20.0)</f>
        <v>20</v>
      </c>
      <c r="D3966" s="24" t="str">
        <f>IFERROR(__xludf.DUMMYFUNCTION("""COMPUTED_VALUE"""),"Regular (up to 20lbs)")</f>
        <v>Regular (up to 20lbs)</v>
      </c>
      <c r="F3966" s="23">
        <f>IFERROR(__xludf.DUMMYFUNCTION("""COMPUTED_VALUE"""),44898.0)</f>
        <v>44898</v>
      </c>
      <c r="G3966" s="24" t="str">
        <f>IFERROR(__xludf.DUMMYFUNCTION("""COMPUTED_VALUE"""),"Kelly Chen")</f>
        <v>Kelly Chen</v>
      </c>
      <c r="H3966" s="24">
        <f>IFERROR(__xludf.DUMMYFUNCTION("""COMPUTED_VALUE"""),3.0)</f>
        <v>3</v>
      </c>
      <c r="I3966" s="24" t="str">
        <f>IFERROR(__xludf.DUMMYFUNCTION("""COMPUTED_VALUE"""),"Damage/expired/extra")</f>
        <v>Damage/expired/extra</v>
      </c>
    </row>
    <row r="3967">
      <c r="A3967" s="23">
        <f>IFERROR(__xludf.DUMMYFUNCTION("""COMPUTED_VALUE"""),44876.0)</f>
        <v>44876</v>
      </c>
      <c r="B3967" s="24" t="str">
        <f>IFERROR(__xludf.DUMMYFUNCTION("""COMPUTED_VALUE"""),"Juanita Chandler ")</f>
        <v>Juanita Chandler </v>
      </c>
      <c r="C3967" s="24">
        <f>IFERROR(__xludf.DUMMYFUNCTION("""COMPUTED_VALUE"""),19.0)</f>
        <v>19</v>
      </c>
      <c r="D3967" s="24" t="str">
        <f>IFERROR(__xludf.DUMMYFUNCTION("""COMPUTED_VALUE"""),"Regular (up to 20lbs)")</f>
        <v>Regular (up to 20lbs)</v>
      </c>
      <c r="F3967" s="23">
        <f>IFERROR(__xludf.DUMMYFUNCTION("""COMPUTED_VALUE"""),44898.0)</f>
        <v>44898</v>
      </c>
      <c r="G3967" s="24" t="str">
        <f>IFERROR(__xludf.DUMMYFUNCTION("""COMPUTED_VALUE"""),"Nicolle Diaz")</f>
        <v>Nicolle Diaz</v>
      </c>
      <c r="H3967" s="24">
        <f>IFERROR(__xludf.DUMMYFUNCTION("""COMPUTED_VALUE"""),17.0)</f>
        <v>17</v>
      </c>
      <c r="I3967" s="24" t="str">
        <f>IFERROR(__xludf.DUMMYFUNCTION("""COMPUTED_VALUE"""),"Regular (up to 20lbs)")</f>
        <v>Regular (up to 20lbs)</v>
      </c>
    </row>
    <row r="3968">
      <c r="A3968" s="23">
        <f>IFERROR(__xludf.DUMMYFUNCTION("""COMPUTED_VALUE"""),44876.0)</f>
        <v>44876</v>
      </c>
      <c r="B3968" s="24" t="str">
        <f>IFERROR(__xludf.DUMMYFUNCTION("""COMPUTED_VALUE"""),"Juanita Chandler ")</f>
        <v>Juanita Chandler </v>
      </c>
      <c r="C3968" s="24">
        <f>IFERROR(__xludf.DUMMYFUNCTION("""COMPUTED_VALUE"""),12.0)</f>
        <v>12</v>
      </c>
      <c r="D3968" s="24" t="str">
        <f>IFERROR(__xludf.DUMMYFUNCTION("""COMPUTED_VALUE"""),"Damage/expired/extra")</f>
        <v>Damage/expired/extra</v>
      </c>
      <c r="F3968" s="23">
        <f>IFERROR(__xludf.DUMMYFUNCTION("""COMPUTED_VALUE"""),44898.0)</f>
        <v>44898</v>
      </c>
      <c r="G3968" s="24" t="str">
        <f>IFERROR(__xludf.DUMMYFUNCTION("""COMPUTED_VALUE"""),"Nicolle Diaz")</f>
        <v>Nicolle Diaz</v>
      </c>
      <c r="H3968" s="24">
        <f>IFERROR(__xludf.DUMMYFUNCTION("""COMPUTED_VALUE"""),5.0)</f>
        <v>5</v>
      </c>
      <c r="I3968" s="24" t="str">
        <f>IFERROR(__xludf.DUMMYFUNCTION("""COMPUTED_VALUE"""),"Damage/expired/extra")</f>
        <v>Damage/expired/extra</v>
      </c>
    </row>
    <row r="3969">
      <c r="A3969" s="23">
        <f>IFERROR(__xludf.DUMMYFUNCTION("""COMPUTED_VALUE"""),44876.0)</f>
        <v>44876</v>
      </c>
      <c r="B3969" s="24" t="str">
        <f>IFERROR(__xludf.DUMMYFUNCTION("""COMPUTED_VALUE"""),"Theresa Columbus")</f>
        <v>Theresa Columbus</v>
      </c>
      <c r="C3969" s="24">
        <f>IFERROR(__xludf.DUMMYFUNCTION("""COMPUTED_VALUE"""),18.0)</f>
        <v>18</v>
      </c>
      <c r="D3969" s="24" t="str">
        <f>IFERROR(__xludf.DUMMYFUNCTION("""COMPUTED_VALUE"""),"Regular (up to 20lbs)")</f>
        <v>Regular (up to 20lbs)</v>
      </c>
      <c r="F3969" s="23">
        <f>IFERROR(__xludf.DUMMYFUNCTION("""COMPUTED_VALUE"""),44898.249125902774)</f>
        <v>44898.24913</v>
      </c>
      <c r="G3969" s="24" t="str">
        <f>IFERROR(__xludf.DUMMYFUNCTION("""COMPUTED_VALUE"""),"Dorja ")</f>
        <v>Dorja </v>
      </c>
      <c r="H3969" s="24">
        <f>IFERROR(__xludf.DUMMYFUNCTION("""COMPUTED_VALUE"""),22.0)</f>
        <v>22</v>
      </c>
      <c r="I3969" s="24" t="str">
        <f>IFERROR(__xludf.DUMMYFUNCTION("""COMPUTED_VALUE"""),"Regular (up to 20lbs)")</f>
        <v>Regular (up to 20lbs)</v>
      </c>
    </row>
    <row r="3970">
      <c r="A3970" s="23">
        <f>IFERROR(__xludf.DUMMYFUNCTION("""COMPUTED_VALUE"""),44876.0)</f>
        <v>44876</v>
      </c>
      <c r="B3970" s="24" t="str">
        <f>IFERROR(__xludf.DUMMYFUNCTION("""COMPUTED_VALUE"""),"Theresa Columbus")</f>
        <v>Theresa Columbus</v>
      </c>
      <c r="C3970" s="24">
        <f>IFERROR(__xludf.DUMMYFUNCTION("""COMPUTED_VALUE"""),17.0)</f>
        <v>17</v>
      </c>
      <c r="D3970" s="24" t="str">
        <f>IFERROR(__xludf.DUMMYFUNCTION("""COMPUTED_VALUE"""),"Damage/expired/extra")</f>
        <v>Damage/expired/extra</v>
      </c>
      <c r="F3970" s="23">
        <f>IFERROR(__xludf.DUMMYFUNCTION("""COMPUTED_VALUE"""),44898.24924754629)</f>
        <v>44898.24925</v>
      </c>
      <c r="G3970" s="24" t="str">
        <f>IFERROR(__xludf.DUMMYFUNCTION("""COMPUTED_VALUE"""),"Dorja ")</f>
        <v>Dorja </v>
      </c>
      <c r="H3970" s="24">
        <f>IFERROR(__xludf.DUMMYFUNCTION("""COMPUTED_VALUE"""),35.0)</f>
        <v>35</v>
      </c>
      <c r="I3970" s="24" t="str">
        <f>IFERROR(__xludf.DUMMYFUNCTION("""COMPUTED_VALUE"""),"Damage/expired/extra")</f>
        <v>Damage/expired/extra</v>
      </c>
    </row>
    <row r="3971">
      <c r="A3971" s="23">
        <f>IFERROR(__xludf.DUMMYFUNCTION("""COMPUTED_VALUE"""),44876.70177296296)</f>
        <v>44876.70177</v>
      </c>
      <c r="B3971" s="24" t="str">
        <f>IFERROR(__xludf.DUMMYFUNCTION("""COMPUTED_VALUE"""),"Sunita  pathik")</f>
        <v>Sunita  pathik</v>
      </c>
      <c r="C3971" s="24">
        <f>IFERROR(__xludf.DUMMYFUNCTION("""COMPUTED_VALUE"""),10.0)</f>
        <v>10</v>
      </c>
      <c r="D3971" s="24" t="str">
        <f>IFERROR(__xludf.DUMMYFUNCTION("""COMPUTED_VALUE"""),"Regular (up to 20lbs)")</f>
        <v>Regular (up to 20lbs)</v>
      </c>
      <c r="F3971" s="23">
        <f>IFERROR(__xludf.DUMMYFUNCTION("""COMPUTED_VALUE"""),44898.678899224535)</f>
        <v>44898.6789</v>
      </c>
      <c r="G3971" s="24" t="str">
        <f>IFERROR(__xludf.DUMMYFUNCTION("""COMPUTED_VALUE"""),"JUANITA Chandler ")</f>
        <v>JUANITA Chandler </v>
      </c>
      <c r="H3971" s="24">
        <f>IFERROR(__xludf.DUMMYFUNCTION("""COMPUTED_VALUE"""),1033.0)</f>
        <v>1033</v>
      </c>
      <c r="I3971" s="24" t="str">
        <f>IFERROR(__xludf.DUMMYFUNCTION("""COMPUTED_VALUE"""),"Dole Cup")</f>
        <v>Dole Cup</v>
      </c>
    </row>
    <row r="3972">
      <c r="A3972" s="23">
        <f>IFERROR(__xludf.DUMMYFUNCTION("""COMPUTED_VALUE"""),44876.71169148148)</f>
        <v>44876.71169</v>
      </c>
      <c r="B3972" s="24" t="str">
        <f>IFERROR(__xludf.DUMMYFUNCTION("""COMPUTED_VALUE"""),"Maria Reyes ")</f>
        <v>Maria Reyes </v>
      </c>
      <c r="C3972" s="24">
        <f>IFERROR(__xludf.DUMMYFUNCTION("""COMPUTED_VALUE"""),7.0)</f>
        <v>7</v>
      </c>
      <c r="D3972" s="24" t="str">
        <f>IFERROR(__xludf.DUMMYFUNCTION("""COMPUTED_VALUE"""),"Regular (up to 20lbs)")</f>
        <v>Regular (up to 20lbs)</v>
      </c>
      <c r="F3972" s="23">
        <f>IFERROR(__xludf.DUMMYFUNCTION("""COMPUTED_VALUE"""),44898.679337800924)</f>
        <v>44898.67934</v>
      </c>
      <c r="G3972" s="24" t="str">
        <f>IFERROR(__xludf.DUMMYFUNCTION("""COMPUTED_VALUE"""),"JUANITA Chandler ")</f>
        <v>JUANITA Chandler </v>
      </c>
      <c r="H3972" s="24">
        <f>IFERROR(__xludf.DUMMYFUNCTION("""COMPUTED_VALUE"""),218.0)</f>
        <v>218</v>
      </c>
      <c r="I3972" s="24" t="str">
        <f>IFERROR(__xludf.DUMMYFUNCTION("""COMPUTED_VALUE"""),"Snacks")</f>
        <v>Snacks</v>
      </c>
    </row>
    <row r="3973">
      <c r="A3973" s="23">
        <f>IFERROR(__xludf.DUMMYFUNCTION("""COMPUTED_VALUE"""),44876.71180515046)</f>
        <v>44876.71181</v>
      </c>
      <c r="B3973" s="24" t="str">
        <f>IFERROR(__xludf.DUMMYFUNCTION("""COMPUTED_VALUE"""),"Maria Reyes ")</f>
        <v>Maria Reyes </v>
      </c>
      <c r="C3973" s="24">
        <f>IFERROR(__xludf.DUMMYFUNCTION("""COMPUTED_VALUE"""),11.0)</f>
        <v>11</v>
      </c>
      <c r="D3973" s="24" t="str">
        <f>IFERROR(__xludf.DUMMYFUNCTION("""COMPUTED_VALUE"""),"Damage/expired/extra")</f>
        <v>Damage/expired/extra</v>
      </c>
      <c r="F3973" s="23">
        <f>IFERROR(__xludf.DUMMYFUNCTION("""COMPUTED_VALUE"""),44898.67987417824)</f>
        <v>44898.67987</v>
      </c>
      <c r="G3973" s="24" t="str">
        <f>IFERROR(__xludf.DUMMYFUNCTION("""COMPUTED_VALUE"""),"JUANITA Chandler ")</f>
        <v>JUANITA Chandler </v>
      </c>
      <c r="H3973" s="24">
        <f>IFERROR(__xludf.DUMMYFUNCTION("""COMPUTED_VALUE"""),592.0)</f>
        <v>592</v>
      </c>
      <c r="I3973" s="24" t="str">
        <f>IFERROR(__xludf.DUMMYFUNCTION("""COMPUTED_VALUE"""),"Drinks [Fridge]")</f>
        <v>Drinks [Fridge]</v>
      </c>
    </row>
    <row r="3974">
      <c r="A3974" s="23">
        <f>IFERROR(__xludf.DUMMYFUNCTION("""COMPUTED_VALUE"""),44877.0)</f>
        <v>44877</v>
      </c>
      <c r="B3974" s="24" t="str">
        <f>IFERROR(__xludf.DUMMYFUNCTION("""COMPUTED_VALUE"""),"Juanita Chandler ")</f>
        <v>Juanita Chandler </v>
      </c>
      <c r="C3974" s="24">
        <f>IFERROR(__xludf.DUMMYFUNCTION("""COMPUTED_VALUE"""),10.0)</f>
        <v>10</v>
      </c>
      <c r="D3974" s="24" t="str">
        <f>IFERROR(__xludf.DUMMYFUNCTION("""COMPUTED_VALUE"""),"Regular (up to 20lbs)")</f>
        <v>Regular (up to 20lbs)</v>
      </c>
      <c r="F3974" s="23">
        <f>IFERROR(__xludf.DUMMYFUNCTION("""COMPUTED_VALUE"""),44898.68044137731)</f>
        <v>44898.68044</v>
      </c>
      <c r="G3974" s="24" t="str">
        <f>IFERROR(__xludf.DUMMYFUNCTION("""COMPUTED_VALUE"""),"JUANITA Chandler ")</f>
        <v>JUANITA Chandler </v>
      </c>
      <c r="H3974" s="24">
        <f>IFERROR(__xludf.DUMMYFUNCTION("""COMPUTED_VALUE"""),1235.0)</f>
        <v>1235</v>
      </c>
      <c r="I3974" s="24" t="str">
        <f>IFERROR(__xludf.DUMMYFUNCTION("""COMPUTED_VALUE"""),"Drinks [Fridge]")</f>
        <v>Drinks [Fridge]</v>
      </c>
    </row>
    <row r="3975">
      <c r="A3975" s="23">
        <f>IFERROR(__xludf.DUMMYFUNCTION("""COMPUTED_VALUE"""),44877.0)</f>
        <v>44877</v>
      </c>
      <c r="B3975" s="24" t="str">
        <f>IFERROR(__xludf.DUMMYFUNCTION("""COMPUTED_VALUE"""),"Juanita Chandler ")</f>
        <v>Juanita Chandler </v>
      </c>
      <c r="C3975" s="24">
        <f>IFERROR(__xludf.DUMMYFUNCTION("""COMPUTED_VALUE"""),12.0)</f>
        <v>12</v>
      </c>
      <c r="D3975" s="24" t="str">
        <f>IFERROR(__xludf.DUMMYFUNCTION("""COMPUTED_VALUE"""),"Damage/expired/extra")</f>
        <v>Damage/expired/extra</v>
      </c>
      <c r="F3975" s="23">
        <f>IFERROR(__xludf.DUMMYFUNCTION("""COMPUTED_VALUE"""),44898.682927754635)</f>
        <v>44898.68293</v>
      </c>
      <c r="G3975" s="24" t="str">
        <f>IFERROR(__xludf.DUMMYFUNCTION("""COMPUTED_VALUE"""),"JUANITA Chandler ")</f>
        <v>JUANITA Chandler </v>
      </c>
      <c r="H3975" s="24">
        <f>IFERROR(__xludf.DUMMYFUNCTION("""COMPUTED_VALUE"""),108.0)</f>
        <v>108</v>
      </c>
      <c r="I3975" s="24" t="str">
        <f>IFERROR(__xludf.DUMMYFUNCTION("""COMPUTED_VALUE"""),"Gloves")</f>
        <v>Gloves</v>
      </c>
    </row>
    <row r="3976">
      <c r="A3976" s="23">
        <f>IFERROR(__xludf.DUMMYFUNCTION("""COMPUTED_VALUE"""),44877.0)</f>
        <v>44877</v>
      </c>
      <c r="B3976" s="24" t="str">
        <f>IFERROR(__xludf.DUMMYFUNCTION("""COMPUTED_VALUE"""),"Janet Lomax")</f>
        <v>Janet Lomax</v>
      </c>
      <c r="C3976" s="24">
        <f>IFERROR(__xludf.DUMMYFUNCTION("""COMPUTED_VALUE"""),20.0)</f>
        <v>20</v>
      </c>
      <c r="D3976" s="24" t="str">
        <f>IFERROR(__xludf.DUMMYFUNCTION("""COMPUTED_VALUE"""),"Regular (up to 20lbs)")</f>
        <v>Regular (up to 20lbs)</v>
      </c>
      <c r="F3976" s="23">
        <f>IFERROR(__xludf.DUMMYFUNCTION("""COMPUTED_VALUE"""),44898.68390960648)</f>
        <v>44898.68391</v>
      </c>
      <c r="G3976" s="24" t="str">
        <f>IFERROR(__xludf.DUMMYFUNCTION("""COMPUTED_VALUE"""),"JUANITA Chandler ")</f>
        <v>JUANITA Chandler </v>
      </c>
      <c r="H3976" s="24">
        <f>IFERROR(__xludf.DUMMYFUNCTION("""COMPUTED_VALUE"""),73.0)</f>
        <v>73</v>
      </c>
      <c r="I3976" s="24" t="str">
        <f>IFERROR(__xludf.DUMMYFUNCTION("""COMPUTED_VALUE"""),"Household")</f>
        <v>Household</v>
      </c>
    </row>
    <row r="3977">
      <c r="A3977" s="23">
        <f>IFERROR(__xludf.DUMMYFUNCTION("""COMPUTED_VALUE"""),44877.69207113426)</f>
        <v>44877.69207</v>
      </c>
      <c r="B3977" s="24" t="str">
        <f>IFERROR(__xludf.DUMMYFUNCTION("""COMPUTED_VALUE"""),"Nicolle diaz ")</f>
        <v>Nicolle diaz </v>
      </c>
      <c r="C3977" s="24">
        <f>IFERROR(__xludf.DUMMYFUNCTION("""COMPUTED_VALUE"""),20.0)</f>
        <v>20</v>
      </c>
      <c r="D3977" s="24" t="str">
        <f>IFERROR(__xludf.DUMMYFUNCTION("""COMPUTED_VALUE"""),"Regular (up to 20lbs)")</f>
        <v>Regular (up to 20lbs)</v>
      </c>
      <c r="F3977" s="23">
        <f>IFERROR(__xludf.DUMMYFUNCTION("""COMPUTED_VALUE"""),44898.68438233796)</f>
        <v>44898.68438</v>
      </c>
      <c r="G3977" s="24" t="str">
        <f>IFERROR(__xludf.DUMMYFUNCTION("""COMPUTED_VALUE"""),"JUANITA Chandler ")</f>
        <v>JUANITA Chandler </v>
      </c>
      <c r="H3977" s="24">
        <f>IFERROR(__xludf.DUMMYFUNCTION("""COMPUTED_VALUE"""),272.0)</f>
        <v>272</v>
      </c>
      <c r="I3977" s="24" t="str">
        <f>IFERROR(__xludf.DUMMYFUNCTION("""COMPUTED_VALUE"""),"Produce")</f>
        <v>Produce</v>
      </c>
    </row>
    <row r="3978">
      <c r="A3978" s="23">
        <f>IFERROR(__xludf.DUMMYFUNCTION("""COMPUTED_VALUE"""),44877.69610643518)</f>
        <v>44877.69611</v>
      </c>
      <c r="B3978" s="24" t="str">
        <f>IFERROR(__xludf.DUMMYFUNCTION("""COMPUTED_VALUE"""),"Diego Trafton")</f>
        <v>Diego Trafton</v>
      </c>
      <c r="C3978" s="24">
        <f>IFERROR(__xludf.DUMMYFUNCTION("""COMPUTED_VALUE"""),8.0)</f>
        <v>8</v>
      </c>
      <c r="D3978" s="24" t="str">
        <f>IFERROR(__xludf.DUMMYFUNCTION("""COMPUTED_VALUE"""),"Regular (up to 20lbs)")</f>
        <v>Regular (up to 20lbs)</v>
      </c>
      <c r="F3978" s="23">
        <f>IFERROR(__xludf.DUMMYFUNCTION("""COMPUTED_VALUE"""),44898.685681863426)</f>
        <v>44898.68568</v>
      </c>
      <c r="G3978" s="24" t="str">
        <f>IFERROR(__xludf.DUMMYFUNCTION("""COMPUTED_VALUE"""),"JUANITA Chandler ")</f>
        <v>JUANITA Chandler </v>
      </c>
      <c r="H3978" s="24">
        <f>IFERROR(__xludf.DUMMYFUNCTION("""COMPUTED_VALUE"""),446.0)</f>
        <v>446</v>
      </c>
      <c r="I3978" s="24" t="str">
        <f>IFERROR(__xludf.DUMMYFUNCTION("""COMPUTED_VALUE"""),"Frozen [Not Meat]")</f>
        <v>Frozen [Not Meat]</v>
      </c>
    </row>
    <row r="3979">
      <c r="A3979" s="23">
        <f>IFERROR(__xludf.DUMMYFUNCTION("""COMPUTED_VALUE"""),44877.69657121528)</f>
        <v>44877.69657</v>
      </c>
      <c r="B3979" s="24" t="str">
        <f>IFERROR(__xludf.DUMMYFUNCTION("""COMPUTED_VALUE"""),"Rawan Elshobaky ")</f>
        <v>Rawan Elshobaky </v>
      </c>
      <c r="C3979" s="24">
        <f>IFERROR(__xludf.DUMMYFUNCTION("""COMPUTED_VALUE"""),8.0)</f>
        <v>8</v>
      </c>
      <c r="D3979" s="24" t="str">
        <f>IFERROR(__xludf.DUMMYFUNCTION("""COMPUTED_VALUE"""),"Regular (up to 20lbs)")</f>
        <v>Regular (up to 20lbs)</v>
      </c>
      <c r="F3979" s="23">
        <f>IFERROR(__xludf.DUMMYFUNCTION("""COMPUTED_VALUE"""),44898.68780194444)</f>
        <v>44898.6878</v>
      </c>
      <c r="G3979" s="24" t="str">
        <f>IFERROR(__xludf.DUMMYFUNCTION("""COMPUTED_VALUE"""),"JUANITA Chandler ")</f>
        <v>JUANITA Chandler </v>
      </c>
      <c r="H3979" s="24">
        <f>IFERROR(__xludf.DUMMYFUNCTION("""COMPUTED_VALUE"""),261.0)</f>
        <v>261</v>
      </c>
      <c r="I3979" s="24" t="str">
        <f>IFERROR(__xludf.DUMMYFUNCTION("""COMPUTED_VALUE"""),"Meat [Raw]")</f>
        <v>Meat [Raw]</v>
      </c>
    </row>
    <row r="3980">
      <c r="A3980" s="23">
        <f>IFERROR(__xludf.DUMMYFUNCTION("""COMPUTED_VALUE"""),44877.6974578125)</f>
        <v>44877.69746</v>
      </c>
      <c r="B3980" s="24" t="str">
        <f>IFERROR(__xludf.DUMMYFUNCTION("""COMPUTED_VALUE"""),"Justin Zhong")</f>
        <v>Justin Zhong</v>
      </c>
      <c r="C3980" s="24">
        <f>IFERROR(__xludf.DUMMYFUNCTION("""COMPUTED_VALUE"""),8.0)</f>
        <v>8</v>
      </c>
      <c r="D3980" s="24" t="str">
        <f>IFERROR(__xludf.DUMMYFUNCTION("""COMPUTED_VALUE"""),"Regular (up to 20lbs)")</f>
        <v>Regular (up to 20lbs)</v>
      </c>
      <c r="F3980" s="23">
        <f>IFERROR(__xludf.DUMMYFUNCTION("""COMPUTED_VALUE"""),44898.68828747685)</f>
        <v>44898.68829</v>
      </c>
      <c r="G3980" s="24" t="str">
        <f>IFERROR(__xludf.DUMMYFUNCTION("""COMPUTED_VALUE"""),"JUANITA Chandler ")</f>
        <v>JUANITA Chandler </v>
      </c>
      <c r="H3980" s="24">
        <f>IFERROR(__xludf.DUMMYFUNCTION("""COMPUTED_VALUE"""),219.0)</f>
        <v>219</v>
      </c>
      <c r="I3980" s="24" t="str">
        <f>IFERROR(__xludf.DUMMYFUNCTION("""COMPUTED_VALUE"""),"Dairy")</f>
        <v>Dairy</v>
      </c>
    </row>
    <row r="3981">
      <c r="A3981" s="23">
        <f>IFERROR(__xludf.DUMMYFUNCTION("""COMPUTED_VALUE"""),44877.69830832176)</f>
        <v>44877.69831</v>
      </c>
      <c r="B3981" s="24" t="str">
        <f>IFERROR(__xludf.DUMMYFUNCTION("""COMPUTED_VALUE"""),"Emily Ma")</f>
        <v>Emily Ma</v>
      </c>
      <c r="C3981" s="24">
        <f>IFERROR(__xludf.DUMMYFUNCTION("""COMPUTED_VALUE"""),8.0)</f>
        <v>8</v>
      </c>
      <c r="D3981" s="24" t="str">
        <f>IFERROR(__xludf.DUMMYFUNCTION("""COMPUTED_VALUE"""),"Regular (up to 20lbs)")</f>
        <v>Regular (up to 20lbs)</v>
      </c>
      <c r="F3981" s="23">
        <f>IFERROR(__xludf.DUMMYFUNCTION("""COMPUTED_VALUE"""),44898.688792256944)</f>
        <v>44898.68879</v>
      </c>
      <c r="G3981" s="24" t="str">
        <f>IFERROR(__xludf.DUMMYFUNCTION("""COMPUTED_VALUE"""),"JUANITA Chandler ")</f>
        <v>JUANITA Chandler </v>
      </c>
      <c r="H3981" s="24">
        <f>IFERROR(__xludf.DUMMYFUNCTION("""COMPUTED_VALUE"""),190.0)</f>
        <v>190</v>
      </c>
      <c r="I3981" s="24" t="str">
        <f>IFERROR(__xludf.DUMMYFUNCTION("""COMPUTED_VALUE"""),"Produce")</f>
        <v>Produce</v>
      </c>
    </row>
    <row r="3982">
      <c r="A3982" s="23">
        <f>IFERROR(__xludf.DUMMYFUNCTION("""COMPUTED_VALUE"""),44877.69843686343)</f>
        <v>44877.69844</v>
      </c>
      <c r="B3982" s="24" t="str">
        <f>IFERROR(__xludf.DUMMYFUNCTION("""COMPUTED_VALUE"""),"Emily Ma")</f>
        <v>Emily Ma</v>
      </c>
      <c r="C3982" s="24">
        <f>IFERROR(__xludf.DUMMYFUNCTION("""COMPUTED_VALUE"""),6.0)</f>
        <v>6</v>
      </c>
      <c r="D3982" s="24" t="str">
        <f>IFERROR(__xludf.DUMMYFUNCTION("""COMPUTED_VALUE"""),"Damage/expired/extra")</f>
        <v>Damage/expired/extra</v>
      </c>
      <c r="F3982" s="23">
        <f>IFERROR(__xludf.DUMMYFUNCTION("""COMPUTED_VALUE"""),44898.69018111111)</f>
        <v>44898.69018</v>
      </c>
      <c r="G3982" s="24" t="str">
        <f>IFERROR(__xludf.DUMMYFUNCTION("""COMPUTED_VALUE"""),"JUANITA Chandler ")</f>
        <v>JUANITA Chandler </v>
      </c>
      <c r="H3982" s="24">
        <f>IFERROR(__xludf.DUMMYFUNCTION("""COMPUTED_VALUE"""),477.0)</f>
        <v>477</v>
      </c>
      <c r="I3982" s="24" t="str">
        <f>IFERROR(__xludf.DUMMYFUNCTION("""COMPUTED_VALUE"""),"Assorted Fridge")</f>
        <v>Assorted Fridge</v>
      </c>
    </row>
    <row r="3983">
      <c r="A3983" s="23">
        <f>IFERROR(__xludf.DUMMYFUNCTION("""COMPUTED_VALUE"""),44877.6988264699)</f>
        <v>44877.69883</v>
      </c>
      <c r="B3983" s="24" t="str">
        <f>IFERROR(__xludf.DUMMYFUNCTION("""COMPUTED_VALUE"""),"nathan so")</f>
        <v>nathan so</v>
      </c>
      <c r="C3983" s="24">
        <f>IFERROR(__xludf.DUMMYFUNCTION("""COMPUTED_VALUE"""),12.0)</f>
        <v>12</v>
      </c>
      <c r="D3983" s="24" t="str">
        <f>IFERROR(__xludf.DUMMYFUNCTION("""COMPUTED_VALUE"""),"Regular (up to 20lbs)")</f>
        <v>Regular (up to 20lbs)</v>
      </c>
      <c r="F3983" s="23">
        <f>IFERROR(__xludf.DUMMYFUNCTION("""COMPUTED_VALUE"""),44898.69112121528)</f>
        <v>44898.69112</v>
      </c>
      <c r="G3983" s="24" t="str">
        <f>IFERROR(__xludf.DUMMYFUNCTION("""COMPUTED_VALUE"""),"JUANITA Chandler ")</f>
        <v>JUANITA Chandler </v>
      </c>
      <c r="H3983" s="24">
        <f>IFERROR(__xludf.DUMMYFUNCTION("""COMPUTED_VALUE"""),-464.0)</f>
        <v>-464</v>
      </c>
      <c r="I3983" s="24" t="str">
        <f>IFERROR(__xludf.DUMMYFUNCTION("""COMPUTED_VALUE"""),"Dole Fruit Cup ")</f>
        <v>Dole Fruit Cup </v>
      </c>
    </row>
    <row r="3984">
      <c r="A3984" s="23">
        <f>IFERROR(__xludf.DUMMYFUNCTION("""COMPUTED_VALUE"""),44877.69918768519)</f>
        <v>44877.69919</v>
      </c>
      <c r="B3984" s="24" t="str">
        <f>IFERROR(__xludf.DUMMYFUNCTION("""COMPUTED_VALUE"""),"Tiffany Jiang")</f>
        <v>Tiffany Jiang</v>
      </c>
      <c r="C3984" s="24">
        <f>IFERROR(__xludf.DUMMYFUNCTION("""COMPUTED_VALUE"""),10.0)</f>
        <v>10</v>
      </c>
      <c r="D3984" s="24" t="str">
        <f>IFERROR(__xludf.DUMMYFUNCTION("""COMPUTED_VALUE"""),"Regular (up to 20lbs)")</f>
        <v>Regular (up to 20lbs)</v>
      </c>
      <c r="F3984" s="23">
        <f>IFERROR(__xludf.DUMMYFUNCTION("""COMPUTED_VALUE"""),44898.69197833333)</f>
        <v>44898.69198</v>
      </c>
      <c r="G3984" s="24" t="str">
        <f>IFERROR(__xludf.DUMMYFUNCTION("""COMPUTED_VALUE"""),"JUANITA Chandler ")</f>
        <v>JUANITA Chandler </v>
      </c>
      <c r="H3984" s="24">
        <f>IFERROR(__xludf.DUMMYFUNCTION("""COMPUTED_VALUE"""),-366.0)</f>
        <v>-366</v>
      </c>
      <c r="I3984" s="24" t="str">
        <f>IFERROR(__xludf.DUMMYFUNCTION("""COMPUTED_VALUE"""),"Produce &amp; Drinks")</f>
        <v>Produce &amp; Drinks</v>
      </c>
    </row>
    <row r="3985">
      <c r="A3985" s="23">
        <f>IFERROR(__xludf.DUMMYFUNCTION("""COMPUTED_VALUE"""),44877.699824537034)</f>
        <v>44877.69982</v>
      </c>
      <c r="B3985" s="24" t="str">
        <f>IFERROR(__xludf.DUMMYFUNCTION("""COMPUTED_VALUE"""),"Sahmya Lake")</f>
        <v>Sahmya Lake</v>
      </c>
      <c r="C3985" s="24">
        <f>IFERROR(__xludf.DUMMYFUNCTION("""COMPUTED_VALUE"""),12.0)</f>
        <v>12</v>
      </c>
      <c r="D3985" s="24" t="str">
        <f>IFERROR(__xludf.DUMMYFUNCTION("""COMPUTED_VALUE"""),"Regular (up to 20lbs)")</f>
        <v>Regular (up to 20lbs)</v>
      </c>
      <c r="F3985" s="23">
        <f>IFERROR(__xludf.DUMMYFUNCTION("""COMPUTED_VALUE"""),44898.69309861112)</f>
        <v>44898.6931</v>
      </c>
      <c r="G3985" s="24" t="str">
        <f>IFERROR(__xludf.DUMMYFUNCTION("""COMPUTED_VALUE"""),"JUANITA Chandler ")</f>
        <v>JUANITA Chandler </v>
      </c>
      <c r="H3985" s="24">
        <f>IFERROR(__xludf.DUMMYFUNCTION("""COMPUTED_VALUE"""),-52.0)</f>
        <v>-52</v>
      </c>
      <c r="I3985" s="24" t="str">
        <f>IFERROR(__xludf.DUMMYFUNCTION("""COMPUTED_VALUE"""),"Meat [Raw]")</f>
        <v>Meat [Raw]</v>
      </c>
    </row>
    <row r="3986">
      <c r="A3986" s="23">
        <f>IFERROR(__xludf.DUMMYFUNCTION("""COMPUTED_VALUE"""),44877.0)</f>
        <v>44877</v>
      </c>
      <c r="B3986" s="24" t="str">
        <f>IFERROR(__xludf.DUMMYFUNCTION("""COMPUTED_VALUE"""),"Sahmya Lake")</f>
        <v>Sahmya Lake</v>
      </c>
      <c r="C3986" s="24">
        <f>IFERROR(__xludf.DUMMYFUNCTION("""COMPUTED_VALUE"""),7.0)</f>
        <v>7</v>
      </c>
      <c r="D3986" s="24" t="str">
        <f>IFERROR(__xludf.DUMMYFUNCTION("""COMPUTED_VALUE"""),"Damage/expired/extra")</f>
        <v>Damage/expired/extra</v>
      </c>
      <c r="F3986" s="23">
        <f>IFERROR(__xludf.DUMMYFUNCTION("""COMPUTED_VALUE"""),44898.69375741898)</f>
        <v>44898.69376</v>
      </c>
      <c r="G3986" s="24" t="str">
        <f>IFERROR(__xludf.DUMMYFUNCTION("""COMPUTED_VALUE"""),"JUANITA Chandler ")</f>
        <v>JUANITA Chandler </v>
      </c>
      <c r="H3986" s="24">
        <f>IFERROR(__xludf.DUMMYFUNCTION("""COMPUTED_VALUE"""),-54.0)</f>
        <v>-54</v>
      </c>
      <c r="I3986" s="24" t="str">
        <f>IFERROR(__xludf.DUMMYFUNCTION("""COMPUTED_VALUE"""),"Frozen [Not Meat]")</f>
        <v>Frozen [Not Meat]</v>
      </c>
    </row>
    <row r="3987">
      <c r="A3987" s="23">
        <f>IFERROR(__xludf.DUMMYFUNCTION("""COMPUTED_VALUE"""),44877.70077726852)</f>
        <v>44877.70078</v>
      </c>
      <c r="B3987" s="24" t="str">
        <f>IFERROR(__xludf.DUMMYFUNCTION("""COMPUTED_VALUE"""),"Shuwonjah Jeffrey ")</f>
        <v>Shuwonjah Jeffrey </v>
      </c>
      <c r="C3987" s="24">
        <f>IFERROR(__xludf.DUMMYFUNCTION("""COMPUTED_VALUE"""),35.0)</f>
        <v>35</v>
      </c>
      <c r="D3987" s="24" t="str">
        <f>IFERROR(__xludf.DUMMYFUNCTION("""COMPUTED_VALUE"""),"Regular (up to 20lbs)")</f>
        <v>Regular (up to 20lbs)</v>
      </c>
      <c r="F3987" s="23">
        <f>IFERROR(__xludf.DUMMYFUNCTION("""COMPUTED_VALUE"""),44898.69435398148)</f>
        <v>44898.69435</v>
      </c>
      <c r="G3987" s="24" t="str">
        <f>IFERROR(__xludf.DUMMYFUNCTION("""COMPUTED_VALUE"""),"JUANITA Chandler ")</f>
        <v>JUANITA Chandler </v>
      </c>
      <c r="H3987" s="24">
        <f>IFERROR(__xludf.DUMMYFUNCTION("""COMPUTED_VALUE"""),-681.0)</f>
        <v>-681</v>
      </c>
      <c r="I3987" s="24" t="str">
        <f>IFERROR(__xludf.DUMMYFUNCTION("""COMPUTED_VALUE"""),"Dole ")</f>
        <v>Dole </v>
      </c>
    </row>
    <row r="3988">
      <c r="A3988" s="23">
        <f>IFERROR(__xludf.DUMMYFUNCTION("""COMPUTED_VALUE"""),44877.70157765046)</f>
        <v>44877.70158</v>
      </c>
      <c r="B3988" s="24" t="str">
        <f>IFERROR(__xludf.DUMMYFUNCTION("""COMPUTED_VALUE"""),"Thomas aloisi")</f>
        <v>Thomas aloisi</v>
      </c>
      <c r="C3988" s="24">
        <f>IFERROR(__xludf.DUMMYFUNCTION("""COMPUTED_VALUE"""),16.0)</f>
        <v>16</v>
      </c>
      <c r="D3988" s="24" t="str">
        <f>IFERROR(__xludf.DUMMYFUNCTION("""COMPUTED_VALUE"""),"Regular (up to 20lbs)")</f>
        <v>Regular (up to 20lbs)</v>
      </c>
      <c r="F3988" s="23">
        <f>IFERROR(__xludf.DUMMYFUNCTION("""COMPUTED_VALUE"""),44898.69548483796)</f>
        <v>44898.69548</v>
      </c>
      <c r="G3988" s="24" t="str">
        <f>IFERROR(__xludf.DUMMYFUNCTION("""COMPUTED_VALUE"""),"JUANITA Chandler ")</f>
        <v>JUANITA Chandler </v>
      </c>
      <c r="H3988" s="24">
        <f>IFERROR(__xludf.DUMMYFUNCTION("""COMPUTED_VALUE"""),-100.0)</f>
        <v>-100</v>
      </c>
      <c r="I3988" s="24" t="str">
        <f>IFERROR(__xludf.DUMMYFUNCTION("""COMPUTED_VALUE"""),"Produce")</f>
        <v>Produce</v>
      </c>
    </row>
    <row r="3989">
      <c r="A3989" s="23">
        <f>IFERROR(__xludf.DUMMYFUNCTION("""COMPUTED_VALUE"""),44877.701861898146)</f>
        <v>44877.70186</v>
      </c>
      <c r="B3989" s="24" t="str">
        <f>IFERROR(__xludf.DUMMYFUNCTION("""COMPUTED_VALUE"""),"Thomas aloisi")</f>
        <v>Thomas aloisi</v>
      </c>
      <c r="C3989" s="24">
        <f>IFERROR(__xludf.DUMMYFUNCTION("""COMPUTED_VALUE"""),3.0)</f>
        <v>3</v>
      </c>
      <c r="D3989" s="24" t="str">
        <f>IFERROR(__xludf.DUMMYFUNCTION("""COMPUTED_VALUE"""),"Damage/expired/extra")</f>
        <v>Damage/expired/extra</v>
      </c>
      <c r="F3989" s="23">
        <f>IFERROR(__xludf.DUMMYFUNCTION("""COMPUTED_VALUE"""),44898.69604385417)</f>
        <v>44898.69604</v>
      </c>
      <c r="G3989" s="24" t="str">
        <f>IFERROR(__xludf.DUMMYFUNCTION("""COMPUTED_VALUE"""),"JUANITA Chandler ")</f>
        <v>JUANITA Chandler </v>
      </c>
      <c r="H3989" s="24">
        <f>IFERROR(__xludf.DUMMYFUNCTION("""COMPUTED_VALUE"""),-409.0)</f>
        <v>-409</v>
      </c>
      <c r="I3989" s="24" t="str">
        <f>IFERROR(__xludf.DUMMYFUNCTION("""COMPUTED_VALUE"""),"Drinks [Fridge]")</f>
        <v>Drinks [Fridge]</v>
      </c>
    </row>
    <row r="3990">
      <c r="A3990" s="23">
        <f>IFERROR(__xludf.DUMMYFUNCTION("""COMPUTED_VALUE"""),44877.70212226852)</f>
        <v>44877.70212</v>
      </c>
      <c r="B3990" s="24" t="str">
        <f>IFERROR(__xludf.DUMMYFUNCTION("""COMPUTED_VALUE"""),"Nakia Bailey")</f>
        <v>Nakia Bailey</v>
      </c>
      <c r="C3990" s="24">
        <f>IFERROR(__xludf.DUMMYFUNCTION("""COMPUTED_VALUE"""),20.0)</f>
        <v>20</v>
      </c>
      <c r="D3990" s="24" t="str">
        <f>IFERROR(__xludf.DUMMYFUNCTION("""COMPUTED_VALUE"""),"Regular (up to 20lbs)")</f>
        <v>Regular (up to 20lbs)</v>
      </c>
      <c r="F3990" s="23">
        <f>IFERROR(__xludf.DUMMYFUNCTION("""COMPUTED_VALUE"""),44898.70153043982)</f>
        <v>44898.70153</v>
      </c>
      <c r="G3990" s="24" t="str">
        <f>IFERROR(__xludf.DUMMYFUNCTION("""COMPUTED_VALUE"""),"Claire")</f>
        <v>Claire</v>
      </c>
      <c r="H3990" s="24">
        <f>IFERROR(__xludf.DUMMYFUNCTION("""COMPUTED_VALUE"""),-52.0)</f>
        <v>-52</v>
      </c>
      <c r="I3990" s="24" t="str">
        <f>IFERROR(__xludf.DUMMYFUNCTION("""COMPUTED_VALUE"""),"Snacks")</f>
        <v>Snacks</v>
      </c>
    </row>
    <row r="3991">
      <c r="A3991" s="23">
        <f>IFERROR(__xludf.DUMMYFUNCTION("""COMPUTED_VALUE"""),44877.70231541667)</f>
        <v>44877.70232</v>
      </c>
      <c r="B3991" s="24" t="str">
        <f>IFERROR(__xludf.DUMMYFUNCTION("""COMPUTED_VALUE"""),"Kevin mischka")</f>
        <v>Kevin mischka</v>
      </c>
      <c r="C3991" s="24">
        <f>IFERROR(__xludf.DUMMYFUNCTION("""COMPUTED_VALUE"""),20.0)</f>
        <v>20</v>
      </c>
      <c r="D3991" s="24" t="str">
        <f>IFERROR(__xludf.DUMMYFUNCTION("""COMPUTED_VALUE"""),"Regular (up to 20lbs)")</f>
        <v>Regular (up to 20lbs)</v>
      </c>
      <c r="F3991" s="23">
        <f>IFERROR(__xludf.DUMMYFUNCTION("""COMPUTED_VALUE"""),44898.70299472222)</f>
        <v>44898.70299</v>
      </c>
      <c r="G3991" s="24" t="str">
        <f>IFERROR(__xludf.DUMMYFUNCTION("""COMPUTED_VALUE"""),"Claire")</f>
        <v>Claire</v>
      </c>
      <c r="H3991" s="24">
        <f>IFERROR(__xludf.DUMMYFUNCTION("""COMPUTED_VALUE"""),-102.0)</f>
        <v>-102</v>
      </c>
      <c r="I3991" s="24" t="str">
        <f>IFERROR(__xludf.DUMMYFUNCTION("""COMPUTED_VALUE"""),"Snacks")</f>
        <v>Snacks</v>
      </c>
    </row>
    <row r="3992">
      <c r="A3992" s="23">
        <f>IFERROR(__xludf.DUMMYFUNCTION("""COMPUTED_VALUE"""),44877.70235097222)</f>
        <v>44877.70235</v>
      </c>
      <c r="B3992" s="24" t="str">
        <f>IFERROR(__xludf.DUMMYFUNCTION("""COMPUTED_VALUE"""),"Nakia Bailey")</f>
        <v>Nakia Bailey</v>
      </c>
      <c r="C3992" s="24">
        <f>IFERROR(__xludf.DUMMYFUNCTION("""COMPUTED_VALUE"""),11.0)</f>
        <v>11</v>
      </c>
      <c r="D3992" s="24" t="str">
        <f>IFERROR(__xludf.DUMMYFUNCTION("""COMPUTED_VALUE"""),"Damage/expired/extra")</f>
        <v>Damage/expired/extra</v>
      </c>
      <c r="F3992" s="23">
        <f>IFERROR(__xludf.DUMMYFUNCTION("""COMPUTED_VALUE"""),44898.70845907408)</f>
        <v>44898.70846</v>
      </c>
      <c r="G3992" s="24" t="str">
        <f>IFERROR(__xludf.DUMMYFUNCTION("""COMPUTED_VALUE"""),"Daniel Jin")</f>
        <v>Daniel Jin</v>
      </c>
      <c r="H3992" s="24">
        <f>IFERROR(__xludf.DUMMYFUNCTION("""COMPUTED_VALUE"""),10.0)</f>
        <v>10</v>
      </c>
      <c r="I3992" s="24" t="str">
        <f>IFERROR(__xludf.DUMMYFUNCTION("""COMPUTED_VALUE"""),"Regular (up to 20lbs)")</f>
        <v>Regular (up to 20lbs)</v>
      </c>
    </row>
    <row r="3993">
      <c r="A3993" s="23">
        <f>IFERROR(__xludf.DUMMYFUNCTION("""COMPUTED_VALUE"""),44877.70258856481)</f>
        <v>44877.70259</v>
      </c>
      <c r="B3993" s="24" t="str">
        <f>IFERROR(__xludf.DUMMYFUNCTION("""COMPUTED_VALUE"""),"Kevin Mischka")</f>
        <v>Kevin Mischka</v>
      </c>
      <c r="C3993" s="24">
        <f>IFERROR(__xludf.DUMMYFUNCTION("""COMPUTED_VALUE"""),6.0)</f>
        <v>6</v>
      </c>
      <c r="D3993" s="24" t="str">
        <f>IFERROR(__xludf.DUMMYFUNCTION("""COMPUTED_VALUE"""),"Damage/expired/extra")</f>
        <v>Damage/expired/extra</v>
      </c>
      <c r="F3993" s="23">
        <f>IFERROR(__xludf.DUMMYFUNCTION("""COMPUTED_VALUE"""),44898.70858770834)</f>
        <v>44898.70859</v>
      </c>
      <c r="G3993" s="24" t="str">
        <f>IFERROR(__xludf.DUMMYFUNCTION("""COMPUTED_VALUE"""),"Daniel Jin")</f>
        <v>Daniel Jin</v>
      </c>
      <c r="H3993" s="24">
        <f>IFERROR(__xludf.DUMMYFUNCTION("""COMPUTED_VALUE"""),3.0)</f>
        <v>3</v>
      </c>
      <c r="I3993" s="24" t="str">
        <f>IFERROR(__xludf.DUMMYFUNCTION("""COMPUTED_VALUE"""),"Damage/expired/extra")</f>
        <v>Damage/expired/extra</v>
      </c>
    </row>
    <row r="3994">
      <c r="A3994" s="23">
        <f>IFERROR(__xludf.DUMMYFUNCTION("""COMPUTED_VALUE"""),44877.705036666666)</f>
        <v>44877.70504</v>
      </c>
      <c r="B3994" s="24" t="str">
        <f>IFERROR(__xludf.DUMMYFUNCTION("""COMPUTED_VALUE"""),"Nevaeh Christy ")</f>
        <v>Nevaeh Christy </v>
      </c>
      <c r="C3994" s="24">
        <f>IFERROR(__xludf.DUMMYFUNCTION("""COMPUTED_VALUE"""),20.0)</f>
        <v>20</v>
      </c>
      <c r="D3994" s="24" t="str">
        <f>IFERROR(__xludf.DUMMYFUNCTION("""COMPUTED_VALUE"""),"Regular (up to 20lbs)")</f>
        <v>Regular (up to 20lbs)</v>
      </c>
      <c r="F3994" s="23">
        <f>IFERROR(__xludf.DUMMYFUNCTION("""COMPUTED_VALUE"""),44898.70890042824)</f>
        <v>44898.7089</v>
      </c>
      <c r="G3994" s="24" t="str">
        <f>IFERROR(__xludf.DUMMYFUNCTION("""COMPUTED_VALUE"""),"Justin Zhong")</f>
        <v>Justin Zhong</v>
      </c>
      <c r="H3994" s="24">
        <f>IFERROR(__xludf.DUMMYFUNCTION("""COMPUTED_VALUE"""),18.0)</f>
        <v>18</v>
      </c>
      <c r="I3994" s="24" t="str">
        <f>IFERROR(__xludf.DUMMYFUNCTION("""COMPUTED_VALUE"""),"Regular (up to 20lbs)")</f>
        <v>Regular (up to 20lbs)</v>
      </c>
    </row>
    <row r="3995">
      <c r="A3995" s="23">
        <f>IFERROR(__xludf.DUMMYFUNCTION("""COMPUTED_VALUE"""),44877.70565780093)</f>
        <v>44877.70566</v>
      </c>
      <c r="B3995" s="24" t="str">
        <f>IFERROR(__xludf.DUMMYFUNCTION("""COMPUTED_VALUE"""),"Sanaa Beck")</f>
        <v>Sanaa Beck</v>
      </c>
      <c r="C3995" s="24">
        <f>IFERROR(__xludf.DUMMYFUNCTION("""COMPUTED_VALUE"""),20.0)</f>
        <v>20</v>
      </c>
      <c r="D3995" s="24" t="str">
        <f>IFERROR(__xludf.DUMMYFUNCTION("""COMPUTED_VALUE"""),"Regular (up to 20lbs)")</f>
        <v>Regular (up to 20lbs)</v>
      </c>
      <c r="F3995" s="23">
        <f>IFERROR(__xludf.DUMMYFUNCTION("""COMPUTED_VALUE"""),44898.70995361111)</f>
        <v>44898.70995</v>
      </c>
      <c r="G3995" s="24" t="str">
        <f>IFERROR(__xludf.DUMMYFUNCTION("""COMPUTED_VALUE"""),"elena porras")</f>
        <v>elena porras</v>
      </c>
      <c r="H3995" s="24">
        <f>IFERROR(__xludf.DUMMYFUNCTION("""COMPUTED_VALUE"""),5.0)</f>
        <v>5</v>
      </c>
      <c r="I3995" s="24" t="str">
        <f>IFERROR(__xludf.DUMMYFUNCTION("""COMPUTED_VALUE"""),"Regular (up to 20lbs)")</f>
        <v>Regular (up to 20lbs)</v>
      </c>
    </row>
    <row r="3996">
      <c r="A3996" s="23">
        <f>IFERROR(__xludf.DUMMYFUNCTION("""COMPUTED_VALUE"""),44877.70591278935)</f>
        <v>44877.70591</v>
      </c>
      <c r="B3996" s="24" t="str">
        <f>IFERROR(__xludf.DUMMYFUNCTION("""COMPUTED_VALUE"""),"Nevaeh Christy ")</f>
        <v>Nevaeh Christy </v>
      </c>
      <c r="C3996" s="24">
        <f>IFERROR(__xludf.DUMMYFUNCTION("""COMPUTED_VALUE"""),3.0)</f>
        <v>3</v>
      </c>
      <c r="D3996" s="24" t="str">
        <f>IFERROR(__xludf.DUMMYFUNCTION("""COMPUTED_VALUE"""),"Damage/expired/extra")</f>
        <v>Damage/expired/extra</v>
      </c>
      <c r="F3996" s="23">
        <f>IFERROR(__xludf.DUMMYFUNCTION("""COMPUTED_VALUE"""),44898.710074305556)</f>
        <v>44898.71007</v>
      </c>
      <c r="G3996" s="24" t="str">
        <f>IFERROR(__xludf.DUMMYFUNCTION("""COMPUTED_VALUE"""),"jonyce bland ")</f>
        <v>jonyce bland </v>
      </c>
      <c r="H3996" s="24">
        <f>IFERROR(__xludf.DUMMYFUNCTION("""COMPUTED_VALUE"""),10.0)</f>
        <v>10</v>
      </c>
      <c r="I3996" s="24" t="str">
        <f>IFERROR(__xludf.DUMMYFUNCTION("""COMPUTED_VALUE"""),"Regular (up to 20lbs)")</f>
        <v>Regular (up to 20lbs)</v>
      </c>
    </row>
    <row r="3997">
      <c r="A3997" s="23">
        <f>IFERROR(__xludf.DUMMYFUNCTION("""COMPUTED_VALUE"""),44877.70592934028)</f>
        <v>44877.70593</v>
      </c>
      <c r="B3997" s="24" t="str">
        <f>IFERROR(__xludf.DUMMYFUNCTION("""COMPUTED_VALUE"""),"Sanaa Bec")</f>
        <v>Sanaa Bec</v>
      </c>
      <c r="C3997" s="24">
        <f>IFERROR(__xludf.DUMMYFUNCTION("""COMPUTED_VALUE"""),4.0)</f>
        <v>4</v>
      </c>
      <c r="D3997" s="24" t="str">
        <f>IFERROR(__xludf.DUMMYFUNCTION("""COMPUTED_VALUE"""),"Damage/expired/extra")</f>
        <v>Damage/expired/extra</v>
      </c>
      <c r="F3997" s="23">
        <f>IFERROR(__xludf.DUMMYFUNCTION("""COMPUTED_VALUE"""),44898.71010493056)</f>
        <v>44898.7101</v>
      </c>
      <c r="G3997" s="24" t="str">
        <f>IFERROR(__xludf.DUMMYFUNCTION("""COMPUTED_VALUE"""),"Elena porras ")</f>
        <v>Elena porras </v>
      </c>
      <c r="H3997" s="24">
        <f>IFERROR(__xludf.DUMMYFUNCTION("""COMPUTED_VALUE"""),6.0)</f>
        <v>6</v>
      </c>
      <c r="I3997" s="24" t="str">
        <f>IFERROR(__xludf.DUMMYFUNCTION("""COMPUTED_VALUE"""),"Damage/expired/extra")</f>
        <v>Damage/expired/extra</v>
      </c>
    </row>
    <row r="3998">
      <c r="A3998" s="23">
        <f>IFERROR(__xludf.DUMMYFUNCTION("""COMPUTED_VALUE"""),44877.70624633102)</f>
        <v>44877.70625</v>
      </c>
      <c r="B3998" s="24" t="str">
        <f>IFERROR(__xludf.DUMMYFUNCTION("""COMPUTED_VALUE"""),"Emily Stucke")</f>
        <v>Emily Stucke</v>
      </c>
      <c r="C3998" s="24">
        <f>IFERROR(__xludf.DUMMYFUNCTION("""COMPUTED_VALUE"""),12.0)</f>
        <v>12</v>
      </c>
      <c r="D3998" s="24" t="str">
        <f>IFERROR(__xludf.DUMMYFUNCTION("""COMPUTED_VALUE"""),"Regular (up to 20lbs)")</f>
        <v>Regular (up to 20lbs)</v>
      </c>
      <c r="F3998" s="23">
        <f>IFERROR(__xludf.DUMMYFUNCTION("""COMPUTED_VALUE"""),44898.710182696756)</f>
        <v>44898.71018</v>
      </c>
      <c r="G3998" s="24" t="str">
        <f>IFERROR(__xludf.DUMMYFUNCTION("""COMPUTED_VALUE"""),"Emily Ma")</f>
        <v>Emily Ma</v>
      </c>
      <c r="H3998" s="24">
        <f>IFERROR(__xludf.DUMMYFUNCTION("""COMPUTED_VALUE"""),15.0)</f>
        <v>15</v>
      </c>
      <c r="I3998" s="24" t="str">
        <f>IFERROR(__xludf.DUMMYFUNCTION("""COMPUTED_VALUE"""),"Regular (up to 20lbs)")</f>
        <v>Regular (up to 20lbs)</v>
      </c>
    </row>
    <row r="3999">
      <c r="A3999" s="23">
        <f>IFERROR(__xludf.DUMMYFUNCTION("""COMPUTED_VALUE"""),44877.70738142361)</f>
        <v>44877.70738</v>
      </c>
      <c r="B3999" s="24" t="str">
        <f>IFERROR(__xludf.DUMMYFUNCTION("""COMPUTED_VALUE"""),"Cheryl A Utsey")</f>
        <v>Cheryl A Utsey</v>
      </c>
      <c r="C3999" s="24">
        <f>IFERROR(__xludf.DUMMYFUNCTION("""COMPUTED_VALUE"""),20.0)</f>
        <v>20</v>
      </c>
      <c r="D3999" s="24" t="str">
        <f>IFERROR(__xludf.DUMMYFUNCTION("""COMPUTED_VALUE"""),"Regular (up to 20lbs)")</f>
        <v>Regular (up to 20lbs)</v>
      </c>
      <c r="F3999" s="23">
        <f>IFERROR(__xludf.DUMMYFUNCTION("""COMPUTED_VALUE"""),44898.71020325232)</f>
        <v>44898.7102</v>
      </c>
      <c r="G3999" s="24" t="str">
        <f>IFERROR(__xludf.DUMMYFUNCTION("""COMPUTED_VALUE"""),"jonyce bland")</f>
        <v>jonyce bland</v>
      </c>
      <c r="H3999" s="24">
        <f>IFERROR(__xludf.DUMMYFUNCTION("""COMPUTED_VALUE"""),1.0)</f>
        <v>1</v>
      </c>
      <c r="I3999" s="24" t="str">
        <f>IFERROR(__xludf.DUMMYFUNCTION("""COMPUTED_VALUE"""),"Damage/expired/extra")</f>
        <v>Damage/expired/extra</v>
      </c>
    </row>
    <row r="4000">
      <c r="A4000" s="23">
        <f>IFERROR(__xludf.DUMMYFUNCTION("""COMPUTED_VALUE"""),44877.70791189815)</f>
        <v>44877.70791</v>
      </c>
      <c r="B4000" s="24" t="str">
        <f>IFERROR(__xludf.DUMMYFUNCTION("""COMPUTED_VALUE"""),"Dean Chien")</f>
        <v>Dean Chien</v>
      </c>
      <c r="C4000" s="24">
        <f>IFERROR(__xludf.DUMMYFUNCTION("""COMPUTED_VALUE"""),5.0)</f>
        <v>5</v>
      </c>
      <c r="D4000" s="24" t="str">
        <f>IFERROR(__xludf.DUMMYFUNCTION("""COMPUTED_VALUE"""),"Regular (up to 20lbs)")</f>
        <v>Regular (up to 20lbs)</v>
      </c>
      <c r="F4000" s="23">
        <f>IFERROR(__xludf.DUMMYFUNCTION("""COMPUTED_VALUE"""),44898.71024894676)</f>
        <v>44898.71025</v>
      </c>
      <c r="G4000" s="24" t="str">
        <f>IFERROR(__xludf.DUMMYFUNCTION("""COMPUTED_VALUE"""),"Nailah Bishop ")</f>
        <v>Nailah Bishop </v>
      </c>
      <c r="H4000" s="24">
        <f>IFERROR(__xludf.DUMMYFUNCTION("""COMPUTED_VALUE"""),8.0)</f>
        <v>8</v>
      </c>
      <c r="I4000" s="24" t="str">
        <f>IFERROR(__xludf.DUMMYFUNCTION("""COMPUTED_VALUE"""),"Regular (up to 20lbs)")</f>
        <v>Regular (up to 20lbs)</v>
      </c>
    </row>
    <row r="4001">
      <c r="A4001" s="23">
        <f>IFERROR(__xludf.DUMMYFUNCTION("""COMPUTED_VALUE"""),44877.70801054398)</f>
        <v>44877.70801</v>
      </c>
      <c r="B4001" s="24" t="str">
        <f>IFERROR(__xludf.DUMMYFUNCTION("""COMPUTED_VALUE"""),"Dean Chien")</f>
        <v>Dean Chien</v>
      </c>
      <c r="C4001" s="24">
        <f>IFERROR(__xludf.DUMMYFUNCTION("""COMPUTED_VALUE"""),1.0)</f>
        <v>1</v>
      </c>
      <c r="D4001" s="24" t="str">
        <f>IFERROR(__xludf.DUMMYFUNCTION("""COMPUTED_VALUE"""),"Damage/expired/extra")</f>
        <v>Damage/expired/extra</v>
      </c>
      <c r="F4001" s="23">
        <f>IFERROR(__xludf.DUMMYFUNCTION("""COMPUTED_VALUE"""),44898.71029099537)</f>
        <v>44898.71029</v>
      </c>
      <c r="G4001" s="24" t="str">
        <f>IFERROR(__xludf.DUMMYFUNCTION("""COMPUTED_VALUE"""),"Emily Ma")</f>
        <v>Emily Ma</v>
      </c>
      <c r="H4001" s="24">
        <f>IFERROR(__xludf.DUMMYFUNCTION("""COMPUTED_VALUE"""),8.0)</f>
        <v>8</v>
      </c>
      <c r="I4001" s="24" t="str">
        <f>IFERROR(__xludf.DUMMYFUNCTION("""COMPUTED_VALUE"""),"Damage/expired/extra")</f>
        <v>Damage/expired/extra</v>
      </c>
    </row>
    <row r="4002">
      <c r="A4002" s="23">
        <f>IFERROR(__xludf.DUMMYFUNCTION("""COMPUTED_VALUE"""),44877.735577650456)</f>
        <v>44877.73558</v>
      </c>
      <c r="B4002" s="24" t="str">
        <f>IFERROR(__xludf.DUMMYFUNCTION("""COMPUTED_VALUE"""),"Lynnette c")</f>
        <v>Lynnette c</v>
      </c>
      <c r="C4002" s="24">
        <f>IFERROR(__xludf.DUMMYFUNCTION("""COMPUTED_VALUE"""),20.0)</f>
        <v>20</v>
      </c>
      <c r="D4002" s="24" t="str">
        <f>IFERROR(__xludf.DUMMYFUNCTION("""COMPUTED_VALUE"""),"Regular (up to 20lbs)")</f>
        <v>Regular (up to 20lbs)</v>
      </c>
      <c r="F4002" s="23">
        <f>IFERROR(__xludf.DUMMYFUNCTION("""COMPUTED_VALUE"""),44899.0)</f>
        <v>44899</v>
      </c>
      <c r="G4002" s="24" t="str">
        <f>IFERROR(__xludf.DUMMYFUNCTION("""COMPUTED_VALUE"""),"Claire")</f>
        <v>Claire</v>
      </c>
      <c r="H4002" s="24">
        <f>IFERROR(__xludf.DUMMYFUNCTION("""COMPUTED_VALUE"""),949.0)</f>
        <v>949</v>
      </c>
      <c r="I4002" s="24" t="str">
        <f>IFERROR(__xludf.DUMMYFUNCTION("""COMPUTED_VALUE"""),"Amazon")</f>
        <v>Amazon</v>
      </c>
    </row>
    <row r="4003">
      <c r="A4003" s="23">
        <f>IFERROR(__xludf.DUMMYFUNCTION("""COMPUTED_VALUE"""),44877.73663616898)</f>
        <v>44877.73664</v>
      </c>
      <c r="B4003" s="24" t="str">
        <f>IFERROR(__xludf.DUMMYFUNCTION("""COMPUTED_VALUE"""),"Lynnette ")</f>
        <v>Lynnette </v>
      </c>
      <c r="C4003" s="24">
        <f>IFERROR(__xludf.DUMMYFUNCTION("""COMPUTED_VALUE"""),6.0)</f>
        <v>6</v>
      </c>
      <c r="D4003" s="24" t="str">
        <f>IFERROR(__xludf.DUMMYFUNCTION("""COMPUTED_VALUE"""),"Damage/expired/extra")</f>
        <v>Damage/expired/extra</v>
      </c>
      <c r="F4003" s="23">
        <f>IFERROR(__xludf.DUMMYFUNCTION("""COMPUTED_VALUE"""),44899.0)</f>
        <v>44899</v>
      </c>
      <c r="G4003" s="24" t="str">
        <f>IFERROR(__xludf.DUMMYFUNCTION("""COMPUTED_VALUE"""),"Claire")</f>
        <v>Claire</v>
      </c>
      <c r="H4003" s="24">
        <f>IFERROR(__xludf.DUMMYFUNCTION("""COMPUTED_VALUE"""),45.0)</f>
        <v>45</v>
      </c>
      <c r="I4003" s="24" t="str">
        <f>IFERROR(__xludf.DUMMYFUNCTION("""COMPUTED_VALUE"""),"Tubman House")</f>
        <v>Tubman House</v>
      </c>
    </row>
    <row r="4004">
      <c r="A4004" s="23">
        <f>IFERROR(__xludf.DUMMYFUNCTION("""COMPUTED_VALUE"""),44878.0)</f>
        <v>44878</v>
      </c>
      <c r="B4004" s="24" t="str">
        <f>IFERROR(__xludf.DUMMYFUNCTION("""COMPUTED_VALUE"""),"Alex Wang")</f>
        <v>Alex Wang</v>
      </c>
      <c r="C4004" s="24">
        <f>IFERROR(__xludf.DUMMYFUNCTION("""COMPUTED_VALUE"""),19.0)</f>
        <v>19</v>
      </c>
      <c r="D4004" s="24" t="str">
        <f>IFERROR(__xludf.DUMMYFUNCTION("""COMPUTED_VALUE"""),"Regular (up to 20lbs)")</f>
        <v>Regular (up to 20lbs)</v>
      </c>
      <c r="F4004" s="23">
        <f>IFERROR(__xludf.DUMMYFUNCTION("""COMPUTED_VALUE"""),44899.0)</f>
        <v>44899</v>
      </c>
      <c r="G4004" s="24" t="str">
        <f>IFERROR(__xludf.DUMMYFUNCTION("""COMPUTED_VALUE"""),"Claire")</f>
        <v>Claire</v>
      </c>
      <c r="H4004" s="24">
        <f>IFERROR(__xludf.DUMMYFUNCTION("""COMPUTED_VALUE"""),1118.0)</f>
        <v>1118</v>
      </c>
      <c r="I4004" s="24" t="str">
        <f>IFERROR(__xludf.DUMMYFUNCTION("""COMPUTED_VALUE"""),"Amazon")</f>
        <v>Amazon</v>
      </c>
    </row>
    <row r="4005">
      <c r="A4005" s="23">
        <f>IFERROR(__xludf.DUMMYFUNCTION("""COMPUTED_VALUE"""),44878.0)</f>
        <v>44878</v>
      </c>
      <c r="B4005" s="24" t="str">
        <f>IFERROR(__xludf.DUMMYFUNCTION("""COMPUTED_VALUE"""),"Marci")</f>
        <v>Marci</v>
      </c>
      <c r="C4005" s="24">
        <f>IFERROR(__xludf.DUMMYFUNCTION("""COMPUTED_VALUE"""),19.0)</f>
        <v>19</v>
      </c>
      <c r="D4005" s="24" t="str">
        <f>IFERROR(__xludf.DUMMYFUNCTION("""COMPUTED_VALUE"""),"Regular (up to 20lbs)")</f>
        <v>Regular (up to 20lbs)</v>
      </c>
      <c r="F4005" s="23">
        <f>IFERROR(__xludf.DUMMYFUNCTION("""COMPUTED_VALUE"""),44899.0)</f>
        <v>44899</v>
      </c>
      <c r="G4005" s="24" t="str">
        <f>IFERROR(__xludf.DUMMYFUNCTION("""COMPUTED_VALUE"""),"Claire")</f>
        <v>Claire</v>
      </c>
      <c r="H4005" s="24">
        <f>IFERROR(__xludf.DUMMYFUNCTION("""COMPUTED_VALUE"""),716.0)</f>
        <v>716</v>
      </c>
      <c r="I4005" s="24" t="str">
        <f>IFERROR(__xludf.DUMMYFUNCTION("""COMPUTED_VALUE"""),"Amazon")</f>
        <v>Amazon</v>
      </c>
    </row>
    <row r="4006">
      <c r="A4006" s="23">
        <f>IFERROR(__xludf.DUMMYFUNCTION("""COMPUTED_VALUE"""),44878.0)</f>
        <v>44878</v>
      </c>
      <c r="B4006" s="24" t="str">
        <f>IFERROR(__xludf.DUMMYFUNCTION("""COMPUTED_VALUE"""),"Marci")</f>
        <v>Marci</v>
      </c>
      <c r="C4006" s="24">
        <f>IFERROR(__xludf.DUMMYFUNCTION("""COMPUTED_VALUE"""),42.0)</f>
        <v>42</v>
      </c>
      <c r="D4006" s="24" t="str">
        <f>IFERROR(__xludf.DUMMYFUNCTION("""COMPUTED_VALUE"""),"Damage/expired/extra")</f>
        <v>Damage/expired/extra</v>
      </c>
      <c r="F4006" s="23">
        <f>IFERROR(__xludf.DUMMYFUNCTION("""COMPUTED_VALUE"""),44899.0)</f>
        <v>44899</v>
      </c>
      <c r="G4006" s="24" t="str">
        <f>IFERROR(__xludf.DUMMYFUNCTION("""COMPUTED_VALUE"""),"Claire")</f>
        <v>Claire</v>
      </c>
      <c r="H4006" s="24">
        <f>IFERROR(__xludf.DUMMYFUNCTION("""COMPUTED_VALUE"""),464.0)</f>
        <v>464</v>
      </c>
      <c r="I4006" s="24" t="str">
        <f>IFERROR(__xludf.DUMMYFUNCTION("""COMPUTED_VALUE"""),"Dole")</f>
        <v>Dole</v>
      </c>
    </row>
    <row r="4007">
      <c r="A4007" s="23">
        <f>IFERROR(__xludf.DUMMYFUNCTION("""COMPUTED_VALUE"""),44878.0)</f>
        <v>44878</v>
      </c>
      <c r="B4007" s="24" t="str">
        <f>IFERROR(__xludf.DUMMYFUNCTION("""COMPUTED_VALUE"""),"kids/linda arce")</f>
        <v>kids/linda arce</v>
      </c>
      <c r="C4007" s="24">
        <f>IFERROR(__xludf.DUMMYFUNCTION("""COMPUTED_VALUE"""),9.0)</f>
        <v>9</v>
      </c>
      <c r="D4007" s="24" t="str">
        <f>IFERROR(__xludf.DUMMYFUNCTION("""COMPUTED_VALUE"""),"Regular (up to 20lbs)")</f>
        <v>Regular (up to 20lbs)</v>
      </c>
      <c r="F4007" s="23">
        <f>IFERROR(__xludf.DUMMYFUNCTION("""COMPUTED_VALUE"""),44899.0)</f>
        <v>44899</v>
      </c>
      <c r="G4007" s="24" t="str">
        <f>IFERROR(__xludf.DUMMYFUNCTION("""COMPUTED_VALUE"""),"Claire")</f>
        <v>Claire</v>
      </c>
      <c r="H4007" s="24">
        <f>IFERROR(__xludf.DUMMYFUNCTION("""COMPUTED_VALUE"""),137.0)</f>
        <v>137</v>
      </c>
      <c r="I4007" s="24" t="str">
        <f>IFERROR(__xludf.DUMMYFUNCTION("""COMPUTED_VALUE"""),"Assorted Dry")</f>
        <v>Assorted Dry</v>
      </c>
    </row>
    <row r="4008">
      <c r="A4008" s="23">
        <f>IFERROR(__xludf.DUMMYFUNCTION("""COMPUTED_VALUE"""),44878.62510449074)</f>
        <v>44878.6251</v>
      </c>
      <c r="B4008" s="24" t="str">
        <f>IFERROR(__xludf.DUMMYFUNCTION("""COMPUTED_VALUE"""),"Carla")</f>
        <v>Carla</v>
      </c>
      <c r="C4008" s="24">
        <f>IFERROR(__xludf.DUMMYFUNCTION("""COMPUTED_VALUE"""),18.0)</f>
        <v>18</v>
      </c>
      <c r="D4008" s="24" t="str">
        <f>IFERROR(__xludf.DUMMYFUNCTION("""COMPUTED_VALUE"""),"Regular (up to 20lbs)")</f>
        <v>Regular (up to 20lbs)</v>
      </c>
      <c r="F4008" s="23">
        <f>IFERROR(__xludf.DUMMYFUNCTION("""COMPUTED_VALUE"""),44899.0)</f>
        <v>44899</v>
      </c>
      <c r="G4008" s="24" t="str">
        <f>IFERROR(__xludf.DUMMYFUNCTION("""COMPUTED_VALUE"""),"Claire")</f>
        <v>Claire</v>
      </c>
      <c r="H4008" s="24">
        <f>IFERROR(__xludf.DUMMYFUNCTION("""COMPUTED_VALUE"""),359.0)</f>
        <v>359</v>
      </c>
      <c r="I4008" s="24" t="str">
        <f>IFERROR(__xludf.DUMMYFUNCTION("""COMPUTED_VALUE"""),"Assorted Dry")</f>
        <v>Assorted Dry</v>
      </c>
    </row>
    <row r="4009">
      <c r="A4009" s="23">
        <f>IFERROR(__xludf.DUMMYFUNCTION("""COMPUTED_VALUE"""),44878.64057277778)</f>
        <v>44878.64057</v>
      </c>
      <c r="B4009" s="24" t="str">
        <f>IFERROR(__xludf.DUMMYFUNCTION("""COMPUTED_VALUE"""),"Kate weeks ")</f>
        <v>Kate weeks </v>
      </c>
      <c r="C4009" s="24">
        <f>IFERROR(__xludf.DUMMYFUNCTION("""COMPUTED_VALUE"""),20.0)</f>
        <v>20</v>
      </c>
      <c r="D4009" s="24" t="str">
        <f>IFERROR(__xludf.DUMMYFUNCTION("""COMPUTED_VALUE"""),"Regular (up to 20lbs)")</f>
        <v>Regular (up to 20lbs)</v>
      </c>
      <c r="F4009" s="23">
        <f>IFERROR(__xludf.DUMMYFUNCTION("""COMPUTED_VALUE"""),44899.0)</f>
        <v>44899</v>
      </c>
      <c r="G4009" s="24" t="str">
        <f>IFERROR(__xludf.DUMMYFUNCTION("""COMPUTED_VALUE"""),"Claire")</f>
        <v>Claire</v>
      </c>
      <c r="H4009" s="24">
        <f>IFERROR(__xludf.DUMMYFUNCTION("""COMPUTED_VALUE"""),207.0)</f>
        <v>207</v>
      </c>
      <c r="I4009" s="24" t="str">
        <f>IFERROR(__xludf.DUMMYFUNCTION("""COMPUTED_VALUE"""),"Assorted Dry")</f>
        <v>Assorted Dry</v>
      </c>
    </row>
    <row r="4010">
      <c r="A4010" s="23">
        <f>IFERROR(__xludf.DUMMYFUNCTION("""COMPUTED_VALUE"""),44878.64082400462)</f>
        <v>44878.64082</v>
      </c>
      <c r="B4010" s="24" t="str">
        <f>IFERROR(__xludf.DUMMYFUNCTION("""COMPUTED_VALUE"""),"Kate weeks ")</f>
        <v>Kate weeks </v>
      </c>
      <c r="C4010" s="24">
        <f>IFERROR(__xludf.DUMMYFUNCTION("""COMPUTED_VALUE"""),14.0)</f>
        <v>14</v>
      </c>
      <c r="D4010" s="24" t="str">
        <f>IFERROR(__xludf.DUMMYFUNCTION("""COMPUTED_VALUE"""),"Damage/expired/extra")</f>
        <v>Damage/expired/extra</v>
      </c>
      <c r="F4010" s="23">
        <f>IFERROR(__xludf.DUMMYFUNCTION("""COMPUTED_VALUE"""),44899.0)</f>
        <v>44899</v>
      </c>
      <c r="G4010" s="24" t="str">
        <f>IFERROR(__xludf.DUMMYFUNCTION("""COMPUTED_VALUE"""),"Claire")</f>
        <v>Claire</v>
      </c>
      <c r="H4010" s="24">
        <f>IFERROR(__xludf.DUMMYFUNCTION("""COMPUTED_VALUE"""),70.0)</f>
        <v>70</v>
      </c>
      <c r="I4010" s="24" t="str">
        <f>IFERROR(__xludf.DUMMYFUNCTION("""COMPUTED_VALUE"""),"Meat [Raw]")</f>
        <v>Meat [Raw]</v>
      </c>
    </row>
    <row r="4011">
      <c r="A4011" s="23">
        <f>IFERROR(__xludf.DUMMYFUNCTION("""COMPUTED_VALUE"""),44878.64495065972)</f>
        <v>44878.64495</v>
      </c>
      <c r="B4011" s="24" t="str">
        <f>IFERROR(__xludf.DUMMYFUNCTION("""COMPUTED_VALUE"""),"Opeyemi ")</f>
        <v>Opeyemi </v>
      </c>
      <c r="C4011" s="24">
        <f>IFERROR(__xludf.DUMMYFUNCTION("""COMPUTED_VALUE"""),12.0)</f>
        <v>12</v>
      </c>
      <c r="D4011" s="24" t="str">
        <f>IFERROR(__xludf.DUMMYFUNCTION("""COMPUTED_VALUE"""),"Regular (up to 20lbs)")</f>
        <v>Regular (up to 20lbs)</v>
      </c>
      <c r="F4011" s="23">
        <f>IFERROR(__xludf.DUMMYFUNCTION("""COMPUTED_VALUE"""),44899.0)</f>
        <v>44899</v>
      </c>
      <c r="G4011" s="24" t="str">
        <f>IFERROR(__xludf.DUMMYFUNCTION("""COMPUTED_VALUE"""),"Claire")</f>
        <v>Claire</v>
      </c>
      <c r="H4011" s="24">
        <f>IFERROR(__xludf.DUMMYFUNCTION("""COMPUTED_VALUE"""),407.0)</f>
        <v>407</v>
      </c>
      <c r="I4011" s="24" t="str">
        <f>IFERROR(__xludf.DUMMYFUNCTION("""COMPUTED_VALUE"""),"Assorted Dry")</f>
        <v>Assorted Dry</v>
      </c>
    </row>
    <row r="4012">
      <c r="A4012" s="23">
        <f>IFERROR(__xludf.DUMMYFUNCTION("""COMPUTED_VALUE"""),44878.647435474544)</f>
        <v>44878.64744</v>
      </c>
      <c r="B4012" s="24" t="str">
        <f>IFERROR(__xludf.DUMMYFUNCTION("""COMPUTED_VALUE"""),"Anita Bryant")</f>
        <v>Anita Bryant</v>
      </c>
      <c r="C4012" s="24">
        <f>IFERROR(__xludf.DUMMYFUNCTION("""COMPUTED_VALUE"""),20.0)</f>
        <v>20</v>
      </c>
      <c r="D4012" s="24" t="str">
        <f>IFERROR(__xludf.DUMMYFUNCTION("""COMPUTED_VALUE"""),"Regular (up to 20lbs)")</f>
        <v>Regular (up to 20lbs)</v>
      </c>
      <c r="F4012" s="23">
        <f>IFERROR(__xludf.DUMMYFUNCTION("""COMPUTED_VALUE"""),44899.0)</f>
        <v>44899</v>
      </c>
      <c r="G4012" s="24" t="str">
        <f>IFERROR(__xludf.DUMMYFUNCTION("""COMPUTED_VALUE"""),"Bryce Barnes")</f>
        <v>Bryce Barnes</v>
      </c>
      <c r="H4012" s="24">
        <f>IFERROR(__xludf.DUMMYFUNCTION("""COMPUTED_VALUE"""),20.0)</f>
        <v>20</v>
      </c>
      <c r="I4012" s="24" t="str">
        <f>IFERROR(__xludf.DUMMYFUNCTION("""COMPUTED_VALUE"""),"Regular (up to 20lbs)")</f>
        <v>Regular (up to 20lbs)</v>
      </c>
    </row>
    <row r="4013">
      <c r="A4013" s="23">
        <f>IFERROR(__xludf.DUMMYFUNCTION("""COMPUTED_VALUE"""),44878.64759855324)</f>
        <v>44878.6476</v>
      </c>
      <c r="B4013" s="24" t="str">
        <f>IFERROR(__xludf.DUMMYFUNCTION("""COMPUTED_VALUE"""),"Anita Bryant")</f>
        <v>Anita Bryant</v>
      </c>
      <c r="C4013" s="24">
        <f>IFERROR(__xludf.DUMMYFUNCTION("""COMPUTED_VALUE"""),18.0)</f>
        <v>18</v>
      </c>
      <c r="D4013" s="24" t="str">
        <f>IFERROR(__xludf.DUMMYFUNCTION("""COMPUTED_VALUE"""),"Damage/expired/extra")</f>
        <v>Damage/expired/extra</v>
      </c>
      <c r="F4013" s="23">
        <f>IFERROR(__xludf.DUMMYFUNCTION("""COMPUTED_VALUE"""),44899.0)</f>
        <v>44899</v>
      </c>
      <c r="G4013" s="24" t="str">
        <f>IFERROR(__xludf.DUMMYFUNCTION("""COMPUTED_VALUE"""),"Juanita Chandler ")</f>
        <v>Juanita Chandler </v>
      </c>
      <c r="H4013" s="24">
        <f>IFERROR(__xludf.DUMMYFUNCTION("""COMPUTED_VALUE"""),23.0)</f>
        <v>23</v>
      </c>
      <c r="I4013" s="24" t="str">
        <f>IFERROR(__xludf.DUMMYFUNCTION("""COMPUTED_VALUE"""),"Regular (up to 20lbs)")</f>
        <v>Regular (up to 20lbs)</v>
      </c>
    </row>
    <row r="4014">
      <c r="A4014" s="23">
        <f>IFERROR(__xludf.DUMMYFUNCTION("""COMPUTED_VALUE"""),44878.6504749537)</f>
        <v>44878.65047</v>
      </c>
      <c r="B4014" s="24" t="str">
        <f>IFERROR(__xludf.DUMMYFUNCTION("""COMPUTED_VALUE"""),"Kaneesha ")</f>
        <v>Kaneesha </v>
      </c>
      <c r="C4014" s="24">
        <f>IFERROR(__xludf.DUMMYFUNCTION("""COMPUTED_VALUE"""),20.0)</f>
        <v>20</v>
      </c>
      <c r="D4014" s="24" t="str">
        <f>IFERROR(__xludf.DUMMYFUNCTION("""COMPUTED_VALUE"""),"Regular (up to 20lbs)")</f>
        <v>Regular (up to 20lbs)</v>
      </c>
      <c r="F4014" s="23">
        <f>IFERROR(__xludf.DUMMYFUNCTION("""COMPUTED_VALUE"""),44899.0)</f>
        <v>44899</v>
      </c>
      <c r="G4014" s="24" t="str">
        <f>IFERROR(__xludf.DUMMYFUNCTION("""COMPUTED_VALUE"""),"Juanita Chandler ")</f>
        <v>Juanita Chandler </v>
      </c>
      <c r="H4014" s="24">
        <f>IFERROR(__xludf.DUMMYFUNCTION("""COMPUTED_VALUE"""),32.0)</f>
        <v>32</v>
      </c>
      <c r="I4014" s="24" t="str">
        <f>IFERROR(__xludf.DUMMYFUNCTION("""COMPUTED_VALUE"""),"Damage/expired/extra")</f>
        <v>Damage/expired/extra</v>
      </c>
    </row>
    <row r="4015">
      <c r="A4015" s="23">
        <f>IFERROR(__xludf.DUMMYFUNCTION("""COMPUTED_VALUE"""),44878.65107166666)</f>
        <v>44878.65107</v>
      </c>
      <c r="B4015" s="24" t="str">
        <f>IFERROR(__xludf.DUMMYFUNCTION("""COMPUTED_VALUE"""),"Dorja ")</f>
        <v>Dorja </v>
      </c>
      <c r="C4015" s="24">
        <f>IFERROR(__xludf.DUMMYFUNCTION("""COMPUTED_VALUE"""),22.0)</f>
        <v>22</v>
      </c>
      <c r="D4015" s="24" t="str">
        <f>IFERROR(__xludf.DUMMYFUNCTION("""COMPUTED_VALUE"""),"Regular (up to 20lbs)")</f>
        <v>Regular (up to 20lbs)</v>
      </c>
      <c r="F4015" s="23">
        <f>IFERROR(__xludf.DUMMYFUNCTION("""COMPUTED_VALUE"""),44899.61391939814)</f>
        <v>44899.61392</v>
      </c>
      <c r="G4015" s="24" t="str">
        <f>IFERROR(__xludf.DUMMYFUNCTION("""COMPUTED_VALUE"""),"Carla")</f>
        <v>Carla</v>
      </c>
      <c r="H4015" s="24">
        <f>IFERROR(__xludf.DUMMYFUNCTION("""COMPUTED_VALUE"""),13.0)</f>
        <v>13</v>
      </c>
      <c r="I4015" s="24" t="str">
        <f>IFERROR(__xludf.DUMMYFUNCTION("""COMPUTED_VALUE"""),"Regular (up to 20lbs)")</f>
        <v>Regular (up to 20lbs)</v>
      </c>
    </row>
    <row r="4016">
      <c r="A4016" s="23">
        <f>IFERROR(__xludf.DUMMYFUNCTION("""COMPUTED_VALUE"""),44878.651173715276)</f>
        <v>44878.65117</v>
      </c>
      <c r="B4016" s="24" t="str">
        <f>IFERROR(__xludf.DUMMYFUNCTION("""COMPUTED_VALUE"""),"Dorja ")</f>
        <v>Dorja </v>
      </c>
      <c r="C4016" s="24">
        <f>IFERROR(__xludf.DUMMYFUNCTION("""COMPUTED_VALUE"""),32.0)</f>
        <v>32</v>
      </c>
      <c r="D4016" s="24" t="str">
        <f>IFERROR(__xludf.DUMMYFUNCTION("""COMPUTED_VALUE"""),"Damage/expired/extra")</f>
        <v>Damage/expired/extra</v>
      </c>
      <c r="F4016" s="23">
        <f>IFERROR(__xludf.DUMMYFUNCTION("""COMPUTED_VALUE"""),44899.62539818288)</f>
        <v>44899.6254</v>
      </c>
      <c r="G4016" s="24" t="str">
        <f>IFERROR(__xludf.DUMMYFUNCTION("""COMPUTED_VALUE"""),"Opeyemi ")</f>
        <v>Opeyemi </v>
      </c>
      <c r="H4016" s="24">
        <f>IFERROR(__xludf.DUMMYFUNCTION("""COMPUTED_VALUE"""),1438.0)</f>
        <v>1438</v>
      </c>
      <c r="I4016" s="24" t="str">
        <f>IFERROR(__xludf.DUMMYFUNCTION("""COMPUTED_VALUE"""),"Assorted Dry")</f>
        <v>Assorted Dry</v>
      </c>
    </row>
    <row r="4017">
      <c r="A4017" s="23">
        <f>IFERROR(__xludf.DUMMYFUNCTION("""COMPUTED_VALUE"""),44878.0)</f>
        <v>44878</v>
      </c>
      <c r="B4017" s="24" t="str">
        <f>IFERROR(__xludf.DUMMYFUNCTION("""COMPUTED_VALUE"""),"Kaneesha ")</f>
        <v>Kaneesha </v>
      </c>
      <c r="C4017" s="24">
        <f>IFERROR(__xludf.DUMMYFUNCTION("""COMPUTED_VALUE"""),20.0)</f>
        <v>20</v>
      </c>
      <c r="D4017" s="24" t="str">
        <f>IFERROR(__xludf.DUMMYFUNCTION("""COMPUTED_VALUE"""),"Regular (up to 20lbs)")</f>
        <v>Regular (up to 20lbs)</v>
      </c>
      <c r="F4017" s="23">
        <f>IFERROR(__xludf.DUMMYFUNCTION("""COMPUTED_VALUE"""),44899.65049162037)</f>
        <v>44899.65049</v>
      </c>
      <c r="G4017" s="24" t="str">
        <f>IFERROR(__xludf.DUMMYFUNCTION("""COMPUTED_VALUE"""),"Yulia Suslova")</f>
        <v>Yulia Suslova</v>
      </c>
      <c r="H4017" s="24">
        <f>IFERROR(__xludf.DUMMYFUNCTION("""COMPUTED_VALUE"""),20.0)</f>
        <v>20</v>
      </c>
      <c r="I4017" s="24" t="str">
        <f>IFERROR(__xludf.DUMMYFUNCTION("""COMPUTED_VALUE"""),"Regular (up to 20lbs)")</f>
        <v>Regular (up to 20lbs)</v>
      </c>
    </row>
    <row r="4018">
      <c r="A4018" s="23">
        <f>IFERROR(__xludf.DUMMYFUNCTION("""COMPUTED_VALUE"""),44878.65129785879)</f>
        <v>44878.6513</v>
      </c>
      <c r="B4018" s="24" t="str">
        <f>IFERROR(__xludf.DUMMYFUNCTION("""COMPUTED_VALUE"""),"Kaneesha ")</f>
        <v>Kaneesha </v>
      </c>
      <c r="C4018" s="24">
        <f>IFERROR(__xludf.DUMMYFUNCTION("""COMPUTED_VALUE"""),30.0)</f>
        <v>30</v>
      </c>
      <c r="D4018" s="24" t="str">
        <f>IFERROR(__xludf.DUMMYFUNCTION("""COMPUTED_VALUE"""),"Damage/expired/extra")</f>
        <v>Damage/expired/extra</v>
      </c>
      <c r="F4018" s="23">
        <f>IFERROR(__xludf.DUMMYFUNCTION("""COMPUTED_VALUE"""),44899.65101189815)</f>
        <v>44899.65101</v>
      </c>
      <c r="G4018" s="24" t="str">
        <f>IFERROR(__xludf.DUMMYFUNCTION("""COMPUTED_VALUE"""),"Kaneesha")</f>
        <v>Kaneesha</v>
      </c>
      <c r="H4018" s="24">
        <f>IFERROR(__xludf.DUMMYFUNCTION("""COMPUTED_VALUE"""),20.0)</f>
        <v>20</v>
      </c>
      <c r="I4018" s="24" t="str">
        <f>IFERROR(__xludf.DUMMYFUNCTION("""COMPUTED_VALUE"""),"Regular (up to 20lbs)")</f>
        <v>Regular (up to 20lbs)</v>
      </c>
    </row>
    <row r="4019">
      <c r="A4019" s="23">
        <f>IFERROR(__xludf.DUMMYFUNCTION("""COMPUTED_VALUE"""),44878.65725576389)</f>
        <v>44878.65726</v>
      </c>
      <c r="B4019" s="24" t="str">
        <f>IFERROR(__xludf.DUMMYFUNCTION("""COMPUTED_VALUE"""),"Zoe")</f>
        <v>Zoe</v>
      </c>
      <c r="C4019" s="24">
        <f>IFERROR(__xludf.DUMMYFUNCTION("""COMPUTED_VALUE"""),14.0)</f>
        <v>14</v>
      </c>
      <c r="D4019" s="24" t="str">
        <f>IFERROR(__xludf.DUMMYFUNCTION("""COMPUTED_VALUE"""),"Regular (up to 20lbs)")</f>
        <v>Regular (up to 20lbs)</v>
      </c>
      <c r="F4019" s="23">
        <f>IFERROR(__xludf.DUMMYFUNCTION("""COMPUTED_VALUE"""),44899.65104695602)</f>
        <v>44899.65105</v>
      </c>
      <c r="G4019" s="24" t="str">
        <f>IFERROR(__xludf.DUMMYFUNCTION("""COMPUTED_VALUE"""),"Yulia Suslova")</f>
        <v>Yulia Suslova</v>
      </c>
      <c r="H4019" s="24">
        <f>IFERROR(__xludf.DUMMYFUNCTION("""COMPUTED_VALUE"""),20.0)</f>
        <v>20</v>
      </c>
      <c r="I4019" s="24" t="str">
        <f>IFERROR(__xludf.DUMMYFUNCTION("""COMPUTED_VALUE"""),"Damage/expired/extra")</f>
        <v>Damage/expired/extra</v>
      </c>
    </row>
    <row r="4020">
      <c r="A4020" s="23">
        <f>IFERROR(__xludf.DUMMYFUNCTION("""COMPUTED_VALUE"""),44880.0)</f>
        <v>44880</v>
      </c>
      <c r="B4020" s="24" t="str">
        <f>IFERROR(__xludf.DUMMYFUNCTION("""COMPUTED_VALUE"""),"Rosemary Hendricks")</f>
        <v>Rosemary Hendricks</v>
      </c>
      <c r="C4020" s="24">
        <f>IFERROR(__xludf.DUMMYFUNCTION("""COMPUTED_VALUE"""),16.0)</f>
        <v>16</v>
      </c>
      <c r="D4020" s="24" t="str">
        <f>IFERROR(__xludf.DUMMYFUNCTION("""COMPUTED_VALUE"""),"Regular (up to 20lbs)")</f>
        <v>Regular (up to 20lbs)</v>
      </c>
      <c r="F4020" s="23">
        <f>IFERROR(__xludf.DUMMYFUNCTION("""COMPUTED_VALUE"""),44899.65117629629)</f>
        <v>44899.65118</v>
      </c>
      <c r="G4020" s="24" t="str">
        <f>IFERROR(__xludf.DUMMYFUNCTION("""COMPUTED_VALUE"""),"Kaneesha ")</f>
        <v>Kaneesha </v>
      </c>
      <c r="H4020" s="24">
        <f>IFERROR(__xludf.DUMMYFUNCTION("""COMPUTED_VALUE"""),10.0)</f>
        <v>10</v>
      </c>
      <c r="I4020" s="24" t="str">
        <f>IFERROR(__xludf.DUMMYFUNCTION("""COMPUTED_VALUE"""),"Damage/expired/extra")</f>
        <v>Damage/expired/extra</v>
      </c>
    </row>
    <row r="4021">
      <c r="A4021" s="23">
        <f>IFERROR(__xludf.DUMMYFUNCTION("""COMPUTED_VALUE"""),44880.0)</f>
        <v>44880</v>
      </c>
      <c r="B4021" s="24" t="str">
        <f>IFERROR(__xludf.DUMMYFUNCTION("""COMPUTED_VALUE"""),"Rosemary Hendricks")</f>
        <v>Rosemary Hendricks</v>
      </c>
      <c r="C4021" s="24">
        <f>IFERROR(__xludf.DUMMYFUNCTION("""COMPUTED_VALUE"""),6.0)</f>
        <v>6</v>
      </c>
      <c r="D4021" s="24" t="str">
        <f>IFERROR(__xludf.DUMMYFUNCTION("""COMPUTED_VALUE"""),"Damage/expired/extra")</f>
        <v>Damage/expired/extra</v>
      </c>
      <c r="F4021" s="23">
        <f>IFERROR(__xludf.DUMMYFUNCTION("""COMPUTED_VALUE"""),44899.65594114584)</f>
        <v>44899.65594</v>
      </c>
      <c r="G4021" s="24" t="str">
        <f>IFERROR(__xludf.DUMMYFUNCTION("""COMPUTED_VALUE"""),"Kate Weeks")</f>
        <v>Kate Weeks</v>
      </c>
      <c r="H4021" s="24">
        <f>IFERROR(__xludf.DUMMYFUNCTION("""COMPUTED_VALUE"""),20.0)</f>
        <v>20</v>
      </c>
      <c r="I4021" s="24" t="str">
        <f>IFERROR(__xludf.DUMMYFUNCTION("""COMPUTED_VALUE"""),"Regular (up to 20lbs)")</f>
        <v>Regular (up to 20lbs)</v>
      </c>
    </row>
    <row r="4022">
      <c r="A4022" s="23">
        <f>IFERROR(__xludf.DUMMYFUNCTION("""COMPUTED_VALUE"""),44880.0)</f>
        <v>44880</v>
      </c>
      <c r="B4022" s="24" t="str">
        <f>IFERROR(__xludf.DUMMYFUNCTION("""COMPUTED_VALUE"""),"Marci")</f>
        <v>Marci</v>
      </c>
      <c r="C4022" s="24">
        <f>IFERROR(__xludf.DUMMYFUNCTION("""COMPUTED_VALUE"""),20.0)</f>
        <v>20</v>
      </c>
      <c r="D4022" s="24" t="str">
        <f>IFERROR(__xludf.DUMMYFUNCTION("""COMPUTED_VALUE"""),"Regular (up to 20lbs)")</f>
        <v>Regular (up to 20lbs)</v>
      </c>
      <c r="F4022" s="23">
        <f>IFERROR(__xludf.DUMMYFUNCTION("""COMPUTED_VALUE"""),44899.65609387731)</f>
        <v>44899.65609</v>
      </c>
      <c r="G4022" s="24" t="str">
        <f>IFERROR(__xludf.DUMMYFUNCTION("""COMPUTED_VALUE"""),"Kate Weeks")</f>
        <v>Kate Weeks</v>
      </c>
      <c r="H4022" s="24">
        <f>IFERROR(__xludf.DUMMYFUNCTION("""COMPUTED_VALUE"""),16.0)</f>
        <v>16</v>
      </c>
      <c r="I4022" s="24" t="str">
        <f>IFERROR(__xludf.DUMMYFUNCTION("""COMPUTED_VALUE"""),"Damage/expired/extra")</f>
        <v>Damage/expired/extra</v>
      </c>
    </row>
    <row r="4023">
      <c r="A4023" s="23">
        <f>IFERROR(__xludf.DUMMYFUNCTION("""COMPUTED_VALUE"""),44880.0)</f>
        <v>44880</v>
      </c>
      <c r="B4023" s="24" t="str">
        <f>IFERROR(__xludf.DUMMYFUNCTION("""COMPUTED_VALUE"""),"Marci")</f>
        <v>Marci</v>
      </c>
      <c r="C4023" s="24">
        <f>IFERROR(__xludf.DUMMYFUNCTION("""COMPUTED_VALUE"""),18.0)</f>
        <v>18</v>
      </c>
      <c r="D4023" s="24" t="str">
        <f>IFERROR(__xludf.DUMMYFUNCTION("""COMPUTED_VALUE"""),"Damage/expired/extra")</f>
        <v>Damage/expired/extra</v>
      </c>
      <c r="F4023" s="23">
        <f>IFERROR(__xludf.DUMMYFUNCTION("""COMPUTED_VALUE"""),44899.65965484953)</f>
        <v>44899.65965</v>
      </c>
      <c r="G4023" s="24" t="str">
        <f>IFERROR(__xludf.DUMMYFUNCTION("""COMPUTED_VALUE"""),"Opey")</f>
        <v>Opey</v>
      </c>
      <c r="H4023" s="24">
        <f>IFERROR(__xludf.DUMMYFUNCTION("""COMPUTED_VALUE"""),12.0)</f>
        <v>12</v>
      </c>
      <c r="I4023" s="24" t="str">
        <f>IFERROR(__xludf.DUMMYFUNCTION("""COMPUTED_VALUE"""),"Regular (up to 20lbs)")</f>
        <v>Regular (up to 20lbs)</v>
      </c>
    </row>
    <row r="4024">
      <c r="A4024" s="23">
        <f>IFERROR(__xludf.DUMMYFUNCTION("""COMPUTED_VALUE"""),44880.62410982639)</f>
        <v>44880.62411</v>
      </c>
      <c r="B4024" s="24" t="str">
        <f>IFERROR(__xludf.DUMMYFUNCTION("""COMPUTED_VALUE"""),"Lynnette ")</f>
        <v>Lynnette </v>
      </c>
      <c r="C4024" s="24">
        <f>IFERROR(__xludf.DUMMYFUNCTION("""COMPUTED_VALUE"""),8.0)</f>
        <v>8</v>
      </c>
      <c r="D4024" s="24" t="str">
        <f>IFERROR(__xludf.DUMMYFUNCTION("""COMPUTED_VALUE"""),"Regular (up to 20lbs)")</f>
        <v>Regular (up to 20lbs)</v>
      </c>
      <c r="F4024" s="23">
        <f>IFERROR(__xludf.DUMMYFUNCTION("""COMPUTED_VALUE"""),44899.667422893515)</f>
        <v>44899.66742</v>
      </c>
      <c r="G4024" s="24" t="str">
        <f>IFERROR(__xludf.DUMMYFUNCTION("""COMPUTED_VALUE"""),"Lynnette (jackie)")</f>
        <v>Lynnette (jackie)</v>
      </c>
      <c r="H4024" s="24">
        <f>IFERROR(__xludf.DUMMYFUNCTION("""COMPUTED_VALUE"""),28.0)</f>
        <v>28</v>
      </c>
      <c r="I4024" s="24" t="str">
        <f>IFERROR(__xludf.DUMMYFUNCTION("""COMPUTED_VALUE"""),"Damage/expired/extra")</f>
        <v>Damage/expired/extra</v>
      </c>
    </row>
    <row r="4025">
      <c r="A4025" s="23">
        <f>IFERROR(__xludf.DUMMYFUNCTION("""COMPUTED_VALUE"""),44880.62434568287)</f>
        <v>44880.62435</v>
      </c>
      <c r="B4025" s="24" t="str">
        <f>IFERROR(__xludf.DUMMYFUNCTION("""COMPUTED_VALUE"""),"Lynnette ")</f>
        <v>Lynnette </v>
      </c>
      <c r="C4025" s="24">
        <f>IFERROR(__xludf.DUMMYFUNCTION("""COMPUTED_VALUE"""),3.0)</f>
        <v>3</v>
      </c>
      <c r="D4025" s="24" t="str">
        <f>IFERROR(__xludf.DUMMYFUNCTION("""COMPUTED_VALUE"""),"Damage/expired/extra")</f>
        <v>Damage/expired/extra</v>
      </c>
      <c r="F4025" s="23">
        <f>IFERROR(__xludf.DUMMYFUNCTION("""COMPUTED_VALUE"""),44899.667869467594)</f>
        <v>44899.66787</v>
      </c>
      <c r="G4025" s="24" t="str">
        <f>IFERROR(__xludf.DUMMYFUNCTION("""COMPUTED_VALUE"""),"Ms Jackee")</f>
        <v>Ms Jackee</v>
      </c>
      <c r="H4025" s="24">
        <f>IFERROR(__xludf.DUMMYFUNCTION("""COMPUTED_VALUE"""),51.0)</f>
        <v>51</v>
      </c>
      <c r="I4025" s="24" t="str">
        <f>IFERROR(__xludf.DUMMYFUNCTION("""COMPUTED_VALUE"""),"Shopping")</f>
        <v>Shopping</v>
      </c>
    </row>
    <row r="4026">
      <c r="A4026" s="23">
        <f>IFERROR(__xludf.DUMMYFUNCTION("""COMPUTED_VALUE"""),44880.68576486111)</f>
        <v>44880.68576</v>
      </c>
      <c r="B4026" s="24" t="str">
        <f>IFERROR(__xludf.DUMMYFUNCTION("""COMPUTED_VALUE"""),"Romaine Bouldin ")</f>
        <v>Romaine Bouldin </v>
      </c>
      <c r="C4026" s="24">
        <f>IFERROR(__xludf.DUMMYFUNCTION("""COMPUTED_VALUE"""),15.0)</f>
        <v>15</v>
      </c>
      <c r="D4026" s="24" t="str">
        <f>IFERROR(__xludf.DUMMYFUNCTION("""COMPUTED_VALUE"""),"Regular (up to 20lbs)")</f>
        <v>Regular (up to 20lbs)</v>
      </c>
      <c r="F4026" s="23">
        <f>IFERROR(__xludf.DUMMYFUNCTION("""COMPUTED_VALUE"""),44900.70107366898)</f>
        <v>44900.70107</v>
      </c>
      <c r="G4026" s="24" t="str">
        <f>IFERROR(__xludf.DUMMYFUNCTION("""COMPUTED_VALUE"""),"JC")</f>
        <v>JC</v>
      </c>
      <c r="H4026" s="24">
        <f>IFERROR(__xludf.DUMMYFUNCTION("""COMPUTED_VALUE"""),357.0)</f>
        <v>357</v>
      </c>
      <c r="I4026" s="24" t="str">
        <f>IFERROR(__xludf.DUMMYFUNCTION("""COMPUTED_VALUE"""),"Amazon")</f>
        <v>Amazon</v>
      </c>
    </row>
    <row r="4027">
      <c r="A4027" s="23">
        <f>IFERROR(__xludf.DUMMYFUNCTION("""COMPUTED_VALUE"""),44880.68590494213)</f>
        <v>44880.6859</v>
      </c>
      <c r="B4027" s="24" t="str">
        <f>IFERROR(__xludf.DUMMYFUNCTION("""COMPUTED_VALUE"""),"Romaine Bouldin ")</f>
        <v>Romaine Bouldin </v>
      </c>
      <c r="C4027" s="24">
        <f>IFERROR(__xludf.DUMMYFUNCTION("""COMPUTED_VALUE"""),1.0)</f>
        <v>1</v>
      </c>
      <c r="D4027" s="24" t="str">
        <f>IFERROR(__xludf.DUMMYFUNCTION("""COMPUTED_VALUE"""),"Damage/expired/extra")</f>
        <v>Damage/expired/extra</v>
      </c>
      <c r="F4027" s="23">
        <f>IFERROR(__xludf.DUMMYFUNCTION("""COMPUTED_VALUE"""),44900.701357060185)</f>
        <v>44900.70136</v>
      </c>
      <c r="G4027" s="24" t="str">
        <f>IFERROR(__xludf.DUMMYFUNCTION("""COMPUTED_VALUE"""),"JC")</f>
        <v>JC</v>
      </c>
      <c r="H4027" s="24">
        <f>IFERROR(__xludf.DUMMYFUNCTION("""COMPUTED_VALUE"""),450.0)</f>
        <v>450</v>
      </c>
      <c r="I4027" s="24" t="str">
        <f>IFERROR(__xludf.DUMMYFUNCTION("""COMPUTED_VALUE"""),"Amazon")</f>
        <v>Amazon</v>
      </c>
    </row>
    <row r="4028">
      <c r="A4028" s="23">
        <f>IFERROR(__xludf.DUMMYFUNCTION("""COMPUTED_VALUE"""),44880.68590771991)</f>
        <v>44880.68591</v>
      </c>
      <c r="B4028" s="24" t="str">
        <f>IFERROR(__xludf.DUMMYFUNCTION("""COMPUTED_VALUE"""),"Beverly Graham ")</f>
        <v>Beverly Graham </v>
      </c>
      <c r="C4028" s="24">
        <f>IFERROR(__xludf.DUMMYFUNCTION("""COMPUTED_VALUE"""),12.0)</f>
        <v>12</v>
      </c>
      <c r="D4028" s="24" t="str">
        <f>IFERROR(__xludf.DUMMYFUNCTION("""COMPUTED_VALUE"""),"Regular (up to 20lbs)")</f>
        <v>Regular (up to 20lbs)</v>
      </c>
      <c r="F4028" s="23">
        <f>IFERROR(__xludf.DUMMYFUNCTION("""COMPUTED_VALUE"""),44900.70166938657)</f>
        <v>44900.70167</v>
      </c>
      <c r="G4028" s="24" t="str">
        <f>IFERROR(__xludf.DUMMYFUNCTION("""COMPUTED_VALUE"""),"JC")</f>
        <v>JC</v>
      </c>
      <c r="H4028" s="24">
        <f>IFERROR(__xludf.DUMMYFUNCTION("""COMPUTED_VALUE"""),374.0)</f>
        <v>374</v>
      </c>
      <c r="I4028" s="24" t="str">
        <f>IFERROR(__xludf.DUMMYFUNCTION("""COMPUTED_VALUE"""),"Amazon")</f>
        <v>Amazon</v>
      </c>
    </row>
    <row r="4029">
      <c r="A4029" s="23">
        <f>IFERROR(__xludf.DUMMYFUNCTION("""COMPUTED_VALUE"""),44880.6919765625)</f>
        <v>44880.69198</v>
      </c>
      <c r="B4029" s="24" t="str">
        <f>IFERROR(__xludf.DUMMYFUNCTION("""COMPUTED_VALUE"""),"Susan larson")</f>
        <v>Susan larson</v>
      </c>
      <c r="C4029" s="24">
        <f>IFERROR(__xludf.DUMMYFUNCTION("""COMPUTED_VALUE"""),18.0)</f>
        <v>18</v>
      </c>
      <c r="D4029" s="24" t="str">
        <f>IFERROR(__xludf.DUMMYFUNCTION("""COMPUTED_VALUE"""),"Regular (up to 20lbs)")</f>
        <v>Regular (up to 20lbs)</v>
      </c>
      <c r="F4029" s="23">
        <f>IFERROR(__xludf.DUMMYFUNCTION("""COMPUTED_VALUE"""),44900.701933668985)</f>
        <v>44900.70193</v>
      </c>
      <c r="G4029" s="24" t="str">
        <f>IFERROR(__xludf.DUMMYFUNCTION("""COMPUTED_VALUE"""),"JC")</f>
        <v>JC</v>
      </c>
      <c r="H4029" s="24">
        <f>IFERROR(__xludf.DUMMYFUNCTION("""COMPUTED_VALUE"""),980.0)</f>
        <v>980</v>
      </c>
      <c r="I4029" s="24" t="str">
        <f>IFERROR(__xludf.DUMMYFUNCTION("""COMPUTED_VALUE"""),"Amazon")</f>
        <v>Amazon</v>
      </c>
    </row>
    <row r="4030">
      <c r="A4030" s="23">
        <f>IFERROR(__xludf.DUMMYFUNCTION("""COMPUTED_VALUE"""),44880.69219206018)</f>
        <v>44880.69219</v>
      </c>
      <c r="B4030" s="24" t="str">
        <f>IFERROR(__xludf.DUMMYFUNCTION("""COMPUTED_VALUE"""),"Susan larson")</f>
        <v>Susan larson</v>
      </c>
      <c r="C4030" s="24">
        <f>IFERROR(__xludf.DUMMYFUNCTION("""COMPUTED_VALUE"""),20.0)</f>
        <v>20</v>
      </c>
      <c r="D4030" s="24" t="str">
        <f>IFERROR(__xludf.DUMMYFUNCTION("""COMPUTED_VALUE"""),"Damage/expired/extra")</f>
        <v>Damage/expired/extra</v>
      </c>
      <c r="F4030" s="23">
        <f>IFERROR(__xludf.DUMMYFUNCTION("""COMPUTED_VALUE"""),44900.70218354166)</f>
        <v>44900.70218</v>
      </c>
      <c r="G4030" s="24" t="str">
        <f>IFERROR(__xludf.DUMMYFUNCTION("""COMPUTED_VALUE"""),"JC")</f>
        <v>JC</v>
      </c>
      <c r="H4030" s="24">
        <f>IFERROR(__xludf.DUMMYFUNCTION("""COMPUTED_VALUE"""),749.0)</f>
        <v>749</v>
      </c>
      <c r="I4030" s="24" t="str">
        <f>IFERROR(__xludf.DUMMYFUNCTION("""COMPUTED_VALUE"""),"Amazon")</f>
        <v>Amazon</v>
      </c>
    </row>
    <row r="4031">
      <c r="A4031" s="23">
        <f>IFERROR(__xludf.DUMMYFUNCTION("""COMPUTED_VALUE"""),44880.695143900455)</f>
        <v>44880.69514</v>
      </c>
      <c r="B4031" s="24" t="str">
        <f>IFERROR(__xludf.DUMMYFUNCTION("""COMPUTED_VALUE"""),"Anna West")</f>
        <v>Anna West</v>
      </c>
      <c r="C4031" s="24">
        <f>IFERROR(__xludf.DUMMYFUNCTION("""COMPUTED_VALUE"""),20.0)</f>
        <v>20</v>
      </c>
      <c r="D4031" s="24" t="str">
        <f>IFERROR(__xludf.DUMMYFUNCTION("""COMPUTED_VALUE"""),"Regular (up to 20lbs)")</f>
        <v>Regular (up to 20lbs)</v>
      </c>
      <c r="F4031" s="23">
        <f>IFERROR(__xludf.DUMMYFUNCTION("""COMPUTED_VALUE"""),44900.702507662034)</f>
        <v>44900.70251</v>
      </c>
      <c r="G4031" s="24" t="str">
        <f>IFERROR(__xludf.DUMMYFUNCTION("""COMPUTED_VALUE"""),"JC")</f>
        <v>JC</v>
      </c>
      <c r="H4031" s="24">
        <f>IFERROR(__xludf.DUMMYFUNCTION("""COMPUTED_VALUE"""),698.0)</f>
        <v>698</v>
      </c>
      <c r="I4031" s="24" t="str">
        <f>IFERROR(__xludf.DUMMYFUNCTION("""COMPUTED_VALUE"""),"Amazon")</f>
        <v>Amazon</v>
      </c>
    </row>
    <row r="4032">
      <c r="A4032" s="23">
        <f>IFERROR(__xludf.DUMMYFUNCTION("""COMPUTED_VALUE"""),44880.695289999996)</f>
        <v>44880.69529</v>
      </c>
      <c r="B4032" s="24" t="str">
        <f>IFERROR(__xludf.DUMMYFUNCTION("""COMPUTED_VALUE"""),"Anna West")</f>
        <v>Anna West</v>
      </c>
      <c r="C4032" s="24">
        <f>IFERROR(__xludf.DUMMYFUNCTION("""COMPUTED_VALUE"""),12.0)</f>
        <v>12</v>
      </c>
      <c r="D4032" s="24" t="str">
        <f>IFERROR(__xludf.DUMMYFUNCTION("""COMPUTED_VALUE"""),"Damage/expired/extra")</f>
        <v>Damage/expired/extra</v>
      </c>
      <c r="F4032" s="23">
        <f>IFERROR(__xludf.DUMMYFUNCTION("""COMPUTED_VALUE"""),44900.70389408565)</f>
        <v>44900.70389</v>
      </c>
      <c r="G4032" s="24" t="str">
        <f>IFERROR(__xludf.DUMMYFUNCTION("""COMPUTED_VALUE"""),"JC")</f>
        <v>JC</v>
      </c>
      <c r="H4032" s="24">
        <f>IFERROR(__xludf.DUMMYFUNCTION("""COMPUTED_VALUE"""),357.0)</f>
        <v>357</v>
      </c>
      <c r="I4032" s="24" t="str">
        <f>IFERROR(__xludf.DUMMYFUNCTION("""COMPUTED_VALUE"""),"Frozen [Not Meat]")</f>
        <v>Frozen [Not Meat]</v>
      </c>
    </row>
    <row r="4033">
      <c r="A4033" s="23">
        <f>IFERROR(__xludf.DUMMYFUNCTION("""COMPUTED_VALUE"""),44880.69571677084)</f>
        <v>44880.69572</v>
      </c>
      <c r="B4033" s="24" t="str">
        <f>IFERROR(__xludf.DUMMYFUNCTION("""COMPUTED_VALUE"""),"Kaneesha ")</f>
        <v>Kaneesha </v>
      </c>
      <c r="C4033" s="24">
        <f>IFERROR(__xludf.DUMMYFUNCTION("""COMPUTED_VALUE"""),17.0)</f>
        <v>17</v>
      </c>
      <c r="D4033" s="24" t="str">
        <f>IFERROR(__xludf.DUMMYFUNCTION("""COMPUTED_VALUE"""),"Regular (up to 20lbs)")</f>
        <v>Regular (up to 20lbs)</v>
      </c>
      <c r="F4033" s="23">
        <f>IFERROR(__xludf.DUMMYFUNCTION("""COMPUTED_VALUE"""),44900.70437439815)</f>
        <v>44900.70437</v>
      </c>
      <c r="G4033" s="24" t="str">
        <f>IFERROR(__xludf.DUMMYFUNCTION("""COMPUTED_VALUE"""),"JC")</f>
        <v>JC</v>
      </c>
      <c r="H4033" s="24">
        <f>IFERROR(__xludf.DUMMYFUNCTION("""COMPUTED_VALUE"""),450.0)</f>
        <v>450</v>
      </c>
      <c r="I4033" s="24" t="str">
        <f>IFERROR(__xludf.DUMMYFUNCTION("""COMPUTED_VALUE"""),"Frozen [Not Meat]")</f>
        <v>Frozen [Not Meat]</v>
      </c>
    </row>
    <row r="4034">
      <c r="A4034" s="23">
        <f>IFERROR(__xludf.DUMMYFUNCTION("""COMPUTED_VALUE"""),44880.69585087963)</f>
        <v>44880.69585</v>
      </c>
      <c r="B4034" s="24" t="str">
        <f>IFERROR(__xludf.DUMMYFUNCTION("""COMPUTED_VALUE"""),"Kaneesha ")</f>
        <v>Kaneesha </v>
      </c>
      <c r="C4034" s="24">
        <f>IFERROR(__xludf.DUMMYFUNCTION("""COMPUTED_VALUE"""),20.0)</f>
        <v>20</v>
      </c>
      <c r="D4034" s="24" t="str">
        <f>IFERROR(__xludf.DUMMYFUNCTION("""COMPUTED_VALUE"""),"Damage/expired/extra")</f>
        <v>Damage/expired/extra</v>
      </c>
      <c r="F4034" s="23">
        <f>IFERROR(__xludf.DUMMYFUNCTION("""COMPUTED_VALUE"""),44900.704828912036)</f>
        <v>44900.70483</v>
      </c>
      <c r="G4034" s="24" t="str">
        <f>IFERROR(__xludf.DUMMYFUNCTION("""COMPUTED_VALUE"""),"JC")</f>
        <v>JC</v>
      </c>
      <c r="H4034" s="24">
        <f>IFERROR(__xludf.DUMMYFUNCTION("""COMPUTED_VALUE"""),374.0)</f>
        <v>374</v>
      </c>
      <c r="I4034" s="24" t="str">
        <f>IFERROR(__xludf.DUMMYFUNCTION("""COMPUTED_VALUE"""),"Frozen [Not Meat]")</f>
        <v>Frozen [Not Meat]</v>
      </c>
    </row>
    <row r="4035">
      <c r="A4035" s="23">
        <f>IFERROR(__xludf.DUMMYFUNCTION("""COMPUTED_VALUE"""),44880.6969791088)</f>
        <v>44880.69698</v>
      </c>
      <c r="B4035" s="24" t="str">
        <f>IFERROR(__xludf.DUMMYFUNCTION("""COMPUTED_VALUE"""),"Dorja")</f>
        <v>Dorja</v>
      </c>
      <c r="C4035" s="24">
        <f>IFERROR(__xludf.DUMMYFUNCTION("""COMPUTED_VALUE"""),11.0)</f>
        <v>11</v>
      </c>
      <c r="D4035" s="24" t="str">
        <f>IFERROR(__xludf.DUMMYFUNCTION("""COMPUTED_VALUE"""),"Damage/expired/extra")</f>
        <v>Damage/expired/extra</v>
      </c>
      <c r="F4035" s="23">
        <f>IFERROR(__xludf.DUMMYFUNCTION("""COMPUTED_VALUE"""),44900.70520232638)</f>
        <v>44900.7052</v>
      </c>
      <c r="G4035" s="24" t="str">
        <f>IFERROR(__xludf.DUMMYFUNCTION("""COMPUTED_VALUE"""),"JC")</f>
        <v>JC</v>
      </c>
      <c r="H4035" s="24">
        <f>IFERROR(__xludf.DUMMYFUNCTION("""COMPUTED_VALUE"""),980.0)</f>
        <v>980</v>
      </c>
      <c r="I4035" s="24" t="str">
        <f>IFERROR(__xludf.DUMMYFUNCTION("""COMPUTED_VALUE"""),"Frozen [Not Meat]")</f>
        <v>Frozen [Not Meat]</v>
      </c>
    </row>
    <row r="4036">
      <c r="A4036" s="23">
        <f>IFERROR(__xludf.DUMMYFUNCTION("""COMPUTED_VALUE"""),44880.697335972225)</f>
        <v>44880.69734</v>
      </c>
      <c r="B4036" s="24" t="str">
        <f>IFERROR(__xludf.DUMMYFUNCTION("""COMPUTED_VALUE"""),"Dorja ")</f>
        <v>Dorja </v>
      </c>
      <c r="C4036" s="24">
        <f>IFERROR(__xludf.DUMMYFUNCTION("""COMPUTED_VALUE"""),18.0)</f>
        <v>18</v>
      </c>
      <c r="D4036" s="24" t="str">
        <f>IFERROR(__xludf.DUMMYFUNCTION("""COMPUTED_VALUE"""),"Regular (up to 20lbs)")</f>
        <v>Regular (up to 20lbs)</v>
      </c>
      <c r="F4036" s="23">
        <f>IFERROR(__xludf.DUMMYFUNCTION("""COMPUTED_VALUE"""),44900.7055206713)</f>
        <v>44900.70552</v>
      </c>
      <c r="G4036" s="24" t="str">
        <f>IFERROR(__xludf.DUMMYFUNCTION("""COMPUTED_VALUE"""),"JC")</f>
        <v>JC</v>
      </c>
      <c r="H4036" s="24">
        <f>IFERROR(__xludf.DUMMYFUNCTION("""COMPUTED_VALUE"""),749.0)</f>
        <v>749</v>
      </c>
      <c r="I4036" s="24" t="str">
        <f>IFERROR(__xludf.DUMMYFUNCTION("""COMPUTED_VALUE"""),"Frozen [Not Meat]")</f>
        <v>Frozen [Not Meat]</v>
      </c>
    </row>
    <row r="4037">
      <c r="A4037" s="23">
        <f>IFERROR(__xludf.DUMMYFUNCTION("""COMPUTED_VALUE"""),44880.69794368055)</f>
        <v>44880.69794</v>
      </c>
      <c r="B4037" s="24" t="str">
        <f>IFERROR(__xludf.DUMMYFUNCTION("""COMPUTED_VALUE"""),"Beverly Pinn")</f>
        <v>Beverly Pinn</v>
      </c>
      <c r="C4037" s="24">
        <f>IFERROR(__xludf.DUMMYFUNCTION("""COMPUTED_VALUE"""),20.0)</f>
        <v>20</v>
      </c>
      <c r="D4037" s="24" t="str">
        <f>IFERROR(__xludf.DUMMYFUNCTION("""COMPUTED_VALUE"""),"Regular (up to 20lbs)")</f>
        <v>Regular (up to 20lbs)</v>
      </c>
      <c r="F4037" s="23">
        <f>IFERROR(__xludf.DUMMYFUNCTION("""COMPUTED_VALUE"""),44900.70583047454)</f>
        <v>44900.70583</v>
      </c>
      <c r="G4037" s="24" t="str">
        <f>IFERROR(__xludf.DUMMYFUNCTION("""COMPUTED_VALUE"""),"JC")</f>
        <v>JC</v>
      </c>
      <c r="H4037" s="24">
        <f>IFERROR(__xludf.DUMMYFUNCTION("""COMPUTED_VALUE"""),698.0)</f>
        <v>698</v>
      </c>
      <c r="I4037" s="24" t="str">
        <f>IFERROR(__xludf.DUMMYFUNCTION("""COMPUTED_VALUE"""),"Frozen [Not Meat]")</f>
        <v>Frozen [Not Meat]</v>
      </c>
    </row>
    <row r="4038">
      <c r="A4038" s="23">
        <f>IFERROR(__xludf.DUMMYFUNCTION("""COMPUTED_VALUE"""),44880.69817574074)</f>
        <v>44880.69818</v>
      </c>
      <c r="B4038" s="24" t="str">
        <f>IFERROR(__xludf.DUMMYFUNCTION("""COMPUTED_VALUE"""),"Beverly Pinn")</f>
        <v>Beverly Pinn</v>
      </c>
      <c r="C4038" s="24">
        <f>IFERROR(__xludf.DUMMYFUNCTION("""COMPUTED_VALUE"""),21.0)</f>
        <v>21</v>
      </c>
      <c r="D4038" s="24" t="str">
        <f>IFERROR(__xludf.DUMMYFUNCTION("""COMPUTED_VALUE"""),"Damage/expired/extra")</f>
        <v>Damage/expired/extra</v>
      </c>
      <c r="F4038" s="23">
        <f>IFERROR(__xludf.DUMMYFUNCTION("""COMPUTED_VALUE"""),44901.0)</f>
        <v>44901</v>
      </c>
      <c r="G4038" s="24" t="str">
        <f>IFERROR(__xludf.DUMMYFUNCTION("""COMPUTED_VALUE"""),"Marci")</f>
        <v>Marci</v>
      </c>
      <c r="H4038" s="24">
        <f>IFERROR(__xludf.DUMMYFUNCTION("""COMPUTED_VALUE"""),14.0)</f>
        <v>14</v>
      </c>
      <c r="I4038" s="24" t="str">
        <f>IFERROR(__xludf.DUMMYFUNCTION("""COMPUTED_VALUE"""),"Regular (up to 20lbs)")</f>
        <v>Regular (up to 20lbs)</v>
      </c>
    </row>
    <row r="4039">
      <c r="A4039" s="23">
        <f>IFERROR(__xludf.DUMMYFUNCTION("""COMPUTED_VALUE"""),44880.69868086806)</f>
        <v>44880.69868</v>
      </c>
      <c r="B4039" s="24" t="str">
        <f>IFERROR(__xludf.DUMMYFUNCTION("""COMPUTED_VALUE"""),"Jean")</f>
        <v>Jean</v>
      </c>
      <c r="C4039" s="24">
        <f>IFERROR(__xludf.DUMMYFUNCTION("""COMPUTED_VALUE"""),23.0)</f>
        <v>23</v>
      </c>
      <c r="D4039" s="24" t="str">
        <f>IFERROR(__xludf.DUMMYFUNCTION("""COMPUTED_VALUE"""),"Regular (up to 20lbs)")</f>
        <v>Regular (up to 20lbs)</v>
      </c>
      <c r="F4039" s="23">
        <f>IFERROR(__xludf.DUMMYFUNCTION("""COMPUTED_VALUE"""),44901.0)</f>
        <v>44901</v>
      </c>
      <c r="G4039" s="24" t="str">
        <f>IFERROR(__xludf.DUMMYFUNCTION("""COMPUTED_VALUE"""),"Marci")</f>
        <v>Marci</v>
      </c>
      <c r="H4039" s="24">
        <f>IFERROR(__xludf.DUMMYFUNCTION("""COMPUTED_VALUE"""),21.0)</f>
        <v>21</v>
      </c>
      <c r="I4039" s="24" t="str">
        <f>IFERROR(__xludf.DUMMYFUNCTION("""COMPUTED_VALUE"""),"Damage/expired/extra")</f>
        <v>Damage/expired/extra</v>
      </c>
    </row>
    <row r="4040">
      <c r="A4040" s="23">
        <f>IFERROR(__xludf.DUMMYFUNCTION("""COMPUTED_VALUE"""),44880.699394131945)</f>
        <v>44880.69939</v>
      </c>
      <c r="B4040" s="24" t="str">
        <f>IFERROR(__xludf.DUMMYFUNCTION("""COMPUTED_VALUE"""),"Jean")</f>
        <v>Jean</v>
      </c>
      <c r="C4040" s="24">
        <f>IFERROR(__xludf.DUMMYFUNCTION("""COMPUTED_VALUE"""),27.0)</f>
        <v>27</v>
      </c>
      <c r="D4040" s="24" t="str">
        <f>IFERROR(__xludf.DUMMYFUNCTION("""COMPUTED_VALUE"""),"Damage/expired/extra")</f>
        <v>Damage/expired/extra</v>
      </c>
      <c r="F4040" s="23">
        <f>IFERROR(__xludf.DUMMYFUNCTION("""COMPUTED_VALUE"""),44901.680650532406)</f>
        <v>44901.68065</v>
      </c>
      <c r="G4040" s="24" t="str">
        <f>IFERROR(__xludf.DUMMYFUNCTION("""COMPUTED_VALUE"""),"Romaine Bouldin ")</f>
        <v>Romaine Bouldin </v>
      </c>
      <c r="H4040" s="24">
        <f>IFERROR(__xludf.DUMMYFUNCTION("""COMPUTED_VALUE"""),14.0)</f>
        <v>14</v>
      </c>
      <c r="I4040" s="24" t="str">
        <f>IFERROR(__xludf.DUMMYFUNCTION("""COMPUTED_VALUE"""),"Regular (up to 20lbs)")</f>
        <v>Regular (up to 20lbs)</v>
      </c>
    </row>
    <row r="4041">
      <c r="A4041" s="23">
        <f>IFERROR(__xludf.DUMMYFUNCTION("""COMPUTED_VALUE"""),44881.0)</f>
        <v>44881</v>
      </c>
      <c r="B4041" s="24" t="str">
        <f>IFERROR(__xludf.DUMMYFUNCTION("""COMPUTED_VALUE"""),"Juanita Chandler ")</f>
        <v>Juanita Chandler </v>
      </c>
      <c r="C4041" s="24">
        <f>IFERROR(__xludf.DUMMYFUNCTION("""COMPUTED_VALUE"""),18.0)</f>
        <v>18</v>
      </c>
      <c r="D4041" s="24" t="str">
        <f>IFERROR(__xludf.DUMMYFUNCTION("""COMPUTED_VALUE"""),"Regular (up to 20lbs)")</f>
        <v>Regular (up to 20lbs)</v>
      </c>
      <c r="F4041" s="23">
        <f>IFERROR(__xludf.DUMMYFUNCTION("""COMPUTED_VALUE"""),44901.68098929398)</f>
        <v>44901.68099</v>
      </c>
      <c r="G4041" s="24" t="str">
        <f>IFERROR(__xludf.DUMMYFUNCTION("""COMPUTED_VALUE"""),"Romaine Bouldin ")</f>
        <v>Romaine Bouldin </v>
      </c>
      <c r="H4041" s="24">
        <f>IFERROR(__xludf.DUMMYFUNCTION("""COMPUTED_VALUE"""),10.0)</f>
        <v>10</v>
      </c>
      <c r="I4041" s="24" t="str">
        <f>IFERROR(__xludf.DUMMYFUNCTION("""COMPUTED_VALUE"""),"Damage/expired/extra")</f>
        <v>Damage/expired/extra</v>
      </c>
    </row>
    <row r="4042">
      <c r="A4042" s="23">
        <f>IFERROR(__xludf.DUMMYFUNCTION("""COMPUTED_VALUE"""),44881.0)</f>
        <v>44881</v>
      </c>
      <c r="B4042" s="24" t="str">
        <f>IFERROR(__xludf.DUMMYFUNCTION("""COMPUTED_VALUE"""),"Juanita Chandler ")</f>
        <v>Juanita Chandler </v>
      </c>
      <c r="C4042" s="24">
        <f>IFERROR(__xludf.DUMMYFUNCTION("""COMPUTED_VALUE"""),8.0)</f>
        <v>8</v>
      </c>
      <c r="D4042" s="24" t="str">
        <f>IFERROR(__xludf.DUMMYFUNCTION("""COMPUTED_VALUE"""),"Damage/expired/extra")</f>
        <v>Damage/expired/extra</v>
      </c>
      <c r="F4042" s="23">
        <f>IFERROR(__xludf.DUMMYFUNCTION("""COMPUTED_VALUE"""),44901.68110640046)</f>
        <v>44901.68111</v>
      </c>
      <c r="G4042" s="24" t="str">
        <f>IFERROR(__xludf.DUMMYFUNCTION("""COMPUTED_VALUE"""),"Beverly Graham ")</f>
        <v>Beverly Graham </v>
      </c>
      <c r="H4042" s="24">
        <f>IFERROR(__xludf.DUMMYFUNCTION("""COMPUTED_VALUE"""),15.0)</f>
        <v>15</v>
      </c>
      <c r="I4042" s="24" t="str">
        <f>IFERROR(__xludf.DUMMYFUNCTION("""COMPUTED_VALUE"""),"Regular (up to 20lbs)")</f>
        <v>Regular (up to 20lbs)</v>
      </c>
    </row>
    <row r="4043">
      <c r="A4043" s="23">
        <f>IFERROR(__xludf.DUMMYFUNCTION("""COMPUTED_VALUE"""),44881.0)</f>
        <v>44881</v>
      </c>
      <c r="B4043" s="24" t="str">
        <f>IFERROR(__xludf.DUMMYFUNCTION("""COMPUTED_VALUE"""),"Doris Parker Tuggle")</f>
        <v>Doris Parker Tuggle</v>
      </c>
      <c r="C4043" s="24">
        <f>IFERROR(__xludf.DUMMYFUNCTION("""COMPUTED_VALUE"""),20.0)</f>
        <v>20</v>
      </c>
      <c r="D4043" s="24" t="str">
        <f>IFERROR(__xludf.DUMMYFUNCTION("""COMPUTED_VALUE"""),"Regular (up to 20lbs)")</f>
        <v>Regular (up to 20lbs)</v>
      </c>
      <c r="F4043" s="23">
        <f>IFERROR(__xludf.DUMMYFUNCTION("""COMPUTED_VALUE"""),44901.68133458333)</f>
        <v>44901.68133</v>
      </c>
      <c r="G4043" s="24" t="str">
        <f>IFERROR(__xludf.DUMMYFUNCTION("""COMPUTED_VALUE"""),"Beverly Graham ")</f>
        <v>Beverly Graham </v>
      </c>
      <c r="H4043" s="24">
        <f>IFERROR(__xludf.DUMMYFUNCTION("""COMPUTED_VALUE"""),3.0)</f>
        <v>3</v>
      </c>
      <c r="I4043" s="24" t="str">
        <f>IFERROR(__xludf.DUMMYFUNCTION("""COMPUTED_VALUE"""),"Damage/expired/extra")</f>
        <v>Damage/expired/extra</v>
      </c>
    </row>
    <row r="4044">
      <c r="A4044" s="23">
        <f>IFERROR(__xludf.DUMMYFUNCTION("""COMPUTED_VALUE"""),44881.0)</f>
        <v>44881</v>
      </c>
      <c r="B4044" s="24" t="str">
        <f>IFERROR(__xludf.DUMMYFUNCTION("""COMPUTED_VALUE"""),"Doris Parker Tuggle")</f>
        <v>Doris Parker Tuggle</v>
      </c>
      <c r="C4044" s="24">
        <f>IFERROR(__xludf.DUMMYFUNCTION("""COMPUTED_VALUE"""),3.0)</f>
        <v>3</v>
      </c>
      <c r="D4044" s="24" t="str">
        <f>IFERROR(__xludf.DUMMYFUNCTION("""COMPUTED_VALUE"""),"Damage/expired/extra")</f>
        <v>Damage/expired/extra</v>
      </c>
      <c r="F4044" s="23">
        <f>IFERROR(__xludf.DUMMYFUNCTION("""COMPUTED_VALUE"""),44901.68475862269)</f>
        <v>44901.68476</v>
      </c>
      <c r="G4044" s="24" t="str">
        <f>IFERROR(__xludf.DUMMYFUNCTION("""COMPUTED_VALUE"""),"Jean")</f>
        <v>Jean</v>
      </c>
      <c r="H4044" s="24">
        <f>IFERROR(__xludf.DUMMYFUNCTION("""COMPUTED_VALUE"""),5.0)</f>
        <v>5</v>
      </c>
      <c r="I4044" s="24" t="str">
        <f>IFERROR(__xludf.DUMMYFUNCTION("""COMPUTED_VALUE"""),"Regular (up to 20lbs)")</f>
        <v>Regular (up to 20lbs)</v>
      </c>
    </row>
    <row r="4045">
      <c r="A4045" s="23">
        <f>IFERROR(__xludf.DUMMYFUNCTION("""COMPUTED_VALUE"""),44881.689620983794)</f>
        <v>44881.68962</v>
      </c>
      <c r="B4045" s="24" t="str">
        <f>IFERROR(__xludf.DUMMYFUNCTION("""COMPUTED_VALUE"""),"Michelle Collins")</f>
        <v>Michelle Collins</v>
      </c>
      <c r="C4045" s="24">
        <f>IFERROR(__xludf.DUMMYFUNCTION("""COMPUTED_VALUE"""),95.0)</f>
        <v>95</v>
      </c>
      <c r="D4045" s="24" t="str">
        <f>IFERROR(__xludf.DUMMYFUNCTION("""COMPUTED_VALUE"""),"Damage/expired/extra")</f>
        <v>Damage/expired/extra</v>
      </c>
      <c r="F4045" s="23">
        <f>IFERROR(__xludf.DUMMYFUNCTION("""COMPUTED_VALUE"""),44901.685035613424)</f>
        <v>44901.68504</v>
      </c>
      <c r="G4045" s="24" t="str">
        <f>IFERROR(__xludf.DUMMYFUNCTION("""COMPUTED_VALUE"""),"Jean")</f>
        <v>Jean</v>
      </c>
      <c r="H4045" s="24">
        <f>IFERROR(__xludf.DUMMYFUNCTION("""COMPUTED_VALUE"""),98.0)</f>
        <v>98</v>
      </c>
      <c r="I4045" s="24" t="str">
        <f>IFERROR(__xludf.DUMMYFUNCTION("""COMPUTED_VALUE"""),"Damage/expired/extra")</f>
        <v>Damage/expired/extra</v>
      </c>
    </row>
    <row r="4046">
      <c r="A4046" s="23">
        <f>IFERROR(__xludf.DUMMYFUNCTION("""COMPUTED_VALUE"""),44881.700121041664)</f>
        <v>44881.70012</v>
      </c>
      <c r="B4046" s="24" t="str">
        <f>IFERROR(__xludf.DUMMYFUNCTION("""COMPUTED_VALUE"""),"Karen")</f>
        <v>Karen</v>
      </c>
      <c r="C4046" s="24">
        <f>IFERROR(__xludf.DUMMYFUNCTION("""COMPUTED_VALUE"""),19.0)</f>
        <v>19</v>
      </c>
      <c r="D4046" s="24" t="str">
        <f>IFERROR(__xludf.DUMMYFUNCTION("""COMPUTED_VALUE"""),"Regular (up to 20lbs)")</f>
        <v>Regular (up to 20lbs)</v>
      </c>
      <c r="F4046" s="23">
        <f>IFERROR(__xludf.DUMMYFUNCTION("""COMPUTED_VALUE"""),44901.68534989583)</f>
        <v>44901.68535</v>
      </c>
      <c r="G4046" s="24" t="str">
        <f>IFERROR(__xludf.DUMMYFUNCTION("""COMPUTED_VALUE"""),"Beverly Pinn")</f>
        <v>Beverly Pinn</v>
      </c>
      <c r="H4046" s="24">
        <f>IFERROR(__xludf.DUMMYFUNCTION("""COMPUTED_VALUE"""),20.0)</f>
        <v>20</v>
      </c>
      <c r="I4046" s="24" t="str">
        <f>IFERROR(__xludf.DUMMYFUNCTION("""COMPUTED_VALUE"""),"Regular (up to 20lbs)")</f>
        <v>Regular (up to 20lbs)</v>
      </c>
    </row>
    <row r="4047">
      <c r="A4047" s="23">
        <f>IFERROR(__xludf.DUMMYFUNCTION("""COMPUTED_VALUE"""),44881.70080734954)</f>
        <v>44881.70081</v>
      </c>
      <c r="B4047" s="24" t="str">
        <f>IFERROR(__xludf.DUMMYFUNCTION("""COMPUTED_VALUE"""),"Karen")</f>
        <v>Karen</v>
      </c>
      <c r="C4047" s="24">
        <f>IFERROR(__xludf.DUMMYFUNCTION("""COMPUTED_VALUE"""),6.0)</f>
        <v>6</v>
      </c>
      <c r="D4047" s="24" t="str">
        <f>IFERROR(__xludf.DUMMYFUNCTION("""COMPUTED_VALUE"""),"Damage/expired/extra")</f>
        <v>Damage/expired/extra</v>
      </c>
      <c r="F4047" s="23">
        <f>IFERROR(__xludf.DUMMYFUNCTION("""COMPUTED_VALUE"""),44901.68537608796)</f>
        <v>44901.68538</v>
      </c>
      <c r="G4047" s="24" t="str">
        <f>IFERROR(__xludf.DUMMYFUNCTION("""COMPUTED_VALUE"""),"Rosemary Hendricks")</f>
        <v>Rosemary Hendricks</v>
      </c>
      <c r="H4047" s="24">
        <f>IFERROR(__xludf.DUMMYFUNCTION("""COMPUTED_VALUE"""),16.0)</f>
        <v>16</v>
      </c>
      <c r="I4047" s="24" t="str">
        <f>IFERROR(__xludf.DUMMYFUNCTION("""COMPUTED_VALUE"""),"Regular (up to 20lbs)")</f>
        <v>Regular (up to 20lbs)</v>
      </c>
    </row>
    <row r="4048">
      <c r="A4048" s="23">
        <f>IFERROR(__xludf.DUMMYFUNCTION("""COMPUTED_VALUE"""),44881.77721917824)</f>
        <v>44881.77722</v>
      </c>
      <c r="B4048" s="24" t="str">
        <f>IFERROR(__xludf.DUMMYFUNCTION("""COMPUTED_VALUE"""),"Lynnette ")</f>
        <v>Lynnette </v>
      </c>
      <c r="C4048" s="24">
        <f>IFERROR(__xludf.DUMMYFUNCTION("""COMPUTED_VALUE"""),21.0)</f>
        <v>21</v>
      </c>
      <c r="D4048" s="24" t="str">
        <f>IFERROR(__xludf.DUMMYFUNCTION("""COMPUTED_VALUE"""),"Damage/expired/extra")</f>
        <v>Damage/expired/extra</v>
      </c>
      <c r="F4048" s="23">
        <f>IFERROR(__xludf.DUMMYFUNCTION("""COMPUTED_VALUE"""),44901.68549003472)</f>
        <v>44901.68549</v>
      </c>
      <c r="G4048" s="24" t="str">
        <f>IFERROR(__xludf.DUMMYFUNCTION("""COMPUTED_VALUE"""),"Beverly Pinn")</f>
        <v>Beverly Pinn</v>
      </c>
      <c r="H4048" s="24">
        <f>IFERROR(__xludf.DUMMYFUNCTION("""COMPUTED_VALUE"""),9.0)</f>
        <v>9</v>
      </c>
      <c r="I4048" s="24" t="str">
        <f>IFERROR(__xludf.DUMMYFUNCTION("""COMPUTED_VALUE"""),"Damage/expired/extra")</f>
        <v>Damage/expired/extra</v>
      </c>
    </row>
    <row r="4049">
      <c r="A4049" s="23">
        <f>IFERROR(__xludf.DUMMYFUNCTION("""COMPUTED_VALUE"""),44881.82594476853)</f>
        <v>44881.82594</v>
      </c>
      <c r="B4049" s="24" t="str">
        <f>IFERROR(__xludf.DUMMYFUNCTION("""COMPUTED_VALUE"""),"Nishikar Paruchuri ")</f>
        <v>Nishikar Paruchuri </v>
      </c>
      <c r="C4049" s="24">
        <f>IFERROR(__xludf.DUMMYFUNCTION("""COMPUTED_VALUE"""),5.0)</f>
        <v>5</v>
      </c>
      <c r="D4049" s="24" t="str">
        <f>IFERROR(__xludf.DUMMYFUNCTION("""COMPUTED_VALUE"""),"Regular (up to 20lbs)")</f>
        <v>Regular (up to 20lbs)</v>
      </c>
      <c r="F4049" s="23">
        <f>IFERROR(__xludf.DUMMYFUNCTION("""COMPUTED_VALUE"""),44901.6856602662)</f>
        <v>44901.68566</v>
      </c>
      <c r="G4049" s="24" t="str">
        <f>IFERROR(__xludf.DUMMYFUNCTION("""COMPUTED_VALUE"""),"Rosemary Hendricks")</f>
        <v>Rosemary Hendricks</v>
      </c>
      <c r="H4049" s="24">
        <f>IFERROR(__xludf.DUMMYFUNCTION("""COMPUTED_VALUE"""),1.0)</f>
        <v>1</v>
      </c>
      <c r="I4049" s="24" t="str">
        <f>IFERROR(__xludf.DUMMYFUNCTION("""COMPUTED_VALUE"""),"Damage/expired/extra")</f>
        <v>Damage/expired/extra</v>
      </c>
    </row>
    <row r="4050">
      <c r="A4050" s="23">
        <f>IFERROR(__xludf.DUMMYFUNCTION("""COMPUTED_VALUE"""),44881.82746583333)</f>
        <v>44881.82747</v>
      </c>
      <c r="B4050" s="24" t="str">
        <f>IFERROR(__xludf.DUMMYFUNCTION("""COMPUTED_VALUE"""),"Connor Gephart")</f>
        <v>Connor Gephart</v>
      </c>
      <c r="C4050" s="24">
        <f>IFERROR(__xludf.DUMMYFUNCTION("""COMPUTED_VALUE"""),6.0)</f>
        <v>6</v>
      </c>
      <c r="D4050" s="24" t="str">
        <f>IFERROR(__xludf.DUMMYFUNCTION("""COMPUTED_VALUE"""),"Regular (up to 20lbs)")</f>
        <v>Regular (up to 20lbs)</v>
      </c>
      <c r="F4050" s="23">
        <f>IFERROR(__xludf.DUMMYFUNCTION("""COMPUTED_VALUE"""),44901.686437847224)</f>
        <v>44901.68644</v>
      </c>
      <c r="G4050" s="24" t="str">
        <f>IFERROR(__xludf.DUMMYFUNCTION("""COMPUTED_VALUE"""),"Susan larson")</f>
        <v>Susan larson</v>
      </c>
      <c r="H4050" s="24">
        <f>IFERROR(__xludf.DUMMYFUNCTION("""COMPUTED_VALUE"""),20.0)</f>
        <v>20</v>
      </c>
      <c r="I4050" s="24" t="str">
        <f>IFERROR(__xludf.DUMMYFUNCTION("""COMPUTED_VALUE"""),"Regular (up to 20lbs)")</f>
        <v>Regular (up to 20lbs)</v>
      </c>
    </row>
    <row r="4051">
      <c r="A4051" s="23">
        <f>IFERROR(__xludf.DUMMYFUNCTION("""COMPUTED_VALUE"""),44881.82858061342)</f>
        <v>44881.82858</v>
      </c>
      <c r="B4051" s="24" t="str">
        <f>IFERROR(__xludf.DUMMYFUNCTION("""COMPUTED_VALUE"""),"Maddie Pardes")</f>
        <v>Maddie Pardes</v>
      </c>
      <c r="C4051" s="24">
        <f>IFERROR(__xludf.DUMMYFUNCTION("""COMPUTED_VALUE"""),11.0)</f>
        <v>11</v>
      </c>
      <c r="D4051" s="24" t="str">
        <f>IFERROR(__xludf.DUMMYFUNCTION("""COMPUTED_VALUE"""),"Regular (up to 20lbs)")</f>
        <v>Regular (up to 20lbs)</v>
      </c>
      <c r="F4051" s="23">
        <f>IFERROR(__xludf.DUMMYFUNCTION("""COMPUTED_VALUE"""),44901.686618125)</f>
        <v>44901.68662</v>
      </c>
      <c r="G4051" s="24" t="str">
        <f>IFERROR(__xludf.DUMMYFUNCTION("""COMPUTED_VALUE"""),"Susan larson")</f>
        <v>Susan larson</v>
      </c>
      <c r="H4051" s="24">
        <f>IFERROR(__xludf.DUMMYFUNCTION("""COMPUTED_VALUE"""),5.0)</f>
        <v>5</v>
      </c>
      <c r="I4051" s="24" t="str">
        <f>IFERROR(__xludf.DUMMYFUNCTION("""COMPUTED_VALUE"""),"Damage/expired/extra")</f>
        <v>Damage/expired/extra</v>
      </c>
    </row>
    <row r="4052">
      <c r="A4052" s="23">
        <f>IFERROR(__xludf.DUMMYFUNCTION("""COMPUTED_VALUE"""),44881.829681724535)</f>
        <v>44881.82968</v>
      </c>
      <c r="B4052" s="24" t="str">
        <f>IFERROR(__xludf.DUMMYFUNCTION("""COMPUTED_VALUE"""),"Ellen Cho")</f>
        <v>Ellen Cho</v>
      </c>
      <c r="C4052" s="24">
        <f>IFERROR(__xludf.DUMMYFUNCTION("""COMPUTED_VALUE"""),8.0)</f>
        <v>8</v>
      </c>
      <c r="D4052" s="24" t="str">
        <f>IFERROR(__xludf.DUMMYFUNCTION("""COMPUTED_VALUE"""),"Regular (up to 20lbs)")</f>
        <v>Regular (up to 20lbs)</v>
      </c>
      <c r="F4052" s="23">
        <f>IFERROR(__xludf.DUMMYFUNCTION("""COMPUTED_VALUE"""),44901.69077221065)</f>
        <v>44901.69077</v>
      </c>
      <c r="G4052" s="24" t="str">
        <f>IFERROR(__xludf.DUMMYFUNCTION("""COMPUTED_VALUE"""),"Kaneesha ")</f>
        <v>Kaneesha </v>
      </c>
      <c r="H4052" s="24">
        <f>IFERROR(__xludf.DUMMYFUNCTION("""COMPUTED_VALUE"""),20.0)</f>
        <v>20</v>
      </c>
      <c r="I4052" s="24" t="str">
        <f>IFERROR(__xludf.DUMMYFUNCTION("""COMPUTED_VALUE"""),"Regular (up to 20lbs)")</f>
        <v>Regular (up to 20lbs)</v>
      </c>
    </row>
    <row r="4053">
      <c r="A4053" s="23">
        <f>IFERROR(__xludf.DUMMYFUNCTION("""COMPUTED_VALUE"""),44881.82981365741)</f>
        <v>44881.82981</v>
      </c>
      <c r="B4053" s="24" t="str">
        <f>IFERROR(__xludf.DUMMYFUNCTION("""COMPUTED_VALUE"""),"Emily Zhang ")</f>
        <v>Emily Zhang </v>
      </c>
      <c r="C4053" s="24">
        <f>IFERROR(__xludf.DUMMYFUNCTION("""COMPUTED_VALUE"""),13.0)</f>
        <v>13</v>
      </c>
      <c r="D4053" s="24" t="str">
        <f>IFERROR(__xludf.DUMMYFUNCTION("""COMPUTED_VALUE"""),"Regular (up to 20lbs)")</f>
        <v>Regular (up to 20lbs)</v>
      </c>
      <c r="F4053" s="23">
        <f>IFERROR(__xludf.DUMMYFUNCTION("""COMPUTED_VALUE"""),44901.69090879629)</f>
        <v>44901.69091</v>
      </c>
      <c r="G4053" s="24" t="str">
        <f>IFERROR(__xludf.DUMMYFUNCTION("""COMPUTED_VALUE"""),"Kaneesha ")</f>
        <v>Kaneesha </v>
      </c>
      <c r="H4053" s="24">
        <f>IFERROR(__xludf.DUMMYFUNCTION("""COMPUTED_VALUE"""),10.0)</f>
        <v>10</v>
      </c>
      <c r="I4053" s="24" t="str">
        <f>IFERROR(__xludf.DUMMYFUNCTION("""COMPUTED_VALUE"""),"Damage/expired/extra")</f>
        <v>Damage/expired/extra</v>
      </c>
    </row>
    <row r="4054">
      <c r="A4054" s="23">
        <f>IFERROR(__xludf.DUMMYFUNCTION("""COMPUTED_VALUE"""),44881.83117844907)</f>
        <v>44881.83118</v>
      </c>
      <c r="B4054" s="24" t="str">
        <f>IFERROR(__xludf.DUMMYFUNCTION("""COMPUTED_VALUE"""),"Luke mayhew ")</f>
        <v>Luke mayhew </v>
      </c>
      <c r="C4054" s="24">
        <f>IFERROR(__xludf.DUMMYFUNCTION("""COMPUTED_VALUE"""),19.0)</f>
        <v>19</v>
      </c>
      <c r="D4054" s="24" t="str">
        <f>IFERROR(__xludf.DUMMYFUNCTION("""COMPUTED_VALUE"""),"Regular (up to 20lbs)")</f>
        <v>Regular (up to 20lbs)</v>
      </c>
      <c r="F4054" s="23">
        <f>IFERROR(__xludf.DUMMYFUNCTION("""COMPUTED_VALUE"""),44902.0)</f>
        <v>44902</v>
      </c>
      <c r="G4054" s="24" t="str">
        <f>IFERROR(__xludf.DUMMYFUNCTION("""COMPUTED_VALUE"""),"Juanita Chandler ")</f>
        <v>Juanita Chandler </v>
      </c>
      <c r="H4054" s="24">
        <f>IFERROR(__xludf.DUMMYFUNCTION("""COMPUTED_VALUE"""),13.0)</f>
        <v>13</v>
      </c>
      <c r="I4054" s="24" t="str">
        <f>IFERROR(__xludf.DUMMYFUNCTION("""COMPUTED_VALUE"""),"Regular (up to 20lbs)")</f>
        <v>Regular (up to 20lbs)</v>
      </c>
    </row>
    <row r="4055">
      <c r="A4055" s="23">
        <f>IFERROR(__xludf.DUMMYFUNCTION("""COMPUTED_VALUE"""),44881.83130969907)</f>
        <v>44881.83131</v>
      </c>
      <c r="B4055" s="24" t="str">
        <f>IFERROR(__xludf.DUMMYFUNCTION("""COMPUTED_VALUE"""),"Luke mayhew")</f>
        <v>Luke mayhew</v>
      </c>
      <c r="C4055" s="24">
        <f>IFERROR(__xludf.DUMMYFUNCTION("""COMPUTED_VALUE"""),6.0)</f>
        <v>6</v>
      </c>
      <c r="D4055" s="24" t="str">
        <f>IFERROR(__xludf.DUMMYFUNCTION("""COMPUTED_VALUE"""),"Damage/expired/extra")</f>
        <v>Damage/expired/extra</v>
      </c>
      <c r="F4055" s="23">
        <f>IFERROR(__xludf.DUMMYFUNCTION("""COMPUTED_VALUE"""),44902.0)</f>
        <v>44902</v>
      </c>
      <c r="G4055" s="24" t="str">
        <f>IFERROR(__xludf.DUMMYFUNCTION("""COMPUTED_VALUE"""),"Juanita Chandler ")</f>
        <v>Juanita Chandler </v>
      </c>
      <c r="H4055" s="24">
        <f>IFERROR(__xludf.DUMMYFUNCTION("""COMPUTED_VALUE"""),23.0)</f>
        <v>23</v>
      </c>
      <c r="I4055" s="24" t="str">
        <f>IFERROR(__xludf.DUMMYFUNCTION("""COMPUTED_VALUE"""),"Damage/expired/extra")</f>
        <v>Damage/expired/extra</v>
      </c>
    </row>
    <row r="4056">
      <c r="A4056" s="23">
        <f>IFERROR(__xludf.DUMMYFUNCTION("""COMPUTED_VALUE"""),44882.0304150463)</f>
        <v>44882.03042</v>
      </c>
      <c r="B4056" s="24" t="str">
        <f>IFERROR(__xludf.DUMMYFUNCTION("""COMPUTED_VALUE"""),"Emily Zhang")</f>
        <v>Emily Zhang</v>
      </c>
      <c r="C4056" s="24">
        <f>IFERROR(__xludf.DUMMYFUNCTION("""COMPUTED_VALUE"""),3.0)</f>
        <v>3</v>
      </c>
      <c r="D4056" s="24" t="str">
        <f>IFERROR(__xludf.DUMMYFUNCTION("""COMPUTED_VALUE"""),"Damage/expired/extra")</f>
        <v>Damage/expired/extra</v>
      </c>
      <c r="F4056" s="23">
        <f>IFERROR(__xludf.DUMMYFUNCTION("""COMPUTED_VALUE"""),44902.0)</f>
        <v>44902</v>
      </c>
      <c r="G4056" s="24" t="str">
        <f>IFERROR(__xludf.DUMMYFUNCTION("""COMPUTED_VALUE"""),"Sarah K")</f>
        <v>Sarah K</v>
      </c>
      <c r="H4056" s="24">
        <f>IFERROR(__xludf.DUMMYFUNCTION("""COMPUTED_VALUE"""),10.0)</f>
        <v>10</v>
      </c>
      <c r="I4056" s="24" t="str">
        <f>IFERROR(__xludf.DUMMYFUNCTION("""COMPUTED_VALUE"""),"Regular (up to 20lbs)")</f>
        <v>Regular (up to 20lbs)</v>
      </c>
    </row>
    <row r="4057">
      <c r="A4057" s="23">
        <f>IFERROR(__xludf.DUMMYFUNCTION("""COMPUTED_VALUE"""),44882.0)</f>
        <v>44882</v>
      </c>
      <c r="B4057" s="24" t="str">
        <f>IFERROR(__xludf.DUMMYFUNCTION("""COMPUTED_VALUE"""),"Jean")</f>
        <v>Jean</v>
      </c>
      <c r="C4057" s="24">
        <f>IFERROR(__xludf.DUMMYFUNCTION("""COMPUTED_VALUE"""),12.0)</f>
        <v>12</v>
      </c>
      <c r="D4057" s="24" t="str">
        <f>IFERROR(__xludf.DUMMYFUNCTION("""COMPUTED_VALUE"""),"Regular (up to 20lbs)")</f>
        <v>Regular (up to 20lbs)</v>
      </c>
      <c r="F4057" s="23">
        <f>IFERROR(__xludf.DUMMYFUNCTION("""COMPUTED_VALUE"""),44902.0)</f>
        <v>44902</v>
      </c>
      <c r="G4057" s="24" t="str">
        <f>IFERROR(__xludf.DUMMYFUNCTION("""COMPUTED_VALUE"""),"Marci")</f>
        <v>Marci</v>
      </c>
      <c r="H4057" s="24">
        <f>IFERROR(__xludf.DUMMYFUNCTION("""COMPUTED_VALUE"""),19.0)</f>
        <v>19</v>
      </c>
      <c r="I4057" s="24" t="str">
        <f>IFERROR(__xludf.DUMMYFUNCTION("""COMPUTED_VALUE"""),"Regular (up to 20lbs)")</f>
        <v>Regular (up to 20lbs)</v>
      </c>
    </row>
    <row r="4058">
      <c r="A4058" s="23">
        <f>IFERROR(__xludf.DUMMYFUNCTION("""COMPUTED_VALUE"""),44882.0)</f>
        <v>44882</v>
      </c>
      <c r="B4058" s="24" t="str">
        <f>IFERROR(__xludf.DUMMYFUNCTION("""COMPUTED_VALUE"""),"Norma &amp; friend")</f>
        <v>Norma &amp; friend</v>
      </c>
      <c r="C4058" s="24">
        <f>IFERROR(__xludf.DUMMYFUNCTION("""COMPUTED_VALUE"""),23.0)</f>
        <v>23</v>
      </c>
      <c r="D4058" s="24" t="str">
        <f>IFERROR(__xludf.DUMMYFUNCTION("""COMPUTED_VALUE"""),"Regular (up to 20lbs)")</f>
        <v>Regular (up to 20lbs)</v>
      </c>
      <c r="F4058" s="23">
        <f>IFERROR(__xludf.DUMMYFUNCTION("""COMPUTED_VALUE"""),44902.0)</f>
        <v>44902</v>
      </c>
      <c r="G4058" s="24" t="str">
        <f>IFERROR(__xludf.DUMMYFUNCTION("""COMPUTED_VALUE"""),"Marci")</f>
        <v>Marci</v>
      </c>
      <c r="H4058" s="24">
        <f>IFERROR(__xludf.DUMMYFUNCTION("""COMPUTED_VALUE"""),10.0)</f>
        <v>10</v>
      </c>
      <c r="I4058" s="24" t="str">
        <f>IFERROR(__xludf.DUMMYFUNCTION("""COMPUTED_VALUE"""),"Damage/expired/extra")</f>
        <v>Damage/expired/extra</v>
      </c>
    </row>
    <row r="4059">
      <c r="A4059" s="23">
        <f>IFERROR(__xludf.DUMMYFUNCTION("""COMPUTED_VALUE"""),44882.0)</f>
        <v>44882</v>
      </c>
      <c r="B4059" s="24" t="str">
        <f>IFERROR(__xludf.DUMMYFUNCTION("""COMPUTED_VALUE"""),"Barbara Jordan")</f>
        <v>Barbara Jordan</v>
      </c>
      <c r="C4059" s="24">
        <f>IFERROR(__xludf.DUMMYFUNCTION("""COMPUTED_VALUE"""),17.0)</f>
        <v>17</v>
      </c>
      <c r="D4059" s="24" t="str">
        <f>IFERROR(__xludf.DUMMYFUNCTION("""COMPUTED_VALUE"""),"Regular (up to 20lbs)")</f>
        <v>Regular (up to 20lbs)</v>
      </c>
      <c r="F4059" s="23">
        <f>IFERROR(__xludf.DUMMYFUNCTION("""COMPUTED_VALUE"""),44902.0)</f>
        <v>44902</v>
      </c>
      <c r="G4059" s="24" t="str">
        <f>IFERROR(__xludf.DUMMYFUNCTION("""COMPUTED_VALUE"""),"Dee Satterfield")</f>
        <v>Dee Satterfield</v>
      </c>
      <c r="H4059" s="24">
        <f>IFERROR(__xludf.DUMMYFUNCTION("""COMPUTED_VALUE"""),19.0)</f>
        <v>19</v>
      </c>
      <c r="I4059" s="24" t="str">
        <f>IFERROR(__xludf.DUMMYFUNCTION("""COMPUTED_VALUE"""),"Regular (up to 20lbs)")</f>
        <v>Regular (up to 20lbs)</v>
      </c>
    </row>
    <row r="4060">
      <c r="A4060" s="23">
        <f>IFERROR(__xludf.DUMMYFUNCTION("""COMPUTED_VALUE"""),44882.0)</f>
        <v>44882</v>
      </c>
      <c r="B4060" s="24" t="str">
        <f>IFERROR(__xludf.DUMMYFUNCTION("""COMPUTED_VALUE"""),"Barbara Jordan")</f>
        <v>Barbara Jordan</v>
      </c>
      <c r="C4060" s="24">
        <f>IFERROR(__xludf.DUMMYFUNCTION("""COMPUTED_VALUE"""),2.0)</f>
        <v>2</v>
      </c>
      <c r="D4060" s="24" t="str">
        <f>IFERROR(__xludf.DUMMYFUNCTION("""COMPUTED_VALUE"""),"Damage/expired/extra")</f>
        <v>Damage/expired/extra</v>
      </c>
      <c r="F4060" s="23">
        <f>IFERROR(__xludf.DUMMYFUNCTION("""COMPUTED_VALUE"""),44902.0)</f>
        <v>44902</v>
      </c>
      <c r="G4060" s="24" t="str">
        <f>IFERROR(__xludf.DUMMYFUNCTION("""COMPUTED_VALUE"""),"Dee Satterfield")</f>
        <v>Dee Satterfield</v>
      </c>
      <c r="H4060" s="24">
        <f>IFERROR(__xludf.DUMMYFUNCTION("""COMPUTED_VALUE"""),5.0)</f>
        <v>5</v>
      </c>
      <c r="I4060" s="24" t="str">
        <f>IFERROR(__xludf.DUMMYFUNCTION("""COMPUTED_VALUE"""),"Damage/expired/extra")</f>
        <v>Damage/expired/extra</v>
      </c>
    </row>
    <row r="4061">
      <c r="A4061" s="23">
        <f>IFERROR(__xludf.DUMMYFUNCTION("""COMPUTED_VALUE"""),44882.0)</f>
        <v>44882</v>
      </c>
      <c r="B4061" s="24" t="str">
        <f>IFERROR(__xludf.DUMMYFUNCTION("""COMPUTED_VALUE"""),"Melissa Thomas")</f>
        <v>Melissa Thomas</v>
      </c>
      <c r="C4061" s="24">
        <f>IFERROR(__xludf.DUMMYFUNCTION("""COMPUTED_VALUE"""),19.0)</f>
        <v>19</v>
      </c>
      <c r="D4061" s="24" t="str">
        <f>IFERROR(__xludf.DUMMYFUNCTION("""COMPUTED_VALUE"""),"Regular (up to 20lbs)")</f>
        <v>Regular (up to 20lbs)</v>
      </c>
      <c r="F4061" s="23">
        <f>IFERROR(__xludf.DUMMYFUNCTION("""COMPUTED_VALUE"""),44902.57671037036)</f>
        <v>44902.57671</v>
      </c>
      <c r="G4061" s="24" t="str">
        <f>IFERROR(__xludf.DUMMYFUNCTION("""COMPUTED_VALUE"""),"JUANITA Chandler ")</f>
        <v>JUANITA Chandler </v>
      </c>
      <c r="H4061" s="24">
        <f>IFERROR(__xludf.DUMMYFUNCTION("""COMPUTED_VALUE"""),767.0)</f>
        <v>767</v>
      </c>
      <c r="I4061" s="24" t="str">
        <f>IFERROR(__xludf.DUMMYFUNCTION("""COMPUTED_VALUE"""),"Amazon")</f>
        <v>Amazon</v>
      </c>
    </row>
    <row r="4062">
      <c r="A4062" s="23">
        <f>IFERROR(__xludf.DUMMYFUNCTION("""COMPUTED_VALUE"""),44882.0)</f>
        <v>44882</v>
      </c>
      <c r="B4062" s="24" t="str">
        <f>IFERROR(__xludf.DUMMYFUNCTION("""COMPUTED_VALUE"""),"Melissa Thomas")</f>
        <v>Melissa Thomas</v>
      </c>
      <c r="C4062" s="24">
        <f>IFERROR(__xludf.DUMMYFUNCTION("""COMPUTED_VALUE"""),19.0)</f>
        <v>19</v>
      </c>
      <c r="D4062" s="24" t="str">
        <f>IFERROR(__xludf.DUMMYFUNCTION("""COMPUTED_VALUE"""),"Damage/expired/extra")</f>
        <v>Damage/expired/extra</v>
      </c>
      <c r="F4062" s="23">
        <f>IFERROR(__xludf.DUMMYFUNCTION("""COMPUTED_VALUE"""),44902.577609872686)</f>
        <v>44902.57761</v>
      </c>
      <c r="G4062" s="24" t="str">
        <f>IFERROR(__xludf.DUMMYFUNCTION("""COMPUTED_VALUE"""),"JUANITA Chandler ")</f>
        <v>JUANITA Chandler </v>
      </c>
      <c r="H4062" s="24">
        <f>IFERROR(__xludf.DUMMYFUNCTION("""COMPUTED_VALUE"""),324.0)</f>
        <v>324</v>
      </c>
      <c r="I4062" s="24" t="str">
        <f>IFERROR(__xludf.DUMMYFUNCTION("""COMPUTED_VALUE"""),"Amazon")</f>
        <v>Amazon</v>
      </c>
    </row>
    <row r="4063">
      <c r="A4063" s="23">
        <f>IFERROR(__xludf.DUMMYFUNCTION("""COMPUTED_VALUE"""),44882.0)</f>
        <v>44882</v>
      </c>
      <c r="B4063" s="24" t="str">
        <f>IFERROR(__xludf.DUMMYFUNCTION("""COMPUTED_VALUE"""),"Raquel Bailey")</f>
        <v>Raquel Bailey</v>
      </c>
      <c r="C4063" s="24">
        <f>IFERROR(__xludf.DUMMYFUNCTION("""COMPUTED_VALUE"""),20.0)</f>
        <v>20</v>
      </c>
      <c r="D4063" s="24" t="str">
        <f>IFERROR(__xludf.DUMMYFUNCTION("""COMPUTED_VALUE"""),"Regular (up to 20lbs)")</f>
        <v>Regular (up to 20lbs)</v>
      </c>
      <c r="F4063" s="23">
        <f>IFERROR(__xludf.DUMMYFUNCTION("""COMPUTED_VALUE"""),44902.57809616898)</f>
        <v>44902.5781</v>
      </c>
      <c r="G4063" s="24" t="str">
        <f>IFERROR(__xludf.DUMMYFUNCTION("""COMPUTED_VALUE"""),"JUANITA Chandler ")</f>
        <v>JUANITA Chandler </v>
      </c>
      <c r="H4063" s="24">
        <f>IFERROR(__xludf.DUMMYFUNCTION("""COMPUTED_VALUE"""),743.0)</f>
        <v>743</v>
      </c>
      <c r="I4063" s="24" t="str">
        <f>IFERROR(__xludf.DUMMYFUNCTION("""COMPUTED_VALUE"""),"Amazon")</f>
        <v>Amazon</v>
      </c>
    </row>
    <row r="4064">
      <c r="A4064" s="23">
        <f>IFERROR(__xludf.DUMMYFUNCTION("""COMPUTED_VALUE"""),44882.0)</f>
        <v>44882</v>
      </c>
      <c r="B4064" s="24" t="str">
        <f>IFERROR(__xludf.DUMMYFUNCTION("""COMPUTED_VALUE"""),"Raquel Bailey")</f>
        <v>Raquel Bailey</v>
      </c>
      <c r="C4064" s="24">
        <f>IFERROR(__xludf.DUMMYFUNCTION("""COMPUTED_VALUE"""),1.0)</f>
        <v>1</v>
      </c>
      <c r="D4064" s="24" t="str">
        <f>IFERROR(__xludf.DUMMYFUNCTION("""COMPUTED_VALUE"""),"Damage/expired/extra")</f>
        <v>Damage/expired/extra</v>
      </c>
      <c r="F4064" s="23">
        <f>IFERROR(__xludf.DUMMYFUNCTION("""COMPUTED_VALUE"""),44902.58947767362)</f>
        <v>44902.58948</v>
      </c>
      <c r="G4064" s="24" t="str">
        <f>IFERROR(__xludf.DUMMYFUNCTION("""COMPUTED_VALUE"""),"JUANITA Chandler ")</f>
        <v>JUANITA Chandler </v>
      </c>
      <c r="H4064" s="24">
        <f>IFERROR(__xludf.DUMMYFUNCTION("""COMPUTED_VALUE"""),564.0)</f>
        <v>564</v>
      </c>
      <c r="I4064" s="24" t="str">
        <f>IFERROR(__xludf.DUMMYFUNCTION("""COMPUTED_VALUE"""),"Amazon")</f>
        <v>Amazon</v>
      </c>
    </row>
    <row r="4065">
      <c r="A4065" s="23">
        <f>IFERROR(__xludf.DUMMYFUNCTION("""COMPUTED_VALUE"""),44882.0)</f>
        <v>44882</v>
      </c>
      <c r="B4065" s="24" t="str">
        <f>IFERROR(__xludf.DUMMYFUNCTION("""COMPUTED_VALUE"""),"Nathaniel McClean")</f>
        <v>Nathaniel McClean</v>
      </c>
      <c r="C4065" s="24">
        <f>IFERROR(__xludf.DUMMYFUNCTION("""COMPUTED_VALUE"""),13.0)</f>
        <v>13</v>
      </c>
      <c r="D4065" s="24" t="str">
        <f>IFERROR(__xludf.DUMMYFUNCTION("""COMPUTED_VALUE"""),"Regular (up to 20lbs)")</f>
        <v>Regular (up to 20lbs)</v>
      </c>
      <c r="F4065" s="23">
        <f>IFERROR(__xludf.DUMMYFUNCTION("""COMPUTED_VALUE"""),44902.59056604166)</f>
        <v>44902.59057</v>
      </c>
      <c r="G4065" s="24" t="str">
        <f>IFERROR(__xludf.DUMMYFUNCTION("""COMPUTED_VALUE"""),"JUANITA Chandler ")</f>
        <v>JUANITA Chandler </v>
      </c>
      <c r="H4065" s="24">
        <f>IFERROR(__xludf.DUMMYFUNCTION("""COMPUTED_VALUE"""),790.0)</f>
        <v>790</v>
      </c>
      <c r="I4065" s="24" t="str">
        <f>IFERROR(__xludf.DUMMYFUNCTION("""COMPUTED_VALUE"""),"Amazon")</f>
        <v>Amazon</v>
      </c>
    </row>
    <row r="4066">
      <c r="A4066" s="23">
        <f>IFERROR(__xludf.DUMMYFUNCTION("""COMPUTED_VALUE"""),44882.0)</f>
        <v>44882</v>
      </c>
      <c r="B4066" s="24" t="str">
        <f>IFERROR(__xludf.DUMMYFUNCTION("""COMPUTED_VALUE"""),"Nathaniel McClean")</f>
        <v>Nathaniel McClean</v>
      </c>
      <c r="C4066" s="24">
        <f>IFERROR(__xludf.DUMMYFUNCTION("""COMPUTED_VALUE"""),5.0)</f>
        <v>5</v>
      </c>
      <c r="D4066" s="24" t="str">
        <f>IFERROR(__xludf.DUMMYFUNCTION("""COMPUTED_VALUE"""),"Damage/expired/extra")</f>
        <v>Damage/expired/extra</v>
      </c>
      <c r="F4066" s="23">
        <f>IFERROR(__xludf.DUMMYFUNCTION("""COMPUTED_VALUE"""),44902.591048587965)</f>
        <v>44902.59105</v>
      </c>
      <c r="G4066" s="24" t="str">
        <f>IFERROR(__xludf.DUMMYFUNCTION("""COMPUTED_VALUE"""),"JUANITA Chandler ")</f>
        <v>JUANITA Chandler </v>
      </c>
      <c r="H4066" s="24">
        <f>IFERROR(__xludf.DUMMYFUNCTION("""COMPUTED_VALUE"""),580.0)</f>
        <v>580</v>
      </c>
      <c r="I4066" s="24" t="str">
        <f>IFERROR(__xludf.DUMMYFUNCTION("""COMPUTED_VALUE"""),"Amazon")</f>
        <v>Amazon</v>
      </c>
    </row>
    <row r="4067">
      <c r="A4067" s="23">
        <f>IFERROR(__xludf.DUMMYFUNCTION("""COMPUTED_VALUE"""),44882.0)</f>
        <v>44882</v>
      </c>
      <c r="B4067" s="24" t="str">
        <f>IFERROR(__xludf.DUMMYFUNCTION("""COMPUTED_VALUE"""),"Sheniel Black")</f>
        <v>Sheniel Black</v>
      </c>
      <c r="C4067" s="24">
        <f>IFERROR(__xludf.DUMMYFUNCTION("""COMPUTED_VALUE"""),17.0)</f>
        <v>17</v>
      </c>
      <c r="D4067" s="24" t="str">
        <f>IFERROR(__xludf.DUMMYFUNCTION("""COMPUTED_VALUE"""),"Regular (up to 20lbs)")</f>
        <v>Regular (up to 20lbs)</v>
      </c>
      <c r="F4067" s="23">
        <f>IFERROR(__xludf.DUMMYFUNCTION("""COMPUTED_VALUE"""),44902.59231784722)</f>
        <v>44902.59232</v>
      </c>
      <c r="G4067" s="24" t="str">
        <f>IFERROR(__xludf.DUMMYFUNCTION("""COMPUTED_VALUE"""),"JUANITA Chandler ")</f>
        <v>JUANITA Chandler </v>
      </c>
      <c r="H4067" s="24">
        <f>IFERROR(__xludf.DUMMYFUNCTION("""COMPUTED_VALUE"""),830.0)</f>
        <v>830</v>
      </c>
      <c r="I4067" s="24" t="str">
        <f>IFERROR(__xludf.DUMMYFUNCTION("""COMPUTED_VALUE"""),"Amazon")</f>
        <v>Amazon</v>
      </c>
    </row>
    <row r="4068">
      <c r="A4068" s="23">
        <f>IFERROR(__xludf.DUMMYFUNCTION("""COMPUTED_VALUE"""),44882.825176666665)</f>
        <v>44882.82518</v>
      </c>
      <c r="B4068" s="24" t="str">
        <f>IFERROR(__xludf.DUMMYFUNCTION("""COMPUTED_VALUE"""),"Obi Nwokoro")</f>
        <v>Obi Nwokoro</v>
      </c>
      <c r="C4068" s="24">
        <f>IFERROR(__xludf.DUMMYFUNCTION("""COMPUTED_VALUE"""),20.0)</f>
        <v>20</v>
      </c>
      <c r="D4068" s="24" t="str">
        <f>IFERROR(__xludf.DUMMYFUNCTION("""COMPUTED_VALUE"""),"Regular (up to 20lbs)")</f>
        <v>Regular (up to 20lbs)</v>
      </c>
      <c r="F4068" s="23">
        <f>IFERROR(__xludf.DUMMYFUNCTION("""COMPUTED_VALUE"""),44902.59272920139)</f>
        <v>44902.59273</v>
      </c>
      <c r="G4068" s="24" t="str">
        <f>IFERROR(__xludf.DUMMYFUNCTION("""COMPUTED_VALUE"""),"JUANITA Chandler ")</f>
        <v>JUANITA Chandler </v>
      </c>
      <c r="H4068" s="24">
        <f>IFERROR(__xludf.DUMMYFUNCTION("""COMPUTED_VALUE"""),1149.0)</f>
        <v>1149</v>
      </c>
      <c r="I4068" s="24" t="str">
        <f>IFERROR(__xludf.DUMMYFUNCTION("""COMPUTED_VALUE"""),"Amazon")</f>
        <v>Amazon</v>
      </c>
    </row>
    <row r="4069">
      <c r="A4069" s="23">
        <f>IFERROR(__xludf.DUMMYFUNCTION("""COMPUTED_VALUE"""),44882.0)</f>
        <v>44882</v>
      </c>
      <c r="B4069" s="24" t="str">
        <f>IFERROR(__xludf.DUMMYFUNCTION("""COMPUTED_VALUE"""),"Obi Nwokoro")</f>
        <v>Obi Nwokoro</v>
      </c>
      <c r="C4069" s="24">
        <f>IFERROR(__xludf.DUMMYFUNCTION("""COMPUTED_VALUE"""),1.0)</f>
        <v>1</v>
      </c>
      <c r="D4069" s="24" t="str">
        <f>IFERROR(__xludf.DUMMYFUNCTION("""COMPUTED_VALUE"""),"Damage/expired/extra")</f>
        <v>Damage/expired/extra</v>
      </c>
      <c r="F4069" s="23">
        <f>IFERROR(__xludf.DUMMYFUNCTION("""COMPUTED_VALUE"""),44902.59312393519)</f>
        <v>44902.59312</v>
      </c>
      <c r="G4069" s="24" t="str">
        <f>IFERROR(__xludf.DUMMYFUNCTION("""COMPUTED_VALUE"""),"JUANITA Chandler ")</f>
        <v>JUANITA Chandler </v>
      </c>
      <c r="H4069" s="24">
        <f>IFERROR(__xludf.DUMMYFUNCTION("""COMPUTED_VALUE"""),557.0)</f>
        <v>557</v>
      </c>
      <c r="I4069" s="24" t="str">
        <f>IFERROR(__xludf.DUMMYFUNCTION("""COMPUTED_VALUE"""),"Amazon")</f>
        <v>Amazon</v>
      </c>
    </row>
    <row r="4070">
      <c r="A4070" s="23">
        <f>IFERROR(__xludf.DUMMYFUNCTION("""COMPUTED_VALUE"""),44882.82573298611)</f>
        <v>44882.82573</v>
      </c>
      <c r="B4070" s="24" t="str">
        <f>IFERROR(__xludf.DUMMYFUNCTION("""COMPUTED_VALUE"""),"adeola sulaiman")</f>
        <v>adeola sulaiman</v>
      </c>
      <c r="C4070" s="24">
        <f>IFERROR(__xludf.DUMMYFUNCTION("""COMPUTED_VALUE"""),17.0)</f>
        <v>17</v>
      </c>
      <c r="D4070" s="24" t="str">
        <f>IFERROR(__xludf.DUMMYFUNCTION("""COMPUTED_VALUE"""),"Regular (up to 20lbs)")</f>
        <v>Regular (up to 20lbs)</v>
      </c>
      <c r="F4070" s="23">
        <f>IFERROR(__xludf.DUMMYFUNCTION("""COMPUTED_VALUE"""),44902.639961967594)</f>
        <v>44902.63996</v>
      </c>
      <c r="G4070" s="24" t="str">
        <f>IFERROR(__xludf.DUMMYFUNCTION("""COMPUTED_VALUE"""),"JUANITA Chandler ")</f>
        <v>JUANITA Chandler </v>
      </c>
      <c r="H4070" s="24">
        <f>IFERROR(__xludf.DUMMYFUNCTION("""COMPUTED_VALUE"""),494.0)</f>
        <v>494</v>
      </c>
      <c r="I4070" s="24" t="str">
        <f>IFERROR(__xludf.DUMMYFUNCTION("""COMPUTED_VALUE"""),"Amazon")</f>
        <v>Amazon</v>
      </c>
    </row>
    <row r="4071">
      <c r="A4071" s="23">
        <f>IFERROR(__xludf.DUMMYFUNCTION("""COMPUTED_VALUE"""),44882.825946898156)</f>
        <v>44882.82595</v>
      </c>
      <c r="B4071" s="24" t="str">
        <f>IFERROR(__xludf.DUMMYFUNCTION("""COMPUTED_VALUE"""),"adeola sulaiman")</f>
        <v>adeola sulaiman</v>
      </c>
      <c r="C4071" s="24">
        <f>IFERROR(__xludf.DUMMYFUNCTION("""COMPUTED_VALUE"""),5.0)</f>
        <v>5</v>
      </c>
      <c r="D4071" s="24" t="str">
        <f>IFERROR(__xludf.DUMMYFUNCTION("""COMPUTED_VALUE"""),"Damage/expired/extra")</f>
        <v>Damage/expired/extra</v>
      </c>
      <c r="F4071" s="23">
        <f>IFERROR(__xludf.DUMMYFUNCTION("""COMPUTED_VALUE"""),44902.64053709491)</f>
        <v>44902.64054</v>
      </c>
      <c r="G4071" s="24" t="str">
        <f>IFERROR(__xludf.DUMMYFUNCTION("""COMPUTED_VALUE"""),"JUANITA Chandler ")</f>
        <v>JUANITA Chandler </v>
      </c>
      <c r="H4071" s="24">
        <f>IFERROR(__xludf.DUMMYFUNCTION("""COMPUTED_VALUE"""),641.0)</f>
        <v>641</v>
      </c>
      <c r="I4071" s="24" t="str">
        <f>IFERROR(__xludf.DUMMYFUNCTION("""COMPUTED_VALUE"""),"Amazon")</f>
        <v>Amazon</v>
      </c>
    </row>
    <row r="4072">
      <c r="A4072" s="23">
        <f>IFERROR(__xludf.DUMMYFUNCTION("""COMPUTED_VALUE"""),44883.0)</f>
        <v>44883</v>
      </c>
      <c r="B4072" s="24" t="str">
        <f>IFERROR(__xludf.DUMMYFUNCTION("""COMPUTED_VALUE"""),"Theresa Columbus")</f>
        <v>Theresa Columbus</v>
      </c>
      <c r="C4072" s="24">
        <f>IFERROR(__xludf.DUMMYFUNCTION("""COMPUTED_VALUE"""),20.0)</f>
        <v>20</v>
      </c>
      <c r="D4072" s="24" t="str">
        <f>IFERROR(__xludf.DUMMYFUNCTION("""COMPUTED_VALUE"""),"Regular (up to 20lbs)")</f>
        <v>Regular (up to 20lbs)</v>
      </c>
      <c r="F4072" s="23">
        <f>IFERROR(__xludf.DUMMYFUNCTION("""COMPUTED_VALUE"""),44902.64094150463)</f>
        <v>44902.64094</v>
      </c>
      <c r="G4072" s="24" t="str">
        <f>IFERROR(__xludf.DUMMYFUNCTION("""COMPUTED_VALUE"""),"JUANITA Chandler ")</f>
        <v>JUANITA Chandler </v>
      </c>
      <c r="H4072" s="24">
        <f>IFERROR(__xludf.DUMMYFUNCTION("""COMPUTED_VALUE"""),565.0)</f>
        <v>565</v>
      </c>
      <c r="I4072" s="24" t="str">
        <f>IFERROR(__xludf.DUMMYFUNCTION("""COMPUTED_VALUE"""),"Amazon")</f>
        <v>Amazon</v>
      </c>
    </row>
    <row r="4073">
      <c r="A4073" s="23">
        <f>IFERROR(__xludf.DUMMYFUNCTION("""COMPUTED_VALUE"""),44883.0)</f>
        <v>44883</v>
      </c>
      <c r="B4073" s="24" t="str">
        <f>IFERROR(__xludf.DUMMYFUNCTION("""COMPUTED_VALUE"""),"Theresa Columbus")</f>
        <v>Theresa Columbus</v>
      </c>
      <c r="C4073" s="24">
        <f>IFERROR(__xludf.DUMMYFUNCTION("""COMPUTED_VALUE"""),7.0)</f>
        <v>7</v>
      </c>
      <c r="D4073" s="24" t="str">
        <f>IFERROR(__xludf.DUMMYFUNCTION("""COMPUTED_VALUE"""),"Damage/expired/extra")</f>
        <v>Damage/expired/extra</v>
      </c>
      <c r="F4073" s="23">
        <f>IFERROR(__xludf.DUMMYFUNCTION("""COMPUTED_VALUE"""),44902.69691900462)</f>
        <v>44902.69692</v>
      </c>
      <c r="G4073" s="24" t="str">
        <f>IFERROR(__xludf.DUMMYFUNCTION("""COMPUTED_VALUE"""),"Nishikar Paruchuri")</f>
        <v>Nishikar Paruchuri</v>
      </c>
      <c r="H4073" s="24">
        <f>IFERROR(__xludf.DUMMYFUNCTION("""COMPUTED_VALUE"""),2.0)</f>
        <v>2</v>
      </c>
      <c r="I4073" s="24" t="str">
        <f>IFERROR(__xludf.DUMMYFUNCTION("""COMPUTED_VALUE"""),"Regular (up to 20lbs)")</f>
        <v>Regular (up to 20lbs)</v>
      </c>
    </row>
    <row r="4074">
      <c r="A4074" s="23">
        <f>IFERROR(__xludf.DUMMYFUNCTION("""COMPUTED_VALUE"""),44883.0)</f>
        <v>44883</v>
      </c>
      <c r="B4074" s="24" t="str">
        <f>IFERROR(__xludf.DUMMYFUNCTION("""COMPUTED_VALUE"""),"Brian Min")</f>
        <v>Brian Min</v>
      </c>
      <c r="C4074" s="24">
        <f>IFERROR(__xludf.DUMMYFUNCTION("""COMPUTED_VALUE"""),14.0)</f>
        <v>14</v>
      </c>
      <c r="D4074" s="24" t="str">
        <f>IFERROR(__xludf.DUMMYFUNCTION("""COMPUTED_VALUE"""),"Regular (up to 20lbs)")</f>
        <v>Regular (up to 20lbs)</v>
      </c>
      <c r="F4074" s="23">
        <f>IFERROR(__xludf.DUMMYFUNCTION("""COMPUTED_VALUE"""),44902.69704900463)</f>
        <v>44902.69705</v>
      </c>
      <c r="G4074" s="24" t="str">
        <f>IFERROR(__xludf.DUMMYFUNCTION("""COMPUTED_VALUE"""),"Nishikar Paruchuri ")</f>
        <v>Nishikar Paruchuri </v>
      </c>
      <c r="H4074" s="24">
        <f>IFERROR(__xludf.DUMMYFUNCTION("""COMPUTED_VALUE"""),1.0)</f>
        <v>1</v>
      </c>
      <c r="I4074" s="24" t="str">
        <f>IFERROR(__xludf.DUMMYFUNCTION("""COMPUTED_VALUE"""),"Damage/expired/extra")</f>
        <v>Damage/expired/extra</v>
      </c>
    </row>
    <row r="4075">
      <c r="A4075" s="23">
        <f>IFERROR(__xludf.DUMMYFUNCTION("""COMPUTED_VALUE"""),44883.68982364584)</f>
        <v>44883.68982</v>
      </c>
      <c r="B4075" s="24" t="str">
        <f>IFERROR(__xludf.DUMMYFUNCTION("""COMPUTED_VALUE"""),"Beth Torres")</f>
        <v>Beth Torres</v>
      </c>
      <c r="C4075" s="24">
        <f>IFERROR(__xludf.DUMMYFUNCTION("""COMPUTED_VALUE"""),14.0)</f>
        <v>14</v>
      </c>
      <c r="D4075" s="24" t="str">
        <f>IFERROR(__xludf.DUMMYFUNCTION("""COMPUTED_VALUE"""),"Regular (up to 20lbs)")</f>
        <v>Regular (up to 20lbs)</v>
      </c>
      <c r="F4075" s="23">
        <f>IFERROR(__xludf.DUMMYFUNCTION("""COMPUTED_VALUE"""),44902.71329032408)</f>
        <v>44902.71329</v>
      </c>
      <c r="G4075" s="24" t="str">
        <f>IFERROR(__xludf.DUMMYFUNCTION("""COMPUTED_VALUE"""),"Luke mayhew")</f>
        <v>Luke mayhew</v>
      </c>
      <c r="H4075" s="24">
        <f>IFERROR(__xludf.DUMMYFUNCTION("""COMPUTED_VALUE"""),20.0)</f>
        <v>20</v>
      </c>
      <c r="I4075" s="24" t="str">
        <f>IFERROR(__xludf.DUMMYFUNCTION("""COMPUTED_VALUE"""),"Regular (up to 20lbs)")</f>
        <v>Regular (up to 20lbs)</v>
      </c>
    </row>
    <row r="4076">
      <c r="A4076" s="23">
        <f>IFERROR(__xludf.DUMMYFUNCTION("""COMPUTED_VALUE"""),44883.69014934028)</f>
        <v>44883.69015</v>
      </c>
      <c r="B4076" s="24" t="str">
        <f>IFERROR(__xludf.DUMMYFUNCTION("""COMPUTED_VALUE"""),"Beth Torres")</f>
        <v>Beth Torres</v>
      </c>
      <c r="C4076" s="24">
        <f>IFERROR(__xludf.DUMMYFUNCTION("""COMPUTED_VALUE"""),19.0)</f>
        <v>19</v>
      </c>
      <c r="D4076" s="24" t="str">
        <f>IFERROR(__xludf.DUMMYFUNCTION("""COMPUTED_VALUE"""),"Damage/expired/extra")</f>
        <v>Damage/expired/extra</v>
      </c>
      <c r="F4076" s="23">
        <f>IFERROR(__xludf.DUMMYFUNCTION("""COMPUTED_VALUE"""),44902.71348059028)</f>
        <v>44902.71348</v>
      </c>
      <c r="G4076" s="24" t="str">
        <f>IFERROR(__xludf.DUMMYFUNCTION("""COMPUTED_VALUE"""),"Luke mayhew ")</f>
        <v>Luke mayhew </v>
      </c>
      <c r="H4076" s="24">
        <f>IFERROR(__xludf.DUMMYFUNCTION("""COMPUTED_VALUE"""),21.0)</f>
        <v>21</v>
      </c>
      <c r="I4076" s="24" t="str">
        <f>IFERROR(__xludf.DUMMYFUNCTION("""COMPUTED_VALUE"""),"Damage/expired/extra")</f>
        <v>Damage/expired/extra</v>
      </c>
    </row>
    <row r="4077">
      <c r="A4077" s="23">
        <f>IFERROR(__xludf.DUMMYFUNCTION("""COMPUTED_VALUE"""),44883.697161805554)</f>
        <v>44883.69716</v>
      </c>
      <c r="B4077" s="24" t="str">
        <f>IFERROR(__xludf.DUMMYFUNCTION("""COMPUTED_VALUE"""),"Juanita Chandler ")</f>
        <v>Juanita Chandler </v>
      </c>
      <c r="C4077" s="24">
        <f>IFERROR(__xludf.DUMMYFUNCTION("""COMPUTED_VALUE"""),33.0)</f>
        <v>33</v>
      </c>
      <c r="D4077" s="24" t="str">
        <f>IFERROR(__xludf.DUMMYFUNCTION("""COMPUTED_VALUE"""),"Damage/expired/extra")</f>
        <v>Damage/expired/extra</v>
      </c>
      <c r="F4077" s="23">
        <f>IFERROR(__xludf.DUMMYFUNCTION("""COMPUTED_VALUE"""),44902.72251961805)</f>
        <v>44902.72252</v>
      </c>
      <c r="G4077" s="24" t="str">
        <f>IFERROR(__xludf.DUMMYFUNCTION("""COMPUTED_VALUE"""),"Karen")</f>
        <v>Karen</v>
      </c>
      <c r="H4077" s="24">
        <f>IFERROR(__xludf.DUMMYFUNCTION("""COMPUTED_VALUE"""),18.0)</f>
        <v>18</v>
      </c>
      <c r="I4077" s="24" t="str">
        <f>IFERROR(__xludf.DUMMYFUNCTION("""COMPUTED_VALUE"""),"Regular (up to 20lbs)")</f>
        <v>Regular (up to 20lbs)</v>
      </c>
    </row>
    <row r="4078">
      <c r="A4078" s="23">
        <f>IFERROR(__xludf.DUMMYFUNCTION("""COMPUTED_VALUE"""),44883.70468524306)</f>
        <v>44883.70469</v>
      </c>
      <c r="B4078" s="24" t="str">
        <f>IFERROR(__xludf.DUMMYFUNCTION("""COMPUTED_VALUE"""),"Sunita pathik")</f>
        <v>Sunita pathik</v>
      </c>
      <c r="C4078" s="24">
        <f>IFERROR(__xludf.DUMMYFUNCTION("""COMPUTED_VALUE"""),8.0)</f>
        <v>8</v>
      </c>
      <c r="D4078" s="24" t="str">
        <f>IFERROR(__xludf.DUMMYFUNCTION("""COMPUTED_VALUE"""),"Regular (up to 20lbs)")</f>
        <v>Regular (up to 20lbs)</v>
      </c>
      <c r="F4078" s="23">
        <f>IFERROR(__xludf.DUMMYFUNCTION("""COMPUTED_VALUE"""),44902.72277526621)</f>
        <v>44902.72278</v>
      </c>
      <c r="G4078" s="24" t="str">
        <f>IFERROR(__xludf.DUMMYFUNCTION("""COMPUTED_VALUE"""),"Karen")</f>
        <v>Karen</v>
      </c>
      <c r="H4078" s="24">
        <f>IFERROR(__xludf.DUMMYFUNCTION("""COMPUTED_VALUE"""),16.0)</f>
        <v>16</v>
      </c>
      <c r="I4078" s="24" t="str">
        <f>IFERROR(__xludf.DUMMYFUNCTION("""COMPUTED_VALUE"""),"Damage/expired/extra")</f>
        <v>Damage/expired/extra</v>
      </c>
    </row>
    <row r="4079">
      <c r="A4079" s="23">
        <f>IFERROR(__xludf.DUMMYFUNCTION("""COMPUTED_VALUE"""),44883.711555960654)</f>
        <v>44883.71156</v>
      </c>
      <c r="B4079" s="24" t="str">
        <f>IFERROR(__xludf.DUMMYFUNCTION("""COMPUTED_VALUE"""),"Juanita Chandler ")</f>
        <v>Juanita Chandler </v>
      </c>
      <c r="C4079" s="24">
        <f>IFERROR(__xludf.DUMMYFUNCTION("""COMPUTED_VALUE"""),14.0)</f>
        <v>14</v>
      </c>
      <c r="D4079" s="24" t="str">
        <f>IFERROR(__xludf.DUMMYFUNCTION("""COMPUTED_VALUE"""),"Regular (up to 20lbs)")</f>
        <v>Regular (up to 20lbs)</v>
      </c>
      <c r="F4079" s="23">
        <f>IFERROR(__xludf.DUMMYFUNCTION("""COMPUTED_VALUE"""),44902.76143680555)</f>
        <v>44902.76144</v>
      </c>
      <c r="G4079" s="24" t="str">
        <f>IFERROR(__xludf.DUMMYFUNCTION("""COMPUTED_VALUE"""),"Lynnette c")</f>
        <v>Lynnette c</v>
      </c>
      <c r="H4079" s="24">
        <f>IFERROR(__xludf.DUMMYFUNCTION("""COMPUTED_VALUE"""),21.0)</f>
        <v>21</v>
      </c>
      <c r="I4079" s="24" t="str">
        <f>IFERROR(__xludf.DUMMYFUNCTION("""COMPUTED_VALUE"""),"Damage/expired/extra")</f>
        <v>Damage/expired/extra</v>
      </c>
    </row>
    <row r="4080">
      <c r="A4080" s="23">
        <f>IFERROR(__xludf.DUMMYFUNCTION("""COMPUTED_VALUE"""),44884.0)</f>
        <v>44884</v>
      </c>
      <c r="B4080" s="24" t="str">
        <f>IFERROR(__xludf.DUMMYFUNCTION("""COMPUTED_VALUE"""),"Juanita Chandler ")</f>
        <v>Juanita Chandler </v>
      </c>
      <c r="C4080" s="24">
        <f>IFERROR(__xludf.DUMMYFUNCTION("""COMPUTED_VALUE"""),15.0)</f>
        <v>15</v>
      </c>
      <c r="D4080" s="24" t="str">
        <f>IFERROR(__xludf.DUMMYFUNCTION("""COMPUTED_VALUE"""),"Regular (up to 20lbs)")</f>
        <v>Regular (up to 20lbs)</v>
      </c>
      <c r="F4080" s="23">
        <f>IFERROR(__xludf.DUMMYFUNCTION("""COMPUTED_VALUE"""),44902.76201600694)</f>
        <v>44902.76202</v>
      </c>
      <c r="G4080" s="24" t="str">
        <f>IFERROR(__xludf.DUMMYFUNCTION("""COMPUTED_VALUE"""),"Lynnette c")</f>
        <v>Lynnette c</v>
      </c>
      <c r="H4080" s="24">
        <f>IFERROR(__xludf.DUMMYFUNCTION("""COMPUTED_VALUE"""),18.0)</f>
        <v>18</v>
      </c>
      <c r="I4080" s="24" t="str">
        <f>IFERROR(__xludf.DUMMYFUNCTION("""COMPUTED_VALUE"""),"Regular (up to 20lbs)")</f>
        <v>Regular (up to 20lbs)</v>
      </c>
    </row>
    <row r="4081">
      <c r="A4081" s="23">
        <f>IFERROR(__xludf.DUMMYFUNCTION("""COMPUTED_VALUE"""),44884.0)</f>
        <v>44884</v>
      </c>
      <c r="B4081" s="24" t="str">
        <f>IFERROR(__xludf.DUMMYFUNCTION("""COMPUTED_VALUE"""),"Juanita Chandler ")</f>
        <v>Juanita Chandler </v>
      </c>
      <c r="C4081" s="24">
        <f>IFERROR(__xludf.DUMMYFUNCTION("""COMPUTED_VALUE"""),9.0)</f>
        <v>9</v>
      </c>
      <c r="D4081" s="24" t="str">
        <f>IFERROR(__xludf.DUMMYFUNCTION("""COMPUTED_VALUE"""),"Damage/expired/extra")</f>
        <v>Damage/expired/extra</v>
      </c>
      <c r="F4081" s="23">
        <f>IFERROR(__xludf.DUMMYFUNCTION("""COMPUTED_VALUE"""),44902.84577112269)</f>
        <v>44902.84577</v>
      </c>
      <c r="G4081" s="24" t="str">
        <f>IFERROR(__xludf.DUMMYFUNCTION("""COMPUTED_VALUE"""),"Connor Gephart ")</f>
        <v>Connor Gephart </v>
      </c>
      <c r="H4081" s="24">
        <f>IFERROR(__xludf.DUMMYFUNCTION("""COMPUTED_VALUE"""),14.0)</f>
        <v>14</v>
      </c>
      <c r="I4081" s="24" t="str">
        <f>IFERROR(__xludf.DUMMYFUNCTION("""COMPUTED_VALUE"""),"Regular (up to 20lbs)")</f>
        <v>Regular (up to 20lbs)</v>
      </c>
    </row>
    <row r="4082">
      <c r="A4082" s="23">
        <f>IFERROR(__xludf.DUMMYFUNCTION("""COMPUTED_VALUE"""),44884.0)</f>
        <v>44884</v>
      </c>
      <c r="B4082" s="24" t="str">
        <f>IFERROR(__xludf.DUMMYFUNCTION("""COMPUTED_VALUE"""),"Malik Grace")</f>
        <v>Malik Grace</v>
      </c>
      <c r="C4082" s="24">
        <f>IFERROR(__xludf.DUMMYFUNCTION("""COMPUTED_VALUE"""),10.0)</f>
        <v>10</v>
      </c>
      <c r="D4082" s="24" t="str">
        <f>IFERROR(__xludf.DUMMYFUNCTION("""COMPUTED_VALUE"""),"Regular (up to 20lbs)")</f>
        <v>Regular (up to 20lbs)</v>
      </c>
      <c r="F4082" s="23">
        <f>IFERROR(__xludf.DUMMYFUNCTION("""COMPUTED_VALUE"""),44902.84591427084)</f>
        <v>44902.84591</v>
      </c>
      <c r="G4082" s="24" t="str">
        <f>IFERROR(__xludf.DUMMYFUNCTION("""COMPUTED_VALUE"""),"Connor Gephart ")</f>
        <v>Connor Gephart </v>
      </c>
      <c r="H4082" s="24">
        <f>IFERROR(__xludf.DUMMYFUNCTION("""COMPUTED_VALUE"""),2.0)</f>
        <v>2</v>
      </c>
      <c r="I4082" s="24" t="str">
        <f>IFERROR(__xludf.DUMMYFUNCTION("""COMPUTED_VALUE"""),"Damage/expired/extra")</f>
        <v>Damage/expired/extra</v>
      </c>
    </row>
    <row r="4083">
      <c r="A4083" s="23">
        <f>IFERROR(__xludf.DUMMYFUNCTION("""COMPUTED_VALUE"""),44884.0)</f>
        <v>44884</v>
      </c>
      <c r="B4083" s="24" t="str">
        <f>IFERROR(__xludf.DUMMYFUNCTION("""COMPUTED_VALUE"""),"Malik Grace")</f>
        <v>Malik Grace</v>
      </c>
      <c r="C4083" s="24">
        <f>IFERROR(__xludf.DUMMYFUNCTION("""COMPUTED_VALUE"""),2.0)</f>
        <v>2</v>
      </c>
      <c r="D4083" s="24" t="str">
        <f>IFERROR(__xludf.DUMMYFUNCTION("""COMPUTED_VALUE"""),"Damage/expired/extra")</f>
        <v>Damage/expired/extra</v>
      </c>
      <c r="F4083" s="23">
        <f>IFERROR(__xludf.DUMMYFUNCTION("""COMPUTED_VALUE"""),44903.0)</f>
        <v>44903</v>
      </c>
      <c r="G4083" s="24" t="str">
        <f>IFERROR(__xludf.DUMMYFUNCTION("""COMPUTED_VALUE"""),"Barbara Jordan")</f>
        <v>Barbara Jordan</v>
      </c>
      <c r="H4083" s="24">
        <f>IFERROR(__xludf.DUMMYFUNCTION("""COMPUTED_VALUE"""),12.0)</f>
        <v>12</v>
      </c>
      <c r="I4083" s="24" t="str">
        <f>IFERROR(__xludf.DUMMYFUNCTION("""COMPUTED_VALUE"""),"Regular (up to 20lbs)")</f>
        <v>Regular (up to 20lbs)</v>
      </c>
    </row>
    <row r="4084">
      <c r="A4084" s="23">
        <f>IFERROR(__xludf.DUMMYFUNCTION("""COMPUTED_VALUE"""),44884.0)</f>
        <v>44884</v>
      </c>
      <c r="B4084" s="24" t="str">
        <f>IFERROR(__xludf.DUMMYFUNCTION("""COMPUTED_VALUE"""),"Iyana Gross")</f>
        <v>Iyana Gross</v>
      </c>
      <c r="C4084" s="24">
        <f>IFERROR(__xludf.DUMMYFUNCTION("""COMPUTED_VALUE"""),15.0)</f>
        <v>15</v>
      </c>
      <c r="D4084" s="24" t="str">
        <f>IFERROR(__xludf.DUMMYFUNCTION("""COMPUTED_VALUE"""),"Regular (up to 20lbs)")</f>
        <v>Regular (up to 20lbs)</v>
      </c>
      <c r="F4084" s="23">
        <f>IFERROR(__xludf.DUMMYFUNCTION("""COMPUTED_VALUE"""),44903.0)</f>
        <v>44903</v>
      </c>
      <c r="G4084" s="24" t="str">
        <f>IFERROR(__xludf.DUMMYFUNCTION("""COMPUTED_VALUE"""),"Aziza Frank")</f>
        <v>Aziza Frank</v>
      </c>
      <c r="H4084" s="24">
        <f>IFERROR(__xludf.DUMMYFUNCTION("""COMPUTED_VALUE"""),20.0)</f>
        <v>20</v>
      </c>
      <c r="I4084" s="24" t="str">
        <f>IFERROR(__xludf.DUMMYFUNCTION("""COMPUTED_VALUE"""),"Regular (up to 20lbs)")</f>
        <v>Regular (up to 20lbs)</v>
      </c>
    </row>
    <row r="4085">
      <c r="A4085" s="23">
        <f>IFERROR(__xludf.DUMMYFUNCTION("""COMPUTED_VALUE"""),44884.0)</f>
        <v>44884</v>
      </c>
      <c r="B4085" s="24" t="str">
        <f>IFERROR(__xludf.DUMMYFUNCTION("""COMPUTED_VALUE"""),"Angeles Cortes")</f>
        <v>Angeles Cortes</v>
      </c>
      <c r="C4085" s="24">
        <f>IFERROR(__xludf.DUMMYFUNCTION("""COMPUTED_VALUE"""),20.0)</f>
        <v>20</v>
      </c>
      <c r="D4085" s="24" t="str">
        <f>IFERROR(__xludf.DUMMYFUNCTION("""COMPUTED_VALUE"""),"Regular (up to 20lbs)")</f>
        <v>Regular (up to 20lbs)</v>
      </c>
      <c r="F4085" s="23">
        <f>IFERROR(__xludf.DUMMYFUNCTION("""COMPUTED_VALUE"""),44903.0)</f>
        <v>44903</v>
      </c>
      <c r="G4085" s="24" t="str">
        <f>IFERROR(__xludf.DUMMYFUNCTION("""COMPUTED_VALUE"""),"Aziza Frank")</f>
        <v>Aziza Frank</v>
      </c>
      <c r="H4085" s="24">
        <f>IFERROR(__xludf.DUMMYFUNCTION("""COMPUTED_VALUE"""),3.0)</f>
        <v>3</v>
      </c>
      <c r="I4085" s="24" t="str">
        <f>IFERROR(__xludf.DUMMYFUNCTION("""COMPUTED_VALUE"""),"Damage/expired/extra")</f>
        <v>Damage/expired/extra</v>
      </c>
    </row>
    <row r="4086">
      <c r="A4086" s="23">
        <f>IFERROR(__xludf.DUMMYFUNCTION("""COMPUTED_VALUE"""),44884.0)</f>
        <v>44884</v>
      </c>
      <c r="B4086" s="24" t="str">
        <f>IFERROR(__xludf.DUMMYFUNCTION("""COMPUTED_VALUE"""),"Angeles Cortes")</f>
        <v>Angeles Cortes</v>
      </c>
      <c r="C4086" s="24">
        <f>IFERROR(__xludf.DUMMYFUNCTION("""COMPUTED_VALUE"""),4.0)</f>
        <v>4</v>
      </c>
      <c r="D4086" s="24" t="str">
        <f>IFERROR(__xludf.DUMMYFUNCTION("""COMPUTED_VALUE"""),"Damage/expired/extra")</f>
        <v>Damage/expired/extra</v>
      </c>
      <c r="F4086" s="23">
        <f>IFERROR(__xludf.DUMMYFUNCTION("""COMPUTED_VALUE"""),44903.0)</f>
        <v>44903</v>
      </c>
      <c r="G4086" s="24" t="str">
        <f>IFERROR(__xludf.DUMMYFUNCTION("""COMPUTED_VALUE"""),"Raquel Bailey")</f>
        <v>Raquel Bailey</v>
      </c>
      <c r="H4086" s="24">
        <f>IFERROR(__xludf.DUMMYFUNCTION("""COMPUTED_VALUE"""),20.0)</f>
        <v>20</v>
      </c>
      <c r="I4086" s="24" t="str">
        <f>IFERROR(__xludf.DUMMYFUNCTION("""COMPUTED_VALUE"""),"Regular (up to 20lbs)")</f>
        <v>Regular (up to 20lbs)</v>
      </c>
    </row>
    <row r="4087">
      <c r="A4087" s="23">
        <f>IFERROR(__xludf.DUMMYFUNCTION("""COMPUTED_VALUE"""),44884.706963136574)</f>
        <v>44884.70696</v>
      </c>
      <c r="B4087" s="24" t="str">
        <f>IFERROR(__xludf.DUMMYFUNCTION("""COMPUTED_VALUE"""),"Elaineda Wilson")</f>
        <v>Elaineda Wilson</v>
      </c>
      <c r="C4087" s="24">
        <f>IFERROR(__xludf.DUMMYFUNCTION("""COMPUTED_VALUE"""),20.0)</f>
        <v>20</v>
      </c>
      <c r="D4087" s="24" t="str">
        <f>IFERROR(__xludf.DUMMYFUNCTION("""COMPUTED_VALUE"""),"Regular (up to 20lbs)")</f>
        <v>Regular (up to 20lbs)</v>
      </c>
      <c r="F4087" s="23">
        <f>IFERROR(__xludf.DUMMYFUNCTION("""COMPUTED_VALUE"""),44903.0)</f>
        <v>44903</v>
      </c>
      <c r="G4087" s="24" t="str">
        <f>IFERROR(__xludf.DUMMYFUNCTION("""COMPUTED_VALUE"""),"Raquel Bailey")</f>
        <v>Raquel Bailey</v>
      </c>
      <c r="H4087" s="24">
        <f>IFERROR(__xludf.DUMMYFUNCTION("""COMPUTED_VALUE"""),5.0)</f>
        <v>5</v>
      </c>
      <c r="I4087" s="24" t="str">
        <f>IFERROR(__xludf.DUMMYFUNCTION("""COMPUTED_VALUE"""),"Damage/expired/extra")</f>
        <v>Damage/expired/extra</v>
      </c>
    </row>
    <row r="4088">
      <c r="A4088" s="23">
        <f>IFERROR(__xludf.DUMMYFUNCTION("""COMPUTED_VALUE"""),44884.70918200231)</f>
        <v>44884.70918</v>
      </c>
      <c r="B4088" s="24" t="str">
        <f>IFERROR(__xludf.DUMMYFUNCTION("""COMPUTED_VALUE"""),"Amari")</f>
        <v>Amari</v>
      </c>
      <c r="C4088" s="24">
        <f>IFERROR(__xludf.DUMMYFUNCTION("""COMPUTED_VALUE"""),6.0)</f>
        <v>6</v>
      </c>
      <c r="D4088" s="24" t="str">
        <f>IFERROR(__xludf.DUMMYFUNCTION("""COMPUTED_VALUE"""),"Regular (up to 20lbs)")</f>
        <v>Regular (up to 20lbs)</v>
      </c>
      <c r="F4088" s="23">
        <f>IFERROR(__xludf.DUMMYFUNCTION("""COMPUTED_VALUE"""),44903.0)</f>
        <v>44903</v>
      </c>
      <c r="G4088" s="24" t="str">
        <f>IFERROR(__xludf.DUMMYFUNCTION("""COMPUTED_VALUE"""),"Sheniel Black")</f>
        <v>Sheniel Black</v>
      </c>
      <c r="H4088" s="24">
        <f>IFERROR(__xludf.DUMMYFUNCTION("""COMPUTED_VALUE"""),20.0)</f>
        <v>20</v>
      </c>
      <c r="I4088" s="24" t="str">
        <f>IFERROR(__xludf.DUMMYFUNCTION("""COMPUTED_VALUE"""),"Regular (up to 20lbs)")</f>
        <v>Regular (up to 20lbs)</v>
      </c>
    </row>
    <row r="4089">
      <c r="A4089" s="23">
        <f>IFERROR(__xludf.DUMMYFUNCTION("""COMPUTED_VALUE"""),44884.71353223379)</f>
        <v>44884.71353</v>
      </c>
      <c r="B4089" s="24" t="str">
        <f>IFERROR(__xludf.DUMMYFUNCTION("""COMPUTED_VALUE"""),"Emily Stucke")</f>
        <v>Emily Stucke</v>
      </c>
      <c r="C4089" s="24">
        <f>IFERROR(__xludf.DUMMYFUNCTION("""COMPUTED_VALUE"""),10.0)</f>
        <v>10</v>
      </c>
      <c r="D4089" s="24" t="str">
        <f>IFERROR(__xludf.DUMMYFUNCTION("""COMPUTED_VALUE"""),"Regular (up to 20lbs)")</f>
        <v>Regular (up to 20lbs)</v>
      </c>
      <c r="F4089" s="23">
        <f>IFERROR(__xludf.DUMMYFUNCTION("""COMPUTED_VALUE"""),44903.0)</f>
        <v>44903</v>
      </c>
      <c r="G4089" s="24" t="str">
        <f>IFERROR(__xludf.DUMMYFUNCTION("""COMPUTED_VALUE"""),"Nathaniel McClean")</f>
        <v>Nathaniel McClean</v>
      </c>
      <c r="H4089" s="24">
        <f>IFERROR(__xludf.DUMMYFUNCTION("""COMPUTED_VALUE"""),19.0)</f>
        <v>19</v>
      </c>
      <c r="I4089" s="24" t="str">
        <f>IFERROR(__xludf.DUMMYFUNCTION("""COMPUTED_VALUE"""),"Regular (up to 20lbs)")</f>
        <v>Regular (up to 20lbs)</v>
      </c>
    </row>
    <row r="4090">
      <c r="A4090" s="23">
        <f>IFERROR(__xludf.DUMMYFUNCTION("""COMPUTED_VALUE"""),44884.714544768525)</f>
        <v>44884.71454</v>
      </c>
      <c r="B4090" s="24" t="str">
        <f>IFERROR(__xludf.DUMMYFUNCTION("""COMPUTED_VALUE"""),"Justin Zhong")</f>
        <v>Justin Zhong</v>
      </c>
      <c r="C4090" s="24">
        <f>IFERROR(__xludf.DUMMYFUNCTION("""COMPUTED_VALUE"""),15.0)</f>
        <v>15</v>
      </c>
      <c r="D4090" s="24" t="str">
        <f>IFERROR(__xludf.DUMMYFUNCTION("""COMPUTED_VALUE"""),"Regular (up to 20lbs)")</f>
        <v>Regular (up to 20lbs)</v>
      </c>
      <c r="F4090" s="23">
        <f>IFERROR(__xludf.DUMMYFUNCTION("""COMPUTED_VALUE"""),44903.0)</f>
        <v>44903</v>
      </c>
      <c r="G4090" s="24" t="str">
        <f>IFERROR(__xludf.DUMMYFUNCTION("""COMPUTED_VALUE"""),"Nathaniel McClean")</f>
        <v>Nathaniel McClean</v>
      </c>
      <c r="H4090" s="24">
        <f>IFERROR(__xludf.DUMMYFUNCTION("""COMPUTED_VALUE"""),15.0)</f>
        <v>15</v>
      </c>
      <c r="I4090" s="24" t="str">
        <f>IFERROR(__xludf.DUMMYFUNCTION("""COMPUTED_VALUE"""),"Damage/expired/extra")</f>
        <v>Damage/expired/extra</v>
      </c>
    </row>
    <row r="4091">
      <c r="A4091" s="23">
        <f>IFERROR(__xludf.DUMMYFUNCTION("""COMPUTED_VALUE"""),44884.714824282404)</f>
        <v>44884.71482</v>
      </c>
      <c r="B4091" s="24" t="str">
        <f>IFERROR(__xludf.DUMMYFUNCTION("""COMPUTED_VALUE"""),"Rawan Elshobaky")</f>
        <v>Rawan Elshobaky</v>
      </c>
      <c r="C4091" s="24">
        <f>IFERROR(__xludf.DUMMYFUNCTION("""COMPUTED_VALUE"""),12.0)</f>
        <v>12</v>
      </c>
      <c r="D4091" s="24" t="str">
        <f>IFERROR(__xludf.DUMMYFUNCTION("""COMPUTED_VALUE"""),"Regular (up to 20lbs)")</f>
        <v>Regular (up to 20lbs)</v>
      </c>
      <c r="F4091" s="23">
        <f>IFERROR(__xludf.DUMMYFUNCTION("""COMPUTED_VALUE"""),44903.0)</f>
        <v>44903</v>
      </c>
      <c r="G4091" s="24" t="str">
        <f>IFERROR(__xludf.DUMMYFUNCTION("""COMPUTED_VALUE"""),"Kelly Evans")</f>
        <v>Kelly Evans</v>
      </c>
      <c r="H4091" s="24">
        <f>IFERROR(__xludf.DUMMYFUNCTION("""COMPUTED_VALUE"""),20.0)</f>
        <v>20</v>
      </c>
      <c r="I4091" s="24" t="str">
        <f>IFERROR(__xludf.DUMMYFUNCTION("""COMPUTED_VALUE"""),"Regular (up to 20lbs)")</f>
        <v>Regular (up to 20lbs)</v>
      </c>
    </row>
    <row r="4092">
      <c r="A4092" s="23">
        <f>IFERROR(__xludf.DUMMYFUNCTION("""COMPUTED_VALUE"""),44884.0)</f>
        <v>44884</v>
      </c>
      <c r="B4092" s="24" t="str">
        <f>IFERROR(__xludf.DUMMYFUNCTION("""COMPUTED_VALUE"""),"Rawan Elshobaky")</f>
        <v>Rawan Elshobaky</v>
      </c>
      <c r="C4092" s="24">
        <f>IFERROR(__xludf.DUMMYFUNCTION("""COMPUTED_VALUE"""),1.0)</f>
        <v>1</v>
      </c>
      <c r="D4092" s="24" t="str">
        <f>IFERROR(__xludf.DUMMYFUNCTION("""COMPUTED_VALUE"""),"Damage/expired/extra")</f>
        <v>Damage/expired/extra</v>
      </c>
      <c r="F4092" s="23">
        <f>IFERROR(__xludf.DUMMYFUNCTION("""COMPUTED_VALUE"""),44903.0)</f>
        <v>44903</v>
      </c>
      <c r="G4092" s="24" t="str">
        <f>IFERROR(__xludf.DUMMYFUNCTION("""COMPUTED_VALUE"""),"Obinna Nwokoro")</f>
        <v>Obinna Nwokoro</v>
      </c>
      <c r="H4092" s="24">
        <f>IFERROR(__xludf.DUMMYFUNCTION("""COMPUTED_VALUE"""),1.0)</f>
        <v>1</v>
      </c>
      <c r="I4092" s="24" t="str">
        <f>IFERROR(__xludf.DUMMYFUNCTION("""COMPUTED_VALUE"""),"Damage/expired/extra")</f>
        <v>Damage/expired/extra</v>
      </c>
    </row>
    <row r="4093">
      <c r="A4093" s="23">
        <f>IFERROR(__xludf.DUMMYFUNCTION("""COMPUTED_VALUE"""),44884.71566372685)</f>
        <v>44884.71566</v>
      </c>
      <c r="B4093" s="24" t="str">
        <f>IFERROR(__xludf.DUMMYFUNCTION("""COMPUTED_VALUE"""),"Ritwik Raj")</f>
        <v>Ritwik Raj</v>
      </c>
      <c r="C4093" s="24">
        <f>IFERROR(__xludf.DUMMYFUNCTION("""COMPUTED_VALUE"""),6.0)</f>
        <v>6</v>
      </c>
      <c r="D4093" s="24" t="str">
        <f>IFERROR(__xludf.DUMMYFUNCTION("""COMPUTED_VALUE"""),"Regular (up to 20lbs)")</f>
        <v>Regular (up to 20lbs)</v>
      </c>
      <c r="F4093" s="23">
        <f>IFERROR(__xludf.DUMMYFUNCTION("""COMPUTED_VALUE"""),44903.70034311342)</f>
        <v>44903.70034</v>
      </c>
      <c r="G4093" s="24" t="str">
        <f>IFERROR(__xludf.DUMMYFUNCTION("""COMPUTED_VALUE"""),"Norrma")</f>
        <v>Norrma</v>
      </c>
      <c r="H4093" s="24">
        <f>IFERROR(__xludf.DUMMYFUNCTION("""COMPUTED_VALUE"""),11.0)</f>
        <v>11</v>
      </c>
      <c r="I4093" s="24" t="str">
        <f>IFERROR(__xludf.DUMMYFUNCTION("""COMPUTED_VALUE"""),"Regular (up to 20lbs)")</f>
        <v>Regular (up to 20lbs)</v>
      </c>
    </row>
    <row r="4094">
      <c r="A4094" s="23">
        <f>IFERROR(__xludf.DUMMYFUNCTION("""COMPUTED_VALUE"""),44884.71609350695)</f>
        <v>44884.71609</v>
      </c>
      <c r="B4094" s="24" t="str">
        <f>IFERROR(__xludf.DUMMYFUNCTION("""COMPUTED_VALUE"""),"Cameron Minor ")</f>
        <v>Cameron Minor </v>
      </c>
      <c r="C4094" s="24">
        <f>IFERROR(__xludf.DUMMYFUNCTION("""COMPUTED_VALUE"""),5.0)</f>
        <v>5</v>
      </c>
      <c r="D4094" s="24" t="str">
        <f>IFERROR(__xludf.DUMMYFUNCTION("""COMPUTED_VALUE"""),"Regular (up to 20lbs)")</f>
        <v>Regular (up to 20lbs)</v>
      </c>
      <c r="F4094" s="23">
        <f>IFERROR(__xludf.DUMMYFUNCTION("""COMPUTED_VALUE"""),44903.70681685185)</f>
        <v>44903.70682</v>
      </c>
      <c r="G4094" s="24" t="str">
        <f>IFERROR(__xludf.DUMMYFUNCTION("""COMPUTED_VALUE"""),"Jean")</f>
        <v>Jean</v>
      </c>
      <c r="H4094" s="24">
        <f>IFERROR(__xludf.DUMMYFUNCTION("""COMPUTED_VALUE"""),1.0)</f>
        <v>1</v>
      </c>
      <c r="I4094" s="24" t="str">
        <f>IFERROR(__xludf.DUMMYFUNCTION("""COMPUTED_VALUE"""),"Damage/expired/extra")</f>
        <v>Damage/expired/extra</v>
      </c>
    </row>
    <row r="4095">
      <c r="A4095" s="23">
        <f>IFERROR(__xludf.DUMMYFUNCTION("""COMPUTED_VALUE"""),44884.742264988425)</f>
        <v>44884.74226</v>
      </c>
      <c r="B4095" s="24" t="str">
        <f>IFERROR(__xludf.DUMMYFUNCTION("""COMPUTED_VALUE"""),"Beverly Pinn")</f>
        <v>Beverly Pinn</v>
      </c>
      <c r="C4095" s="24">
        <f>IFERROR(__xludf.DUMMYFUNCTION("""COMPUTED_VALUE"""),15.0)</f>
        <v>15</v>
      </c>
      <c r="D4095" s="24" t="str">
        <f>IFERROR(__xludf.DUMMYFUNCTION("""COMPUTED_VALUE"""),"Regular (up to 20lbs)")</f>
        <v>Regular (up to 20lbs)</v>
      </c>
      <c r="F4095" s="23">
        <f>IFERROR(__xludf.DUMMYFUNCTION("""COMPUTED_VALUE"""),44903.70767736111)</f>
        <v>44903.70768</v>
      </c>
      <c r="G4095" s="24" t="str">
        <f>IFERROR(__xludf.DUMMYFUNCTION("""COMPUTED_VALUE"""),"Jean")</f>
        <v>Jean</v>
      </c>
      <c r="H4095" s="24">
        <f>IFERROR(__xludf.DUMMYFUNCTION("""COMPUTED_VALUE"""),33.0)</f>
        <v>33</v>
      </c>
      <c r="I4095" s="24" t="str">
        <f>IFERROR(__xludf.DUMMYFUNCTION("""COMPUTED_VALUE"""),"Regular (up to 20lbs)")</f>
        <v>Regular (up to 20lbs)</v>
      </c>
    </row>
    <row r="4096">
      <c r="A4096" s="23">
        <f>IFERROR(__xludf.DUMMYFUNCTION("""COMPUTED_VALUE"""),44884.742435057866)</f>
        <v>44884.74244</v>
      </c>
      <c r="B4096" s="24" t="str">
        <f>IFERROR(__xludf.DUMMYFUNCTION("""COMPUTED_VALUE"""),"Beverly Pinn")</f>
        <v>Beverly Pinn</v>
      </c>
      <c r="C4096" s="24">
        <f>IFERROR(__xludf.DUMMYFUNCTION("""COMPUTED_VALUE"""),10.0)</f>
        <v>10</v>
      </c>
      <c r="D4096" s="24" t="str">
        <f>IFERROR(__xludf.DUMMYFUNCTION("""COMPUTED_VALUE"""),"Damage/expired/extra")</f>
        <v>Damage/expired/extra</v>
      </c>
      <c r="F4096" s="23">
        <f>IFERROR(__xludf.DUMMYFUNCTION("""COMPUTED_VALUE"""),44903.855942222224)</f>
        <v>44903.85594</v>
      </c>
      <c r="G4096" s="24" t="str">
        <f>IFERROR(__xludf.DUMMYFUNCTION("""COMPUTED_VALUE"""),"adeola sulaiman")</f>
        <v>adeola sulaiman</v>
      </c>
      <c r="H4096" s="24">
        <f>IFERROR(__xludf.DUMMYFUNCTION("""COMPUTED_VALUE"""),20.0)</f>
        <v>20</v>
      </c>
      <c r="I4096" s="24" t="str">
        <f>IFERROR(__xludf.DUMMYFUNCTION("""COMPUTED_VALUE"""),"Regular (up to 20lbs)")</f>
        <v>Regular (up to 20lbs)</v>
      </c>
    </row>
    <row r="4097">
      <c r="A4097" s="23">
        <f>IFERROR(__xludf.DUMMYFUNCTION("""COMPUTED_VALUE"""),44885.0)</f>
        <v>44885</v>
      </c>
      <c r="B4097" s="24" t="str">
        <f>IFERROR(__xludf.DUMMYFUNCTION("""COMPUTED_VALUE"""),"Denise Rivers")</f>
        <v>Denise Rivers</v>
      </c>
      <c r="C4097" s="24">
        <f>IFERROR(__xludf.DUMMYFUNCTION("""COMPUTED_VALUE"""),15.0)</f>
        <v>15</v>
      </c>
      <c r="D4097" s="24" t="str">
        <f>IFERROR(__xludf.DUMMYFUNCTION("""COMPUTED_VALUE"""),"Regular (up to 20lbs)")</f>
        <v>Regular (up to 20lbs)</v>
      </c>
      <c r="F4097" s="23">
        <f>IFERROR(__xludf.DUMMYFUNCTION("""COMPUTED_VALUE"""),44903.85605887732)</f>
        <v>44903.85606</v>
      </c>
      <c r="G4097" s="24" t="str">
        <f>IFERROR(__xludf.DUMMYFUNCTION("""COMPUTED_VALUE"""),"adeola sulaiman")</f>
        <v>adeola sulaiman</v>
      </c>
      <c r="H4097" s="24">
        <f>IFERROR(__xludf.DUMMYFUNCTION("""COMPUTED_VALUE"""),2.0)</f>
        <v>2</v>
      </c>
      <c r="I4097" s="24" t="str">
        <f>IFERROR(__xludf.DUMMYFUNCTION("""COMPUTED_VALUE"""),"Damage/expired/extra")</f>
        <v>Damage/expired/extra</v>
      </c>
    </row>
    <row r="4098">
      <c r="A4098" s="23">
        <f>IFERROR(__xludf.DUMMYFUNCTION("""COMPUTED_VALUE"""),44885.0)</f>
        <v>44885</v>
      </c>
      <c r="B4098" s="24" t="str">
        <f>IFERROR(__xludf.DUMMYFUNCTION("""COMPUTED_VALUE"""),"Denise Rivers")</f>
        <v>Denise Rivers</v>
      </c>
      <c r="C4098" s="24">
        <f>IFERROR(__xludf.DUMMYFUNCTION("""COMPUTED_VALUE"""),20.0)</f>
        <v>20</v>
      </c>
      <c r="D4098" s="24" t="str">
        <f>IFERROR(__xludf.DUMMYFUNCTION("""COMPUTED_VALUE"""),"Damage/expired/extra")</f>
        <v>Damage/expired/extra</v>
      </c>
      <c r="F4098" s="23">
        <f>IFERROR(__xludf.DUMMYFUNCTION("""COMPUTED_VALUE"""),44903.85627962963)</f>
        <v>44903.85628</v>
      </c>
      <c r="G4098" s="24" t="str">
        <f>IFERROR(__xludf.DUMMYFUNCTION("""COMPUTED_VALUE"""),"Adriana ")</f>
        <v>Adriana </v>
      </c>
      <c r="H4098" s="24">
        <f>IFERROR(__xludf.DUMMYFUNCTION("""COMPUTED_VALUE"""),15.0)</f>
        <v>15</v>
      </c>
      <c r="I4098" s="24" t="str">
        <f>IFERROR(__xludf.DUMMYFUNCTION("""COMPUTED_VALUE"""),"Regular (up to 20lbs)")</f>
        <v>Regular (up to 20lbs)</v>
      </c>
    </row>
    <row r="4099">
      <c r="A4099" s="23">
        <f>IFERROR(__xludf.DUMMYFUNCTION("""COMPUTED_VALUE"""),44885.0)</f>
        <v>44885</v>
      </c>
      <c r="B4099" s="24" t="str">
        <f>IFERROR(__xludf.DUMMYFUNCTION("""COMPUTED_VALUE"""),"Dorja")</f>
        <v>Dorja</v>
      </c>
      <c r="C4099" s="24">
        <f>IFERROR(__xludf.DUMMYFUNCTION("""COMPUTED_VALUE"""),18.0)</f>
        <v>18</v>
      </c>
      <c r="D4099" s="24" t="str">
        <f>IFERROR(__xludf.DUMMYFUNCTION("""COMPUTED_VALUE"""),"Regular (up to 20lbs)")</f>
        <v>Regular (up to 20lbs)</v>
      </c>
      <c r="F4099" s="23">
        <f>IFERROR(__xludf.DUMMYFUNCTION("""COMPUTED_VALUE"""),44903.85657090278)</f>
        <v>44903.85657</v>
      </c>
      <c r="G4099" s="24" t="str">
        <f>IFERROR(__xludf.DUMMYFUNCTION("""COMPUTED_VALUE"""),"Adriana hill ")</f>
        <v>Adriana hill </v>
      </c>
      <c r="H4099" s="24">
        <f>IFERROR(__xludf.DUMMYFUNCTION("""COMPUTED_VALUE"""),6.0)</f>
        <v>6</v>
      </c>
      <c r="I4099" s="24" t="str">
        <f>IFERROR(__xludf.DUMMYFUNCTION("""COMPUTED_VALUE"""),"Damage/expired/extra")</f>
        <v>Damage/expired/extra</v>
      </c>
    </row>
    <row r="4100">
      <c r="A4100" s="23">
        <f>IFERROR(__xludf.DUMMYFUNCTION("""COMPUTED_VALUE"""),44885.0)</f>
        <v>44885</v>
      </c>
      <c r="B4100" s="24" t="str">
        <f>IFERROR(__xludf.DUMMYFUNCTION("""COMPUTED_VALUE"""),"Marci")</f>
        <v>Marci</v>
      </c>
      <c r="C4100" s="24">
        <f>IFERROR(__xludf.DUMMYFUNCTION("""COMPUTED_VALUE"""),20.0)</f>
        <v>20</v>
      </c>
      <c r="D4100" s="24" t="str">
        <f>IFERROR(__xludf.DUMMYFUNCTION("""COMPUTED_VALUE"""),"Regular (up to 20lbs)")</f>
        <v>Regular (up to 20lbs)</v>
      </c>
      <c r="F4100" s="23">
        <f>IFERROR(__xludf.DUMMYFUNCTION("""COMPUTED_VALUE"""),44903.85687047454)</f>
        <v>44903.85687</v>
      </c>
      <c r="G4100" s="24" t="str">
        <f>IFERROR(__xludf.DUMMYFUNCTION("""COMPUTED_VALUE"""),"Nani ")</f>
        <v>Nani </v>
      </c>
      <c r="H4100" s="24">
        <f>IFERROR(__xludf.DUMMYFUNCTION("""COMPUTED_VALUE"""),10.0)</f>
        <v>10</v>
      </c>
      <c r="I4100" s="24" t="str">
        <f>IFERROR(__xludf.DUMMYFUNCTION("""COMPUTED_VALUE"""),"Regular (up to 20lbs)")</f>
        <v>Regular (up to 20lbs)</v>
      </c>
    </row>
    <row r="4101">
      <c r="A4101" s="23">
        <f>IFERROR(__xludf.DUMMYFUNCTION("""COMPUTED_VALUE"""),44885.0)</f>
        <v>44885</v>
      </c>
      <c r="B4101" s="24" t="str">
        <f>IFERROR(__xludf.DUMMYFUNCTION("""COMPUTED_VALUE"""),"Marci")</f>
        <v>Marci</v>
      </c>
      <c r="C4101" s="24">
        <f>IFERROR(__xludf.DUMMYFUNCTION("""COMPUTED_VALUE"""),42.0)</f>
        <v>42</v>
      </c>
      <c r="D4101" s="24" t="str">
        <f>IFERROR(__xludf.DUMMYFUNCTION("""COMPUTED_VALUE"""),"Damage/expired/extra")</f>
        <v>Damage/expired/extra</v>
      </c>
      <c r="F4101" s="23">
        <f>IFERROR(__xludf.DUMMYFUNCTION("""COMPUTED_VALUE"""),44903.85696716435)</f>
        <v>44903.85697</v>
      </c>
      <c r="G4101" s="24" t="str">
        <f>IFERROR(__xludf.DUMMYFUNCTION("""COMPUTED_VALUE"""),"Nani")</f>
        <v>Nani</v>
      </c>
      <c r="H4101" s="24">
        <f>IFERROR(__xludf.DUMMYFUNCTION("""COMPUTED_VALUE"""),6.0)</f>
        <v>6</v>
      </c>
      <c r="I4101" s="24" t="str">
        <f>IFERROR(__xludf.DUMMYFUNCTION("""COMPUTED_VALUE"""),"Damage/expired/extra")</f>
        <v>Damage/expired/extra</v>
      </c>
    </row>
    <row r="4102">
      <c r="A4102" s="23">
        <f>IFERROR(__xludf.DUMMYFUNCTION("""COMPUTED_VALUE"""),44885.64877236111)</f>
        <v>44885.64877</v>
      </c>
      <c r="B4102" s="24" t="str">
        <f>IFERROR(__xludf.DUMMYFUNCTION("""COMPUTED_VALUE"""),"James williams ")</f>
        <v>James williams </v>
      </c>
      <c r="C4102" s="24">
        <f>IFERROR(__xludf.DUMMYFUNCTION("""COMPUTED_VALUE"""),20.0)</f>
        <v>20</v>
      </c>
      <c r="D4102" s="24" t="str">
        <f>IFERROR(__xludf.DUMMYFUNCTION("""COMPUTED_VALUE"""),"Regular (up to 20lbs)")</f>
        <v>Regular (up to 20lbs)</v>
      </c>
      <c r="F4102" s="23">
        <f>IFERROR(__xludf.DUMMYFUNCTION("""COMPUTED_VALUE"""),44903.85832662037)</f>
        <v>44903.85833</v>
      </c>
      <c r="G4102" s="24" t="str">
        <f>IFERROR(__xludf.DUMMYFUNCTION("""COMPUTED_VALUE"""),"Obinna Nwokoro")</f>
        <v>Obinna Nwokoro</v>
      </c>
      <c r="H4102" s="24">
        <f>IFERROR(__xludf.DUMMYFUNCTION("""COMPUTED_VALUE"""),20.0)</f>
        <v>20</v>
      </c>
      <c r="I4102" s="24" t="str">
        <f>IFERROR(__xludf.DUMMYFUNCTION("""COMPUTED_VALUE"""),"Regular (up to 20lbs)")</f>
        <v>Regular (up to 20lbs)</v>
      </c>
    </row>
    <row r="4103">
      <c r="A4103" s="23">
        <f>IFERROR(__xludf.DUMMYFUNCTION("""COMPUTED_VALUE"""),44885.649711666665)</f>
        <v>44885.64971</v>
      </c>
      <c r="B4103" s="24" t="str">
        <f>IFERROR(__xludf.DUMMYFUNCTION("""COMPUTED_VALUE"""),"Alex")</f>
        <v>Alex</v>
      </c>
      <c r="C4103" s="24">
        <f>IFERROR(__xludf.DUMMYFUNCTION("""COMPUTED_VALUE"""),20.0)</f>
        <v>20</v>
      </c>
      <c r="D4103" s="24" t="str">
        <f>IFERROR(__xludf.DUMMYFUNCTION("""COMPUTED_VALUE"""),"Regular (up to 20lbs)")</f>
        <v>Regular (up to 20lbs)</v>
      </c>
      <c r="F4103" s="23">
        <f>IFERROR(__xludf.DUMMYFUNCTION("""COMPUTED_VALUE"""),44904.0)</f>
        <v>44904</v>
      </c>
      <c r="G4103" s="24" t="str">
        <f>IFERROR(__xludf.DUMMYFUNCTION("""COMPUTED_VALUE"""),"Juanita Chandler ")</f>
        <v>Juanita Chandler </v>
      </c>
      <c r="H4103" s="24">
        <f>IFERROR(__xludf.DUMMYFUNCTION("""COMPUTED_VALUE"""),9.0)</f>
        <v>9</v>
      </c>
      <c r="I4103" s="24" t="str">
        <f>IFERROR(__xludf.DUMMYFUNCTION("""COMPUTED_VALUE"""),"Regular (up to 20lbs)")</f>
        <v>Regular (up to 20lbs)</v>
      </c>
    </row>
    <row r="4104">
      <c r="A4104" s="23">
        <f>IFERROR(__xludf.DUMMYFUNCTION("""COMPUTED_VALUE"""),44885.65317929398)</f>
        <v>44885.65318</v>
      </c>
      <c r="B4104" s="24" t="str">
        <f>IFERROR(__xludf.DUMMYFUNCTION("""COMPUTED_VALUE"""),"Opeyemi")</f>
        <v>Opeyemi</v>
      </c>
      <c r="C4104" s="24">
        <f>IFERROR(__xludf.DUMMYFUNCTION("""COMPUTED_VALUE"""),8.0)</f>
        <v>8</v>
      </c>
      <c r="D4104" s="24" t="str">
        <f>IFERROR(__xludf.DUMMYFUNCTION("""COMPUTED_VALUE"""),"Regular (up to 20lbs)")</f>
        <v>Regular (up to 20lbs)</v>
      </c>
      <c r="F4104" s="23">
        <f>IFERROR(__xludf.DUMMYFUNCTION("""COMPUTED_VALUE"""),44904.0)</f>
        <v>44904</v>
      </c>
      <c r="G4104" s="24" t="str">
        <f>IFERROR(__xludf.DUMMYFUNCTION("""COMPUTED_VALUE"""),"Juanita Chandler ")</f>
        <v>Juanita Chandler </v>
      </c>
      <c r="H4104" s="24">
        <f>IFERROR(__xludf.DUMMYFUNCTION("""COMPUTED_VALUE"""),19.0)</f>
        <v>19</v>
      </c>
      <c r="I4104" s="24" t="str">
        <f>IFERROR(__xludf.DUMMYFUNCTION("""COMPUTED_VALUE"""),"Damage/expired/extra")</f>
        <v>Damage/expired/extra</v>
      </c>
    </row>
    <row r="4105">
      <c r="A4105" s="23">
        <f>IFERROR(__xludf.DUMMYFUNCTION("""COMPUTED_VALUE"""),44885.65737664352)</f>
        <v>44885.65738</v>
      </c>
      <c r="B4105" s="24" t="str">
        <f>IFERROR(__xludf.DUMMYFUNCTION("""COMPUTED_VALUE"""),"Kaneesha ")</f>
        <v>Kaneesha </v>
      </c>
      <c r="C4105" s="24">
        <f>IFERROR(__xludf.DUMMYFUNCTION("""COMPUTED_VALUE"""),20.0)</f>
        <v>20</v>
      </c>
      <c r="D4105" s="24" t="str">
        <f>IFERROR(__xludf.DUMMYFUNCTION("""COMPUTED_VALUE"""),"Regular (up to 20lbs)")</f>
        <v>Regular (up to 20lbs)</v>
      </c>
      <c r="F4105" s="23">
        <f>IFERROR(__xludf.DUMMYFUNCTION("""COMPUTED_VALUE"""),44904.0)</f>
        <v>44904</v>
      </c>
      <c r="G4105" s="24" t="str">
        <f>IFERROR(__xludf.DUMMYFUNCTION("""COMPUTED_VALUE"""),"Theresa Columbus")</f>
        <v>Theresa Columbus</v>
      </c>
      <c r="H4105" s="24">
        <f>IFERROR(__xludf.DUMMYFUNCTION("""COMPUTED_VALUE"""),18.0)</f>
        <v>18</v>
      </c>
      <c r="I4105" s="24" t="str">
        <f>IFERROR(__xludf.DUMMYFUNCTION("""COMPUTED_VALUE"""),"Regular (up to 20lbs)")</f>
        <v>Regular (up to 20lbs)</v>
      </c>
    </row>
    <row r="4106">
      <c r="A4106" s="23">
        <f>IFERROR(__xludf.DUMMYFUNCTION("""COMPUTED_VALUE"""),44885.65749751157)</f>
        <v>44885.6575</v>
      </c>
      <c r="B4106" s="24" t="str">
        <f>IFERROR(__xludf.DUMMYFUNCTION("""COMPUTED_VALUE"""),"Kaneesha ")</f>
        <v>Kaneesha </v>
      </c>
      <c r="C4106" s="24">
        <f>IFERROR(__xludf.DUMMYFUNCTION("""COMPUTED_VALUE"""),22.0)</f>
        <v>22</v>
      </c>
      <c r="D4106" s="24" t="str">
        <f>IFERROR(__xludf.DUMMYFUNCTION("""COMPUTED_VALUE"""),"Damage/expired/extra")</f>
        <v>Damage/expired/extra</v>
      </c>
      <c r="F4106" s="23">
        <f>IFERROR(__xludf.DUMMYFUNCTION("""COMPUTED_VALUE"""),44904.0)</f>
        <v>44904</v>
      </c>
      <c r="G4106" s="24" t="str">
        <f>IFERROR(__xludf.DUMMYFUNCTION("""COMPUTED_VALUE"""),"Theresa Columbus")</f>
        <v>Theresa Columbus</v>
      </c>
      <c r="H4106" s="24">
        <f>IFERROR(__xludf.DUMMYFUNCTION("""COMPUTED_VALUE"""),9.0)</f>
        <v>9</v>
      </c>
      <c r="I4106" s="24" t="str">
        <f>IFERROR(__xludf.DUMMYFUNCTION("""COMPUTED_VALUE"""),"Damage/expired/extra")</f>
        <v>Damage/expired/extra</v>
      </c>
    </row>
    <row r="4107">
      <c r="A4107" s="23">
        <f>IFERROR(__xludf.DUMMYFUNCTION("""COMPUTED_VALUE"""),44885.65858766204)</f>
        <v>44885.65859</v>
      </c>
      <c r="B4107" s="24" t="str">
        <f>IFERROR(__xludf.DUMMYFUNCTION("""COMPUTED_VALUE"""),"Zoe")</f>
        <v>Zoe</v>
      </c>
      <c r="C4107" s="24">
        <f>IFERROR(__xludf.DUMMYFUNCTION("""COMPUTED_VALUE"""),18.0)</f>
        <v>18</v>
      </c>
      <c r="D4107" s="24" t="str">
        <f>IFERROR(__xludf.DUMMYFUNCTION("""COMPUTED_VALUE"""),"Regular (up to 20lbs)")</f>
        <v>Regular (up to 20lbs)</v>
      </c>
      <c r="F4107" s="23">
        <f>IFERROR(__xludf.DUMMYFUNCTION("""COMPUTED_VALUE"""),44904.563661736116)</f>
        <v>44904.56366</v>
      </c>
      <c r="G4107" s="24" t="str">
        <f>IFERROR(__xludf.DUMMYFUNCTION("""COMPUTED_VALUE"""),"JUANITA Chandler ")</f>
        <v>JUANITA Chandler </v>
      </c>
      <c r="H4107" s="24">
        <f>IFERROR(__xludf.DUMMYFUNCTION("""COMPUTED_VALUE"""),840.0)</f>
        <v>840</v>
      </c>
      <c r="I4107" s="24" t="str">
        <f>IFERROR(__xludf.DUMMYFUNCTION("""COMPUTED_VALUE"""),"Dole&amp; Mix")</f>
        <v>Dole&amp; Mix</v>
      </c>
    </row>
    <row r="4108">
      <c r="A4108" s="23">
        <f>IFERROR(__xludf.DUMMYFUNCTION("""COMPUTED_VALUE"""),44885.65982626158)</f>
        <v>44885.65983</v>
      </c>
      <c r="B4108" s="24" t="str">
        <f>IFERROR(__xludf.DUMMYFUNCTION("""COMPUTED_VALUE"""),"Yulia ")</f>
        <v>Yulia </v>
      </c>
      <c r="C4108" s="24">
        <f>IFERROR(__xludf.DUMMYFUNCTION("""COMPUTED_VALUE"""),14.0)</f>
        <v>14</v>
      </c>
      <c r="D4108" s="24" t="str">
        <f>IFERROR(__xludf.DUMMYFUNCTION("""COMPUTED_VALUE"""),"Damage/expired/extra")</f>
        <v>Damage/expired/extra</v>
      </c>
      <c r="F4108" s="23">
        <f>IFERROR(__xludf.DUMMYFUNCTION("""COMPUTED_VALUE"""),44904.56446806713)</f>
        <v>44904.56447</v>
      </c>
      <c r="G4108" s="24" t="str">
        <f>IFERROR(__xludf.DUMMYFUNCTION("""COMPUTED_VALUE"""),"JUANITA Chandler ")</f>
        <v>JUANITA Chandler </v>
      </c>
      <c r="H4108" s="24">
        <f>IFERROR(__xludf.DUMMYFUNCTION("""COMPUTED_VALUE"""),670.0)</f>
        <v>670</v>
      </c>
      <c r="I4108" s="24" t="str">
        <f>IFERROR(__xludf.DUMMYFUNCTION("""COMPUTED_VALUE"""),"Dole &amp; Mix")</f>
        <v>Dole &amp; Mix</v>
      </c>
    </row>
    <row r="4109">
      <c r="A4109" s="23">
        <f>IFERROR(__xludf.DUMMYFUNCTION("""COMPUTED_VALUE"""),44885.65997331019)</f>
        <v>44885.65997</v>
      </c>
      <c r="B4109" s="24" t="str">
        <f>IFERROR(__xludf.DUMMYFUNCTION("""COMPUTED_VALUE"""),"Yulia")</f>
        <v>Yulia</v>
      </c>
      <c r="C4109" s="24">
        <f>IFERROR(__xludf.DUMMYFUNCTION("""COMPUTED_VALUE"""),20.0)</f>
        <v>20</v>
      </c>
      <c r="D4109" s="24" t="str">
        <f>IFERROR(__xludf.DUMMYFUNCTION("""COMPUTED_VALUE"""),"Regular (up to 20lbs)")</f>
        <v>Regular (up to 20lbs)</v>
      </c>
      <c r="F4109" s="23">
        <f>IFERROR(__xludf.DUMMYFUNCTION("""COMPUTED_VALUE"""),44904.58046402778)</f>
        <v>44904.58046</v>
      </c>
      <c r="G4109" s="24" t="str">
        <f>IFERROR(__xludf.DUMMYFUNCTION("""COMPUTED_VALUE"""),"Jean")</f>
        <v>Jean</v>
      </c>
      <c r="H4109" s="24">
        <f>IFERROR(__xludf.DUMMYFUNCTION("""COMPUTED_VALUE"""),24.0)</f>
        <v>24</v>
      </c>
      <c r="I4109" s="24" t="str">
        <f>IFERROR(__xludf.DUMMYFUNCTION("""COMPUTED_VALUE"""),"Damage/expired/extra")</f>
        <v>Damage/expired/extra</v>
      </c>
    </row>
    <row r="4110">
      <c r="A4110" s="23">
        <f>IFERROR(__xludf.DUMMYFUNCTION("""COMPUTED_VALUE"""),44887.0)</f>
        <v>44887</v>
      </c>
      <c r="B4110" s="24" t="str">
        <f>IFERROR(__xludf.DUMMYFUNCTION("""COMPUTED_VALUE"""),"Susan Larson")</f>
        <v>Susan Larson</v>
      </c>
      <c r="C4110" s="24">
        <f>IFERROR(__xludf.DUMMYFUNCTION("""COMPUTED_VALUE"""),15.0)</f>
        <v>15</v>
      </c>
      <c r="D4110" s="24" t="str">
        <f>IFERROR(__xludf.DUMMYFUNCTION("""COMPUTED_VALUE"""),"Regular (up to 20lbs)")</f>
        <v>Regular (up to 20lbs)</v>
      </c>
      <c r="F4110" s="23">
        <f>IFERROR(__xludf.DUMMYFUNCTION("""COMPUTED_VALUE"""),44904.59825274305)</f>
        <v>44904.59825</v>
      </c>
      <c r="G4110" s="24" t="str">
        <f>IFERROR(__xludf.DUMMYFUNCTION("""COMPUTED_VALUE"""),"JUANITA Chandler ")</f>
        <v>JUANITA Chandler </v>
      </c>
      <c r="H4110" s="24">
        <f>IFERROR(__xludf.DUMMYFUNCTION("""COMPUTED_VALUE"""),301.0)</f>
        <v>301</v>
      </c>
      <c r="I4110" s="24" t="str">
        <f>IFERROR(__xludf.DUMMYFUNCTION("""COMPUTED_VALUE"""),"Frozen [Not Meat]")</f>
        <v>Frozen [Not Meat]</v>
      </c>
    </row>
    <row r="4111">
      <c r="A4111" s="23">
        <f>IFERROR(__xludf.DUMMYFUNCTION("""COMPUTED_VALUE"""),44887.0)</f>
        <v>44887</v>
      </c>
      <c r="B4111" s="24" t="str">
        <f>IFERROR(__xludf.DUMMYFUNCTION("""COMPUTED_VALUE"""),"Susan Larson")</f>
        <v>Susan Larson</v>
      </c>
      <c r="C4111" s="24">
        <f>IFERROR(__xludf.DUMMYFUNCTION("""COMPUTED_VALUE"""),7.0)</f>
        <v>7</v>
      </c>
      <c r="D4111" s="24" t="str">
        <f>IFERROR(__xludf.DUMMYFUNCTION("""COMPUTED_VALUE"""),"Damage/expired/extra")</f>
        <v>Damage/expired/extra</v>
      </c>
      <c r="F4111" s="23">
        <f>IFERROR(__xludf.DUMMYFUNCTION("""COMPUTED_VALUE"""),44904.598768344906)</f>
        <v>44904.59877</v>
      </c>
      <c r="G4111" s="24" t="str">
        <f>IFERROR(__xludf.DUMMYFUNCTION("""COMPUTED_VALUE"""),"JUANITA Chandler ")</f>
        <v>JUANITA Chandler </v>
      </c>
      <c r="H4111" s="24">
        <f>IFERROR(__xludf.DUMMYFUNCTION("""COMPUTED_VALUE"""),246.0)</f>
        <v>246</v>
      </c>
      <c r="I4111" s="24" t="str">
        <f>IFERROR(__xludf.DUMMYFUNCTION("""COMPUTED_VALUE"""),"Frozen [Not Meat]")</f>
        <v>Frozen [Not Meat]</v>
      </c>
    </row>
    <row r="4112">
      <c r="A4112" s="23">
        <f>IFERROR(__xludf.DUMMYFUNCTION("""COMPUTED_VALUE"""),44887.0)</f>
        <v>44887</v>
      </c>
      <c r="B4112" s="24" t="str">
        <f>IFERROR(__xludf.DUMMYFUNCTION("""COMPUTED_VALUE"""),"Juanita Chandler ")</f>
        <v>Juanita Chandler </v>
      </c>
      <c r="C4112" s="24">
        <f>IFERROR(__xludf.DUMMYFUNCTION("""COMPUTED_VALUE"""),12.0)</f>
        <v>12</v>
      </c>
      <c r="D4112" s="24" t="str">
        <f>IFERROR(__xludf.DUMMYFUNCTION("""COMPUTED_VALUE"""),"Regular (up to 20lbs)")</f>
        <v>Regular (up to 20lbs)</v>
      </c>
      <c r="F4112" s="23">
        <f>IFERROR(__xludf.DUMMYFUNCTION("""COMPUTED_VALUE"""),44904.65352150463)</f>
        <v>44904.65352</v>
      </c>
      <c r="G4112" s="24" t="str">
        <f>IFERROR(__xludf.DUMMYFUNCTION("""COMPUTED_VALUE"""),"JUANITA Chandler ")</f>
        <v>JUANITA Chandler </v>
      </c>
      <c r="H4112" s="24">
        <f>IFERROR(__xludf.DUMMYFUNCTION("""COMPUTED_VALUE"""),91.0)</f>
        <v>91</v>
      </c>
      <c r="I4112" s="24" t="str">
        <f>IFERROR(__xludf.DUMMYFUNCTION("""COMPUTED_VALUE"""),"Assorted Dry")</f>
        <v>Assorted Dry</v>
      </c>
    </row>
    <row r="4113">
      <c r="A4113" s="23">
        <f>IFERROR(__xludf.DUMMYFUNCTION("""COMPUTED_VALUE"""),44887.0)</f>
        <v>44887</v>
      </c>
      <c r="B4113" s="24" t="str">
        <f>IFERROR(__xludf.DUMMYFUNCTION("""COMPUTED_VALUE"""),"Juanita Chandler ")</f>
        <v>Juanita Chandler </v>
      </c>
      <c r="C4113" s="24">
        <f>IFERROR(__xludf.DUMMYFUNCTION("""COMPUTED_VALUE"""),28.0)</f>
        <v>28</v>
      </c>
      <c r="D4113" s="24" t="str">
        <f>IFERROR(__xludf.DUMMYFUNCTION("""COMPUTED_VALUE"""),"Damage/expired/extra")</f>
        <v>Damage/expired/extra</v>
      </c>
      <c r="F4113" s="23">
        <f>IFERROR(__xludf.DUMMYFUNCTION("""COMPUTED_VALUE"""),44904.65443149306)</f>
        <v>44904.65443</v>
      </c>
      <c r="G4113" s="24" t="str">
        <f>IFERROR(__xludf.DUMMYFUNCTION("""COMPUTED_VALUE"""),"Juanita Chandler ")</f>
        <v>Juanita Chandler </v>
      </c>
      <c r="H4113" s="24">
        <f>IFERROR(__xludf.DUMMYFUNCTION("""COMPUTED_VALUE"""),97.0)</f>
        <v>97</v>
      </c>
      <c r="I4113" s="24" t="str">
        <f>IFERROR(__xludf.DUMMYFUNCTION("""COMPUTED_VALUE"""),"Assorted Dry")</f>
        <v>Assorted Dry</v>
      </c>
    </row>
    <row r="4114">
      <c r="A4114" s="23">
        <f>IFERROR(__xludf.DUMMYFUNCTION("""COMPUTED_VALUE"""),44887.0)</f>
        <v>44887</v>
      </c>
      <c r="B4114" s="24" t="str">
        <f>IFERROR(__xludf.DUMMYFUNCTION("""COMPUTED_VALUE"""),"Marci")</f>
        <v>Marci</v>
      </c>
      <c r="C4114" s="24">
        <f>IFERROR(__xludf.DUMMYFUNCTION("""COMPUTED_VALUE"""),6.0)</f>
        <v>6</v>
      </c>
      <c r="D4114" s="24" t="str">
        <f>IFERROR(__xludf.DUMMYFUNCTION("""COMPUTED_VALUE"""),"Regular (up to 20lbs)")</f>
        <v>Regular (up to 20lbs)</v>
      </c>
      <c r="F4114" s="23">
        <f>IFERROR(__xludf.DUMMYFUNCTION("""COMPUTED_VALUE"""),44904.70137755787)</f>
        <v>44904.70138</v>
      </c>
      <c r="G4114" s="24" t="str">
        <f>IFERROR(__xludf.DUMMYFUNCTION("""COMPUTED_VALUE"""),"Beth Torres")</f>
        <v>Beth Torres</v>
      </c>
      <c r="H4114" s="24">
        <f>IFERROR(__xludf.DUMMYFUNCTION("""COMPUTED_VALUE"""),8.0)</f>
        <v>8</v>
      </c>
      <c r="I4114" s="24" t="str">
        <f>IFERROR(__xludf.DUMMYFUNCTION("""COMPUTED_VALUE"""),"Regular (up to 20lbs)")</f>
        <v>Regular (up to 20lbs)</v>
      </c>
    </row>
    <row r="4115">
      <c r="A4115" s="23">
        <f>IFERROR(__xludf.DUMMYFUNCTION("""COMPUTED_VALUE"""),44887.0)</f>
        <v>44887</v>
      </c>
      <c r="B4115" s="24" t="str">
        <f>IFERROR(__xludf.DUMMYFUNCTION("""COMPUTED_VALUE"""),"Marci")</f>
        <v>Marci</v>
      </c>
      <c r="C4115" s="24">
        <f>IFERROR(__xludf.DUMMYFUNCTION("""COMPUTED_VALUE"""),40.0)</f>
        <v>40</v>
      </c>
      <c r="D4115" s="24" t="str">
        <f>IFERROR(__xludf.DUMMYFUNCTION("""COMPUTED_VALUE"""),"Damage/expired/extra")</f>
        <v>Damage/expired/extra</v>
      </c>
      <c r="F4115" s="23">
        <f>IFERROR(__xludf.DUMMYFUNCTION("""COMPUTED_VALUE"""),44904.701495995374)</f>
        <v>44904.7015</v>
      </c>
      <c r="G4115" s="24" t="str">
        <f>IFERROR(__xludf.DUMMYFUNCTION("""COMPUTED_VALUE"""),"Beth Torres")</f>
        <v>Beth Torres</v>
      </c>
      <c r="H4115" s="24">
        <f>IFERROR(__xludf.DUMMYFUNCTION("""COMPUTED_VALUE"""),9.0)</f>
        <v>9</v>
      </c>
      <c r="I4115" s="24" t="str">
        <f>IFERROR(__xludf.DUMMYFUNCTION("""COMPUTED_VALUE"""),"Damage/expired/extra")</f>
        <v>Damage/expired/extra</v>
      </c>
    </row>
    <row r="4116">
      <c r="A4116" s="23">
        <f>IFERROR(__xludf.DUMMYFUNCTION("""COMPUTED_VALUE"""),44887.69772107639)</f>
        <v>44887.69772</v>
      </c>
      <c r="B4116" s="24" t="str">
        <f>IFERROR(__xludf.DUMMYFUNCTION("""COMPUTED_VALUE"""),"Romaine Bouldin ")</f>
        <v>Romaine Bouldin </v>
      </c>
      <c r="C4116" s="24">
        <f>IFERROR(__xludf.DUMMYFUNCTION("""COMPUTED_VALUE"""),17.0)</f>
        <v>17</v>
      </c>
      <c r="D4116" s="24" t="str">
        <f>IFERROR(__xludf.DUMMYFUNCTION("""COMPUTED_VALUE"""),"Regular (up to 20lbs)")</f>
        <v>Regular (up to 20lbs)</v>
      </c>
      <c r="F4116" s="23">
        <f>IFERROR(__xludf.DUMMYFUNCTION("""COMPUTED_VALUE"""),44904.71116466435)</f>
        <v>44904.71116</v>
      </c>
      <c r="G4116" s="24" t="str">
        <f>IFERROR(__xludf.DUMMYFUNCTION("""COMPUTED_VALUE"""),"Sunita pathik")</f>
        <v>Sunita pathik</v>
      </c>
      <c r="H4116" s="24">
        <f>IFERROR(__xludf.DUMMYFUNCTION("""COMPUTED_VALUE"""),8.0)</f>
        <v>8</v>
      </c>
      <c r="I4116" s="24" t="str">
        <f>IFERROR(__xludf.DUMMYFUNCTION("""COMPUTED_VALUE"""),"Regular (up to 20lbs)")</f>
        <v>Regular (up to 20lbs)</v>
      </c>
    </row>
    <row r="4117">
      <c r="A4117" s="23">
        <f>IFERROR(__xludf.DUMMYFUNCTION("""COMPUTED_VALUE"""),44887.6977797338)</f>
        <v>44887.69778</v>
      </c>
      <c r="B4117" s="24" t="str">
        <f>IFERROR(__xludf.DUMMYFUNCTION("""COMPUTED_VALUE"""),"Rosemary Hendricks")</f>
        <v>Rosemary Hendricks</v>
      </c>
      <c r="C4117" s="24">
        <f>IFERROR(__xludf.DUMMYFUNCTION("""COMPUTED_VALUE"""),18.0)</f>
        <v>18</v>
      </c>
      <c r="D4117" s="24" t="str">
        <f>IFERROR(__xludf.DUMMYFUNCTION("""COMPUTED_VALUE"""),"Regular (up to 20lbs)")</f>
        <v>Regular (up to 20lbs)</v>
      </c>
      <c r="F4117" s="23">
        <f>IFERROR(__xludf.DUMMYFUNCTION("""COMPUTED_VALUE"""),44904.711589074075)</f>
        <v>44904.71159</v>
      </c>
      <c r="G4117" s="24" t="str">
        <f>IFERROR(__xludf.DUMMYFUNCTION("""COMPUTED_VALUE"""),"Sunita pathik")</f>
        <v>Sunita pathik</v>
      </c>
      <c r="H4117" s="24">
        <f>IFERROR(__xludf.DUMMYFUNCTION("""COMPUTED_VALUE"""),150.0)</f>
        <v>150</v>
      </c>
      <c r="I4117" s="24" t="str">
        <f>IFERROR(__xludf.DUMMYFUNCTION("""COMPUTED_VALUE"""),"Assorted Fridge")</f>
        <v>Assorted Fridge</v>
      </c>
    </row>
    <row r="4118">
      <c r="A4118" s="23">
        <f>IFERROR(__xludf.DUMMYFUNCTION("""COMPUTED_VALUE"""),44887.69787506945)</f>
        <v>44887.69788</v>
      </c>
      <c r="B4118" s="24" t="str">
        <f>IFERROR(__xludf.DUMMYFUNCTION("""COMPUTED_VALUE"""),"Romaine Bouldin ")</f>
        <v>Romaine Bouldin </v>
      </c>
      <c r="C4118" s="24">
        <f>IFERROR(__xludf.DUMMYFUNCTION("""COMPUTED_VALUE"""),3.0)</f>
        <v>3</v>
      </c>
      <c r="D4118" s="24" t="str">
        <f>IFERROR(__xludf.DUMMYFUNCTION("""COMPUTED_VALUE"""),"Damage/expired/extra")</f>
        <v>Damage/expired/extra</v>
      </c>
      <c r="F4118" s="23">
        <f>IFERROR(__xludf.DUMMYFUNCTION("""COMPUTED_VALUE"""),44905.0)</f>
        <v>44905</v>
      </c>
      <c r="G4118" s="24" t="str">
        <f>IFERROR(__xludf.DUMMYFUNCTION("""COMPUTED_VALUE"""),"Ryan Kasraii")</f>
        <v>Ryan Kasraii</v>
      </c>
      <c r="H4118" s="24">
        <f>IFERROR(__xludf.DUMMYFUNCTION("""COMPUTED_VALUE"""),2.0)</f>
        <v>2</v>
      </c>
      <c r="I4118" s="24" t="str">
        <f>IFERROR(__xludf.DUMMYFUNCTION("""COMPUTED_VALUE"""),"Damage/expired/extra")</f>
        <v>Damage/expired/extra</v>
      </c>
    </row>
    <row r="4119">
      <c r="A4119" s="23">
        <f>IFERROR(__xludf.DUMMYFUNCTION("""COMPUTED_VALUE"""),44887.698283645834)</f>
        <v>44887.69828</v>
      </c>
      <c r="B4119" s="24" t="str">
        <f>IFERROR(__xludf.DUMMYFUNCTION("""COMPUTED_VALUE"""),"Rosemary Hendricks")</f>
        <v>Rosemary Hendricks</v>
      </c>
      <c r="C4119" s="24">
        <f>IFERROR(__xludf.DUMMYFUNCTION("""COMPUTED_VALUE"""),1.0)</f>
        <v>1</v>
      </c>
      <c r="D4119" s="24" t="str">
        <f>IFERROR(__xludf.DUMMYFUNCTION("""COMPUTED_VALUE"""),"Damage/expired/extra")</f>
        <v>Damage/expired/extra</v>
      </c>
      <c r="F4119" s="23">
        <f>IFERROR(__xludf.DUMMYFUNCTION("""COMPUTED_VALUE"""),44905.0)</f>
        <v>44905</v>
      </c>
      <c r="G4119" s="24" t="str">
        <f>IFERROR(__xludf.DUMMYFUNCTION("""COMPUTED_VALUE"""),"Efrain Baca")</f>
        <v>Efrain Baca</v>
      </c>
      <c r="H4119" s="24">
        <f>IFERROR(__xludf.DUMMYFUNCTION("""COMPUTED_VALUE"""),6.0)</f>
        <v>6</v>
      </c>
      <c r="I4119" s="24" t="str">
        <f>IFERROR(__xludf.DUMMYFUNCTION("""COMPUTED_VALUE"""),"Damage/expired/extra")</f>
        <v>Damage/expired/extra</v>
      </c>
    </row>
    <row r="4120">
      <c r="A4120" s="23">
        <f>IFERROR(__xludf.DUMMYFUNCTION("""COMPUTED_VALUE"""),44887.70165451389)</f>
        <v>44887.70165</v>
      </c>
      <c r="B4120" s="24" t="str">
        <f>IFERROR(__xludf.DUMMYFUNCTION("""COMPUTED_VALUE"""),"Kaneesha ")</f>
        <v>Kaneesha </v>
      </c>
      <c r="C4120" s="24">
        <f>IFERROR(__xludf.DUMMYFUNCTION("""COMPUTED_VALUE"""),20.0)</f>
        <v>20</v>
      </c>
      <c r="D4120" s="24" t="str">
        <f>IFERROR(__xludf.DUMMYFUNCTION("""COMPUTED_VALUE"""),"Regular (up to 20lbs)")</f>
        <v>Regular (up to 20lbs)</v>
      </c>
      <c r="F4120" s="23">
        <f>IFERROR(__xludf.DUMMYFUNCTION("""COMPUTED_VALUE"""),44905.0)</f>
        <v>44905</v>
      </c>
      <c r="G4120" s="24" t="str">
        <f>IFERROR(__xludf.DUMMYFUNCTION("""COMPUTED_VALUE"""),"Azel King")</f>
        <v>Azel King</v>
      </c>
      <c r="H4120" s="24">
        <f>IFERROR(__xludf.DUMMYFUNCTION("""COMPUTED_VALUE"""),1.0)</f>
        <v>1</v>
      </c>
      <c r="I4120" s="24" t="str">
        <f>IFERROR(__xludf.DUMMYFUNCTION("""COMPUTED_VALUE"""),"Damage/expired/extra")</f>
        <v>Damage/expired/extra</v>
      </c>
    </row>
    <row r="4121">
      <c r="A4121" s="23">
        <f>IFERROR(__xludf.DUMMYFUNCTION("""COMPUTED_VALUE"""),44887.70179172454)</f>
        <v>44887.70179</v>
      </c>
      <c r="B4121" s="24" t="str">
        <f>IFERROR(__xludf.DUMMYFUNCTION("""COMPUTED_VALUE"""),"Kaneesha ")</f>
        <v>Kaneesha </v>
      </c>
      <c r="C4121" s="24">
        <f>IFERROR(__xludf.DUMMYFUNCTION("""COMPUTED_VALUE"""),41.0)</f>
        <v>41</v>
      </c>
      <c r="D4121" s="24" t="str">
        <f>IFERROR(__xludf.DUMMYFUNCTION("""COMPUTED_VALUE"""),"Damage/expired/extra")</f>
        <v>Damage/expired/extra</v>
      </c>
      <c r="F4121" s="23">
        <f>IFERROR(__xludf.DUMMYFUNCTION("""COMPUTED_VALUE"""),44905.0)</f>
        <v>44905</v>
      </c>
      <c r="G4121" s="24" t="str">
        <f>IFERROR(__xludf.DUMMYFUNCTION("""COMPUTED_VALUE"""),"Juanita Chandler ")</f>
        <v>Juanita Chandler </v>
      </c>
      <c r="H4121" s="24">
        <f>IFERROR(__xludf.DUMMYFUNCTION("""COMPUTED_VALUE"""),19.0)</f>
        <v>19</v>
      </c>
      <c r="I4121" s="24" t="str">
        <f>IFERROR(__xludf.DUMMYFUNCTION("""COMPUTED_VALUE"""),"Regular (up to 20lbs)")</f>
        <v>Regular (up to 20lbs)</v>
      </c>
    </row>
    <row r="4122">
      <c r="A4122" s="23">
        <f>IFERROR(__xludf.DUMMYFUNCTION("""COMPUTED_VALUE"""),44887.701858761575)</f>
        <v>44887.70186</v>
      </c>
      <c r="B4122" s="24" t="str">
        <f>IFERROR(__xludf.DUMMYFUNCTION("""COMPUTED_VALUE"""),"Anna West")</f>
        <v>Anna West</v>
      </c>
      <c r="C4122" s="24">
        <f>IFERROR(__xludf.DUMMYFUNCTION("""COMPUTED_VALUE"""),20.0)</f>
        <v>20</v>
      </c>
      <c r="D4122" s="24" t="str">
        <f>IFERROR(__xludf.DUMMYFUNCTION("""COMPUTED_VALUE"""),"Regular (up to 20lbs)")</f>
        <v>Regular (up to 20lbs)</v>
      </c>
      <c r="F4122" s="23">
        <f>IFERROR(__xludf.DUMMYFUNCTION("""COMPUTED_VALUE"""),44905.0)</f>
        <v>44905</v>
      </c>
      <c r="G4122" s="24" t="str">
        <f>IFERROR(__xludf.DUMMYFUNCTION("""COMPUTED_VALUE"""),"Evelyn jiang")</f>
        <v>Evelyn jiang</v>
      </c>
      <c r="H4122" s="24">
        <f>IFERROR(__xludf.DUMMYFUNCTION("""COMPUTED_VALUE"""),15.0)</f>
        <v>15</v>
      </c>
      <c r="I4122" s="24" t="str">
        <f>IFERROR(__xludf.DUMMYFUNCTION("""COMPUTED_VALUE"""),"Regular (up to 20lbs)")</f>
        <v>Regular (up to 20lbs)</v>
      </c>
    </row>
    <row r="4123">
      <c r="A4123" s="23">
        <f>IFERROR(__xludf.DUMMYFUNCTION("""COMPUTED_VALUE"""),44887.70199642361)</f>
        <v>44887.702</v>
      </c>
      <c r="B4123" s="24" t="str">
        <f>IFERROR(__xludf.DUMMYFUNCTION("""COMPUTED_VALUE"""),"Anna West")</f>
        <v>Anna West</v>
      </c>
      <c r="C4123" s="24">
        <f>IFERROR(__xludf.DUMMYFUNCTION("""COMPUTED_VALUE"""),13.0)</f>
        <v>13</v>
      </c>
      <c r="D4123" s="24" t="str">
        <f>IFERROR(__xludf.DUMMYFUNCTION("""COMPUTED_VALUE"""),"Damage/expired/extra")</f>
        <v>Damage/expired/extra</v>
      </c>
      <c r="F4123" s="23">
        <f>IFERROR(__xludf.DUMMYFUNCTION("""COMPUTED_VALUE"""),44905.0)</f>
        <v>44905</v>
      </c>
      <c r="G4123" s="24" t="str">
        <f>IFERROR(__xludf.DUMMYFUNCTION("""COMPUTED_VALUE"""),"Angeles Cortes")</f>
        <v>Angeles Cortes</v>
      </c>
      <c r="H4123" s="24">
        <f>IFERROR(__xludf.DUMMYFUNCTION("""COMPUTED_VALUE"""),13.0)</f>
        <v>13</v>
      </c>
      <c r="I4123" s="24" t="str">
        <f>IFERROR(__xludf.DUMMYFUNCTION("""COMPUTED_VALUE"""),"Regular (up to 20lbs)")</f>
        <v>Regular (up to 20lbs)</v>
      </c>
    </row>
    <row r="4124">
      <c r="A4124" s="23">
        <f>IFERROR(__xludf.DUMMYFUNCTION("""COMPUTED_VALUE"""),44887.70569203704)</f>
        <v>44887.70569</v>
      </c>
      <c r="B4124" s="24" t="str">
        <f>IFERROR(__xludf.DUMMYFUNCTION("""COMPUTED_VALUE"""),"Beverly Pinn")</f>
        <v>Beverly Pinn</v>
      </c>
      <c r="C4124" s="24">
        <f>IFERROR(__xludf.DUMMYFUNCTION("""COMPUTED_VALUE"""),18.0)</f>
        <v>18</v>
      </c>
      <c r="D4124" s="24" t="str">
        <f>IFERROR(__xludf.DUMMYFUNCTION("""COMPUTED_VALUE"""),"Regular (up to 20lbs)")</f>
        <v>Regular (up to 20lbs)</v>
      </c>
      <c r="F4124" s="23">
        <f>IFERROR(__xludf.DUMMYFUNCTION("""COMPUTED_VALUE"""),44905.0)</f>
        <v>44905</v>
      </c>
      <c r="G4124" s="24" t="str">
        <f>IFERROR(__xludf.DUMMYFUNCTION("""COMPUTED_VALUE"""),"Angeles Cortes")</f>
        <v>Angeles Cortes</v>
      </c>
      <c r="H4124" s="24">
        <f>IFERROR(__xludf.DUMMYFUNCTION("""COMPUTED_VALUE"""),6.0)</f>
        <v>6</v>
      </c>
      <c r="I4124" s="24" t="str">
        <f>IFERROR(__xludf.DUMMYFUNCTION("""COMPUTED_VALUE"""),"Damage/expired/extra")</f>
        <v>Damage/expired/extra</v>
      </c>
    </row>
    <row r="4125">
      <c r="A4125" s="23">
        <f>IFERROR(__xludf.DUMMYFUNCTION("""COMPUTED_VALUE"""),44887.70583672453)</f>
        <v>44887.70584</v>
      </c>
      <c r="B4125" s="24" t="str">
        <f>IFERROR(__xludf.DUMMYFUNCTION("""COMPUTED_VALUE"""),"Beverly Pinn")</f>
        <v>Beverly Pinn</v>
      </c>
      <c r="C4125" s="24">
        <f>IFERROR(__xludf.DUMMYFUNCTION("""COMPUTED_VALUE"""),25.0)</f>
        <v>25</v>
      </c>
      <c r="D4125" s="24" t="str">
        <f>IFERROR(__xludf.DUMMYFUNCTION("""COMPUTED_VALUE"""),"Damage/expired/extra")</f>
        <v>Damage/expired/extra</v>
      </c>
      <c r="F4125" s="23">
        <f>IFERROR(__xludf.DUMMYFUNCTION("""COMPUTED_VALUE"""),44905.0)</f>
        <v>44905</v>
      </c>
      <c r="G4125" s="24" t="str">
        <f>IFERROR(__xludf.DUMMYFUNCTION("""COMPUTED_VALUE"""),"Gilda Castillo")</f>
        <v>Gilda Castillo</v>
      </c>
      <c r="H4125" s="24">
        <f>IFERROR(__xludf.DUMMYFUNCTION("""COMPUTED_VALUE"""),6.0)</f>
        <v>6</v>
      </c>
      <c r="I4125" s="24" t="str">
        <f>IFERROR(__xludf.DUMMYFUNCTION("""COMPUTED_VALUE"""),"Damage/expired/extra")</f>
        <v>Damage/expired/extra</v>
      </c>
    </row>
    <row r="4126">
      <c r="A4126" s="23">
        <f>IFERROR(__xludf.DUMMYFUNCTION("""COMPUTED_VALUE"""),44887.70788935185)</f>
        <v>44887.70789</v>
      </c>
      <c r="B4126" s="24" t="str">
        <f>IFERROR(__xludf.DUMMYFUNCTION("""COMPUTED_VALUE"""),"Jean")</f>
        <v>Jean</v>
      </c>
      <c r="C4126" s="24">
        <f>IFERROR(__xludf.DUMMYFUNCTION("""COMPUTED_VALUE"""),38.0)</f>
        <v>38</v>
      </c>
      <c r="D4126" s="24" t="str">
        <f>IFERROR(__xludf.DUMMYFUNCTION("""COMPUTED_VALUE"""),"Regular (up to 20lbs)")</f>
        <v>Regular (up to 20lbs)</v>
      </c>
      <c r="F4126" s="23">
        <f>IFERROR(__xludf.DUMMYFUNCTION("""COMPUTED_VALUE"""),44905.0)</f>
        <v>44905</v>
      </c>
      <c r="G4126" s="24" t="str">
        <f>IFERROR(__xludf.DUMMYFUNCTION("""COMPUTED_VALUE"""),"Gilda Castillo")</f>
        <v>Gilda Castillo</v>
      </c>
      <c r="H4126" s="24">
        <f>IFERROR(__xludf.DUMMYFUNCTION("""COMPUTED_VALUE"""),15.0)</f>
        <v>15</v>
      </c>
      <c r="I4126" s="24" t="str">
        <f>IFERROR(__xludf.DUMMYFUNCTION("""COMPUTED_VALUE"""),"Regular (up to 20lbs)")</f>
        <v>Regular (up to 20lbs)</v>
      </c>
    </row>
    <row r="4127">
      <c r="A4127" s="23">
        <f>IFERROR(__xludf.DUMMYFUNCTION("""COMPUTED_VALUE"""),44887.708165069445)</f>
        <v>44887.70817</v>
      </c>
      <c r="B4127" s="24" t="str">
        <f>IFERROR(__xludf.DUMMYFUNCTION("""COMPUTED_VALUE"""),"Jean")</f>
        <v>Jean</v>
      </c>
      <c r="C4127" s="24">
        <f>IFERROR(__xludf.DUMMYFUNCTION("""COMPUTED_VALUE"""),29.0)</f>
        <v>29</v>
      </c>
      <c r="D4127" s="24" t="str">
        <f>IFERROR(__xludf.DUMMYFUNCTION("""COMPUTED_VALUE"""),"Damage/expired/extra")</f>
        <v>Damage/expired/extra</v>
      </c>
      <c r="F4127" s="23">
        <f>IFERROR(__xludf.DUMMYFUNCTION("""COMPUTED_VALUE"""),44905.0)</f>
        <v>44905</v>
      </c>
      <c r="G4127" s="24" t="str">
        <f>IFERROR(__xludf.DUMMYFUNCTION("""COMPUTED_VALUE"""),"Rewa Hazim")</f>
        <v>Rewa Hazim</v>
      </c>
      <c r="H4127" s="24">
        <f>IFERROR(__xludf.DUMMYFUNCTION("""COMPUTED_VALUE"""),20.0)</f>
        <v>20</v>
      </c>
      <c r="I4127" s="24" t="str">
        <f>IFERROR(__xludf.DUMMYFUNCTION("""COMPUTED_VALUE"""),"Regular (up to 20lbs)")</f>
        <v>Regular (up to 20lbs)</v>
      </c>
    </row>
    <row r="4128">
      <c r="A4128" s="23">
        <f>IFERROR(__xludf.DUMMYFUNCTION("""COMPUTED_VALUE"""),44887.73031870371)</f>
        <v>44887.73032</v>
      </c>
      <c r="B4128" s="24" t="str">
        <f>IFERROR(__xludf.DUMMYFUNCTION("""COMPUTED_VALUE"""),"Lynnette c")</f>
        <v>Lynnette c</v>
      </c>
      <c r="C4128" s="24">
        <f>IFERROR(__xludf.DUMMYFUNCTION("""COMPUTED_VALUE"""),14.0)</f>
        <v>14</v>
      </c>
      <c r="D4128" s="24" t="str">
        <f>IFERROR(__xludf.DUMMYFUNCTION("""COMPUTED_VALUE"""),"Damage/expired/extra")</f>
        <v>Damage/expired/extra</v>
      </c>
      <c r="F4128" s="23">
        <f>IFERROR(__xludf.DUMMYFUNCTION("""COMPUTED_VALUE"""),44905.0)</f>
        <v>44905</v>
      </c>
      <c r="G4128" s="24" t="str">
        <f>IFERROR(__xludf.DUMMYFUNCTION("""COMPUTED_VALUE"""),"Hanna S")</f>
        <v>Hanna S</v>
      </c>
      <c r="H4128" s="24">
        <f>IFERROR(__xludf.DUMMYFUNCTION("""COMPUTED_VALUE"""),13.0)</f>
        <v>13</v>
      </c>
      <c r="I4128" s="24" t="str">
        <f>IFERROR(__xludf.DUMMYFUNCTION("""COMPUTED_VALUE"""),"Regular (up to 20lbs)")</f>
        <v>Regular (up to 20lbs)</v>
      </c>
    </row>
    <row r="4129">
      <c r="A4129" s="23">
        <f>IFERROR(__xludf.DUMMYFUNCTION("""COMPUTED_VALUE"""),44887.744098449075)</f>
        <v>44887.7441</v>
      </c>
      <c r="B4129" s="24" t="str">
        <f>IFERROR(__xludf.DUMMYFUNCTION("""COMPUTED_VALUE"""),"Lynnette c")</f>
        <v>Lynnette c</v>
      </c>
      <c r="C4129" s="24">
        <f>IFERROR(__xludf.DUMMYFUNCTION("""COMPUTED_VALUE"""),16.0)</f>
        <v>16</v>
      </c>
      <c r="D4129" s="24" t="str">
        <f>IFERROR(__xludf.DUMMYFUNCTION("""COMPUTED_VALUE"""),"Regular (up to 20lbs)")</f>
        <v>Regular (up to 20lbs)</v>
      </c>
      <c r="F4129" s="23">
        <f>IFERROR(__xludf.DUMMYFUNCTION("""COMPUTED_VALUE"""),44905.0)</f>
        <v>44905</v>
      </c>
      <c r="G4129" s="24" t="str">
        <f>IFERROR(__xludf.DUMMYFUNCTION("""COMPUTED_VALUE"""),"Amirabbas A")</f>
        <v>Amirabbas A</v>
      </c>
      <c r="H4129" s="24">
        <f>IFERROR(__xludf.DUMMYFUNCTION("""COMPUTED_VALUE"""),9.0)</f>
        <v>9</v>
      </c>
      <c r="I4129" s="24" t="str">
        <f>IFERROR(__xludf.DUMMYFUNCTION("""COMPUTED_VALUE"""),"Regular (up to 20lbs)")</f>
        <v>Regular (up to 20lbs)</v>
      </c>
    </row>
    <row r="4130">
      <c r="A4130" s="23">
        <f>IFERROR(__xludf.DUMMYFUNCTION("""COMPUTED_VALUE"""),44892.0)</f>
        <v>44892</v>
      </c>
      <c r="B4130" s="24" t="str">
        <f>IFERROR(__xludf.DUMMYFUNCTION("""COMPUTED_VALUE"""),"Juanita Chandler ")</f>
        <v>Juanita Chandler </v>
      </c>
      <c r="C4130" s="24">
        <f>IFERROR(__xludf.DUMMYFUNCTION("""COMPUTED_VALUE"""),18.0)</f>
        <v>18</v>
      </c>
      <c r="D4130" s="24" t="str">
        <f>IFERROR(__xludf.DUMMYFUNCTION("""COMPUTED_VALUE"""),"Regular (up to 20lbs)")</f>
        <v>Regular (up to 20lbs)</v>
      </c>
      <c r="F4130" s="23">
        <f>IFERROR(__xludf.DUMMYFUNCTION("""COMPUTED_VALUE"""),44905.0)</f>
        <v>44905</v>
      </c>
      <c r="G4130" s="24" t="str">
        <f>IFERROR(__xludf.DUMMYFUNCTION("""COMPUTED_VALUE"""),"Ngozi")</f>
        <v>Ngozi</v>
      </c>
      <c r="H4130" s="24">
        <f>IFERROR(__xludf.DUMMYFUNCTION("""COMPUTED_VALUE"""),10.0)</f>
        <v>10</v>
      </c>
      <c r="I4130" s="24" t="str">
        <f>IFERROR(__xludf.DUMMYFUNCTION("""COMPUTED_VALUE"""),"Regular (up to 20lbs)")</f>
        <v>Regular (up to 20lbs)</v>
      </c>
    </row>
    <row r="4131">
      <c r="A4131" s="23">
        <f>IFERROR(__xludf.DUMMYFUNCTION("""COMPUTED_VALUE"""),44892.0)</f>
        <v>44892</v>
      </c>
      <c r="B4131" s="24" t="str">
        <f>IFERROR(__xludf.DUMMYFUNCTION("""COMPUTED_VALUE"""),"Juanita Chandler ")</f>
        <v>Juanita Chandler </v>
      </c>
      <c r="C4131" s="24">
        <f>IFERROR(__xludf.DUMMYFUNCTION("""COMPUTED_VALUE"""),21.0)</f>
        <v>21</v>
      </c>
      <c r="D4131" s="24" t="str">
        <f>IFERROR(__xludf.DUMMYFUNCTION("""COMPUTED_VALUE"""),"Damage/expired/extra")</f>
        <v>Damage/expired/extra</v>
      </c>
      <c r="F4131" s="23">
        <f>IFERROR(__xludf.DUMMYFUNCTION("""COMPUTED_VALUE"""),44905.0)</f>
        <v>44905</v>
      </c>
      <c r="G4131" s="24" t="str">
        <f>IFERROR(__xludf.DUMMYFUNCTION("""COMPUTED_VALUE"""),"Saeid S")</f>
        <v>Saeid S</v>
      </c>
      <c r="H4131" s="24">
        <f>IFERROR(__xludf.DUMMYFUNCTION("""COMPUTED_VALUE"""),14.0)</f>
        <v>14</v>
      </c>
      <c r="I4131" s="24" t="str">
        <f>IFERROR(__xludf.DUMMYFUNCTION("""COMPUTED_VALUE"""),"Regular (up to 20lbs)")</f>
        <v>Regular (up to 20lbs)</v>
      </c>
    </row>
    <row r="4132">
      <c r="A4132" s="23">
        <f>IFERROR(__xludf.DUMMYFUNCTION("""COMPUTED_VALUE"""),44892.66067438658)</f>
        <v>44892.66067</v>
      </c>
      <c r="B4132" s="24" t="str">
        <f>IFERROR(__xludf.DUMMYFUNCTION("""COMPUTED_VALUE"""),"Kaneesha ")</f>
        <v>Kaneesha </v>
      </c>
      <c r="C4132" s="24">
        <f>IFERROR(__xludf.DUMMYFUNCTION("""COMPUTED_VALUE"""),20.0)</f>
        <v>20</v>
      </c>
      <c r="D4132" s="24" t="str">
        <f>IFERROR(__xludf.DUMMYFUNCTION("""COMPUTED_VALUE"""),"Regular (up to 20lbs)")</f>
        <v>Regular (up to 20lbs)</v>
      </c>
      <c r="F4132" s="23">
        <f>IFERROR(__xludf.DUMMYFUNCTION("""COMPUTED_VALUE"""),44905.0)</f>
        <v>44905</v>
      </c>
      <c r="G4132" s="24" t="str">
        <f>IFERROR(__xludf.DUMMYFUNCTION("""COMPUTED_VALUE"""),"Evan S")</f>
        <v>Evan S</v>
      </c>
      <c r="H4132" s="24">
        <f>IFERROR(__xludf.DUMMYFUNCTION("""COMPUTED_VALUE"""),4.0)</f>
        <v>4</v>
      </c>
      <c r="I4132" s="24" t="str">
        <f>IFERROR(__xludf.DUMMYFUNCTION("""COMPUTED_VALUE"""),"Regular (up to 20lbs)")</f>
        <v>Regular (up to 20lbs)</v>
      </c>
    </row>
    <row r="4133">
      <c r="A4133" s="23">
        <f>IFERROR(__xludf.DUMMYFUNCTION("""COMPUTED_VALUE"""),44892.66079920139)</f>
        <v>44892.6608</v>
      </c>
      <c r="B4133" s="24" t="str">
        <f>IFERROR(__xludf.DUMMYFUNCTION("""COMPUTED_VALUE"""),"Kaneesha ")</f>
        <v>Kaneesha </v>
      </c>
      <c r="C4133" s="24">
        <f>IFERROR(__xludf.DUMMYFUNCTION("""COMPUTED_VALUE"""),22.0)</f>
        <v>22</v>
      </c>
      <c r="D4133" s="24" t="str">
        <f>IFERROR(__xludf.DUMMYFUNCTION("""COMPUTED_VALUE"""),"Damage/expired/extra")</f>
        <v>Damage/expired/extra</v>
      </c>
      <c r="F4133" s="23">
        <f>IFERROR(__xludf.DUMMYFUNCTION("""COMPUTED_VALUE"""),44905.0)</f>
        <v>44905</v>
      </c>
      <c r="G4133" s="24" t="str">
        <f>IFERROR(__xludf.DUMMYFUNCTION("""COMPUTED_VALUE"""),"Karla")</f>
        <v>Karla</v>
      </c>
      <c r="H4133" s="24">
        <f>IFERROR(__xludf.DUMMYFUNCTION("""COMPUTED_VALUE"""),20.0)</f>
        <v>20</v>
      </c>
      <c r="I4133" s="24" t="str">
        <f>IFERROR(__xludf.DUMMYFUNCTION("""COMPUTED_VALUE"""),"Regular (up to 20lbs)")</f>
        <v>Regular (up to 20lbs)</v>
      </c>
    </row>
    <row r="4134">
      <c r="A4134" s="23">
        <f>IFERROR(__xludf.DUMMYFUNCTION("""COMPUTED_VALUE"""),44892.66157098379)</f>
        <v>44892.66157</v>
      </c>
      <c r="B4134" s="24" t="str">
        <f>IFERROR(__xludf.DUMMYFUNCTION("""COMPUTED_VALUE"""),"Opey")</f>
        <v>Opey</v>
      </c>
      <c r="C4134" s="24">
        <f>IFERROR(__xludf.DUMMYFUNCTION("""COMPUTED_VALUE"""),11.0)</f>
        <v>11</v>
      </c>
      <c r="D4134" s="24" t="str">
        <f>IFERROR(__xludf.DUMMYFUNCTION("""COMPUTED_VALUE"""),"Regular (up to 20lbs)")</f>
        <v>Regular (up to 20lbs)</v>
      </c>
      <c r="F4134" s="23">
        <f>IFERROR(__xludf.DUMMYFUNCTION("""COMPUTED_VALUE"""),44905.0)</f>
        <v>44905</v>
      </c>
      <c r="G4134" s="24" t="str">
        <f>IFERROR(__xludf.DUMMYFUNCTION("""COMPUTED_VALUE"""),"Karla")</f>
        <v>Karla</v>
      </c>
      <c r="H4134" s="24">
        <f>IFERROR(__xludf.DUMMYFUNCTION("""COMPUTED_VALUE"""),1.0)</f>
        <v>1</v>
      </c>
      <c r="I4134" s="24" t="str">
        <f>IFERROR(__xludf.DUMMYFUNCTION("""COMPUTED_VALUE"""),"Damage/expired/extra")</f>
        <v>Damage/expired/extra</v>
      </c>
    </row>
    <row r="4135">
      <c r="A4135" s="23">
        <f>IFERROR(__xludf.DUMMYFUNCTION("""COMPUTED_VALUE"""),44892.66253579861)</f>
        <v>44892.66254</v>
      </c>
      <c r="B4135" s="24" t="str">
        <f>IFERROR(__xludf.DUMMYFUNCTION("""COMPUTED_VALUE"""),"Zoe")</f>
        <v>Zoe</v>
      </c>
      <c r="C4135" s="24">
        <f>IFERROR(__xludf.DUMMYFUNCTION("""COMPUTED_VALUE"""),20.0)</f>
        <v>20</v>
      </c>
      <c r="D4135" s="24" t="str">
        <f>IFERROR(__xludf.DUMMYFUNCTION("""COMPUTED_VALUE"""),"Regular (up to 20lbs)")</f>
        <v>Regular (up to 20lbs)</v>
      </c>
      <c r="F4135" s="23">
        <f>IFERROR(__xludf.DUMMYFUNCTION("""COMPUTED_VALUE"""),44905.0)</f>
        <v>44905</v>
      </c>
      <c r="G4135" s="24" t="str">
        <f>IFERROR(__xludf.DUMMYFUNCTION("""COMPUTED_VALUE"""),"Kyrollos M")</f>
        <v>Kyrollos M</v>
      </c>
      <c r="H4135" s="24">
        <f>IFERROR(__xludf.DUMMYFUNCTION("""COMPUTED_VALUE"""),20.0)</f>
        <v>20</v>
      </c>
      <c r="I4135" s="24" t="str">
        <f>IFERROR(__xludf.DUMMYFUNCTION("""COMPUTED_VALUE"""),"Regular (up to 20lbs)")</f>
        <v>Regular (up to 20lbs)</v>
      </c>
    </row>
    <row r="4136">
      <c r="A4136" s="23">
        <f>IFERROR(__xludf.DUMMYFUNCTION("""COMPUTED_VALUE"""),44892.66473568287)</f>
        <v>44892.66474</v>
      </c>
      <c r="B4136" s="24" t="str">
        <f>IFERROR(__xludf.DUMMYFUNCTION("""COMPUTED_VALUE"""),"Kate Weeks")</f>
        <v>Kate Weeks</v>
      </c>
      <c r="C4136" s="24">
        <f>IFERROR(__xludf.DUMMYFUNCTION("""COMPUTED_VALUE"""),19.0)</f>
        <v>19</v>
      </c>
      <c r="D4136" s="24" t="str">
        <f>IFERROR(__xludf.DUMMYFUNCTION("""COMPUTED_VALUE"""),"Regular (up to 20lbs)")</f>
        <v>Regular (up to 20lbs)</v>
      </c>
      <c r="F4136" s="23">
        <f>IFERROR(__xludf.DUMMYFUNCTION("""COMPUTED_VALUE"""),44905.0)</f>
        <v>44905</v>
      </c>
      <c r="G4136" s="24" t="str">
        <f>IFERROR(__xludf.DUMMYFUNCTION("""COMPUTED_VALUE"""),"Safeer")</f>
        <v>Safeer</v>
      </c>
      <c r="H4136" s="24">
        <f>IFERROR(__xludf.DUMMYFUNCTION("""COMPUTED_VALUE"""),14.0)</f>
        <v>14</v>
      </c>
      <c r="I4136" s="24" t="str">
        <f>IFERROR(__xludf.DUMMYFUNCTION("""COMPUTED_VALUE"""),"Regular (up to 20lbs)")</f>
        <v>Regular (up to 20lbs)</v>
      </c>
    </row>
    <row r="4137">
      <c r="A4137" s="23">
        <f>IFERROR(__xludf.DUMMYFUNCTION("""COMPUTED_VALUE"""),44892.66486841436)</f>
        <v>44892.66487</v>
      </c>
      <c r="B4137" s="24" t="str">
        <f>IFERROR(__xludf.DUMMYFUNCTION("""COMPUTED_VALUE"""),"Kate Weeks")</f>
        <v>Kate Weeks</v>
      </c>
      <c r="C4137" s="24">
        <f>IFERROR(__xludf.DUMMYFUNCTION("""COMPUTED_VALUE"""),39.0)</f>
        <v>39</v>
      </c>
      <c r="D4137" s="24" t="str">
        <f>IFERROR(__xludf.DUMMYFUNCTION("""COMPUTED_VALUE"""),"Damage/expired/extra")</f>
        <v>Damage/expired/extra</v>
      </c>
      <c r="F4137" s="23">
        <f>IFERROR(__xludf.DUMMYFUNCTION("""COMPUTED_VALUE"""),44905.0)</f>
        <v>44905</v>
      </c>
      <c r="G4137" s="24" t="str">
        <f>IFERROR(__xludf.DUMMYFUNCTION("""COMPUTED_VALUE"""),"Arsa H")</f>
        <v>Arsa H</v>
      </c>
      <c r="H4137" s="24">
        <f>IFERROR(__xludf.DUMMYFUNCTION("""COMPUTED_VALUE"""),20.0)</f>
        <v>20</v>
      </c>
      <c r="I4137" s="24" t="str">
        <f>IFERROR(__xludf.DUMMYFUNCTION("""COMPUTED_VALUE"""),"Regular (up to 20lbs)")</f>
        <v>Regular (up to 20lbs)</v>
      </c>
    </row>
    <row r="4138">
      <c r="A4138" s="23">
        <f>IFERROR(__xludf.DUMMYFUNCTION("""COMPUTED_VALUE"""),44894.0)</f>
        <v>44894</v>
      </c>
      <c r="B4138" s="24" t="str">
        <f>IFERROR(__xludf.DUMMYFUNCTION("""COMPUTED_VALUE"""),"Kaneesha ")</f>
        <v>Kaneesha </v>
      </c>
      <c r="C4138" s="24">
        <f>IFERROR(__xludf.DUMMYFUNCTION("""COMPUTED_VALUE"""),20.0)</f>
        <v>20</v>
      </c>
      <c r="D4138" s="24" t="str">
        <f>IFERROR(__xludf.DUMMYFUNCTION("""COMPUTED_VALUE"""),"Regular (up to 20lbs)")</f>
        <v>Regular (up to 20lbs)</v>
      </c>
      <c r="F4138" s="23">
        <f>IFERROR(__xludf.DUMMYFUNCTION("""COMPUTED_VALUE"""),44905.0)</f>
        <v>44905</v>
      </c>
      <c r="G4138" s="24" t="str">
        <f>IFERROR(__xludf.DUMMYFUNCTION("""COMPUTED_VALUE"""),"Heera R")</f>
        <v>Heera R</v>
      </c>
      <c r="H4138" s="24">
        <f>IFERROR(__xludf.DUMMYFUNCTION("""COMPUTED_VALUE"""),18.0)</f>
        <v>18</v>
      </c>
      <c r="I4138" s="24" t="str">
        <f>IFERROR(__xludf.DUMMYFUNCTION("""COMPUTED_VALUE"""),"Regular (up to 20lbs)")</f>
        <v>Regular (up to 20lbs)</v>
      </c>
    </row>
    <row r="4139">
      <c r="A4139" s="23">
        <f>IFERROR(__xludf.DUMMYFUNCTION("""COMPUTED_VALUE"""),44894.0)</f>
        <v>44894</v>
      </c>
      <c r="B4139" s="24" t="str">
        <f>IFERROR(__xludf.DUMMYFUNCTION("""COMPUTED_VALUE"""),"Kaneesha ")</f>
        <v>Kaneesha </v>
      </c>
      <c r="C4139" s="24">
        <f>IFERROR(__xludf.DUMMYFUNCTION("""COMPUTED_VALUE"""),22.0)</f>
        <v>22</v>
      </c>
      <c r="D4139" s="24" t="str">
        <f>IFERROR(__xludf.DUMMYFUNCTION("""COMPUTED_VALUE"""),"Damage/expired/extra")</f>
        <v>Damage/expired/extra</v>
      </c>
      <c r="F4139" s="23">
        <f>IFERROR(__xludf.DUMMYFUNCTION("""COMPUTED_VALUE"""),44905.0)</f>
        <v>44905</v>
      </c>
      <c r="G4139" s="24" t="str">
        <f>IFERROR(__xludf.DUMMYFUNCTION("""COMPUTED_VALUE"""),"Isabel Z")</f>
        <v>Isabel Z</v>
      </c>
      <c r="H4139" s="24">
        <f>IFERROR(__xludf.DUMMYFUNCTION("""COMPUTED_VALUE"""),19.0)</f>
        <v>19</v>
      </c>
      <c r="I4139" s="24" t="str">
        <f>IFERROR(__xludf.DUMMYFUNCTION("""COMPUTED_VALUE"""),"Regular (up to 20lbs)")</f>
        <v>Regular (up to 20lbs)</v>
      </c>
    </row>
    <row r="4140">
      <c r="A4140" s="23">
        <f>IFERROR(__xludf.DUMMYFUNCTION("""COMPUTED_VALUE"""),44894.61714072917)</f>
        <v>44894.61714</v>
      </c>
      <c r="B4140" s="24" t="str">
        <f>IFERROR(__xludf.DUMMYFUNCTION("""COMPUTED_VALUE"""),"Theresa Keil")</f>
        <v>Theresa Keil</v>
      </c>
      <c r="C4140" s="24">
        <f>IFERROR(__xludf.DUMMYFUNCTION("""COMPUTED_VALUE"""),64.0)</f>
        <v>64</v>
      </c>
      <c r="D4140" s="24" t="str">
        <f>IFERROR(__xludf.DUMMYFUNCTION("""COMPUTED_VALUE"""),"Regular (up to 20lbs)")</f>
        <v>Regular (up to 20lbs)</v>
      </c>
      <c r="F4140" s="23">
        <f>IFERROR(__xludf.DUMMYFUNCTION("""COMPUTED_VALUE"""),44905.0)</f>
        <v>44905</v>
      </c>
      <c r="G4140" s="24" t="str">
        <f>IFERROR(__xludf.DUMMYFUNCTION("""COMPUTED_VALUE"""),"Isabel Z")</f>
        <v>Isabel Z</v>
      </c>
      <c r="H4140" s="24">
        <f>IFERROR(__xludf.DUMMYFUNCTION("""COMPUTED_VALUE"""),1.0)</f>
        <v>1</v>
      </c>
      <c r="I4140" s="24" t="str">
        <f>IFERROR(__xludf.DUMMYFUNCTION("""COMPUTED_VALUE"""),"Damage/expired/extra")</f>
        <v>Damage/expired/extra</v>
      </c>
    </row>
    <row r="4141">
      <c r="A4141" s="23">
        <f>IFERROR(__xludf.DUMMYFUNCTION("""COMPUTED_VALUE"""),44894.69689924768)</f>
        <v>44894.6969</v>
      </c>
      <c r="B4141" s="24" t="str">
        <f>IFERROR(__xludf.DUMMYFUNCTION("""COMPUTED_VALUE"""),"Rosemary Hendricks")</f>
        <v>Rosemary Hendricks</v>
      </c>
      <c r="C4141" s="24">
        <f>IFERROR(__xludf.DUMMYFUNCTION("""COMPUTED_VALUE"""),12.0)</f>
        <v>12</v>
      </c>
      <c r="D4141" s="24" t="str">
        <f>IFERROR(__xludf.DUMMYFUNCTION("""COMPUTED_VALUE"""),"Regular (up to 20lbs)")</f>
        <v>Regular (up to 20lbs)</v>
      </c>
      <c r="F4141" s="23">
        <f>IFERROR(__xludf.DUMMYFUNCTION("""COMPUTED_VALUE"""),44905.0)</f>
        <v>44905</v>
      </c>
      <c r="G4141" s="24" t="str">
        <f>IFERROR(__xludf.DUMMYFUNCTION("""COMPUTED_VALUE"""),"Jade W")</f>
        <v>Jade W</v>
      </c>
      <c r="H4141" s="24">
        <f>IFERROR(__xludf.DUMMYFUNCTION("""COMPUTED_VALUE"""),13.0)</f>
        <v>13</v>
      </c>
      <c r="I4141" s="24" t="str">
        <f>IFERROR(__xludf.DUMMYFUNCTION("""COMPUTED_VALUE"""),"Regular (up to 20lbs)")</f>
        <v>Regular (up to 20lbs)</v>
      </c>
    </row>
    <row r="4142">
      <c r="A4142" s="23">
        <f>IFERROR(__xludf.DUMMYFUNCTION("""COMPUTED_VALUE"""),44894.701049236115)</f>
        <v>44894.70105</v>
      </c>
      <c r="B4142" s="24" t="str">
        <f>IFERROR(__xludf.DUMMYFUNCTION("""COMPUTED_VALUE"""),"Romaine Bouldin ")</f>
        <v>Romaine Bouldin </v>
      </c>
      <c r="C4142" s="24">
        <f>IFERROR(__xludf.DUMMYFUNCTION("""COMPUTED_VALUE"""),18.0)</f>
        <v>18</v>
      </c>
      <c r="D4142" s="24" t="str">
        <f>IFERROR(__xludf.DUMMYFUNCTION("""COMPUTED_VALUE"""),"Regular (up to 20lbs)")</f>
        <v>Regular (up to 20lbs)</v>
      </c>
      <c r="F4142" s="23">
        <f>IFERROR(__xludf.DUMMYFUNCTION("""COMPUTED_VALUE"""),44905.50698972223)</f>
        <v>44905.50699</v>
      </c>
      <c r="G4142" s="24" t="str">
        <f>IFERROR(__xludf.DUMMYFUNCTION("""COMPUTED_VALUE"""),"Beverly Pinn")</f>
        <v>Beverly Pinn</v>
      </c>
      <c r="H4142" s="24">
        <f>IFERROR(__xludf.DUMMYFUNCTION("""COMPUTED_VALUE"""),477.0)</f>
        <v>477</v>
      </c>
      <c r="I4142" s="24" t="str">
        <f>IFERROR(__xludf.DUMMYFUNCTION("""COMPUTED_VALUE"""),"Canned Goods")</f>
        <v>Canned Goods</v>
      </c>
    </row>
    <row r="4143">
      <c r="A4143" s="23">
        <f>IFERROR(__xludf.DUMMYFUNCTION("""COMPUTED_VALUE"""),44894.70122434028)</f>
        <v>44894.70122</v>
      </c>
      <c r="B4143" s="24" t="str">
        <f>IFERROR(__xludf.DUMMYFUNCTION("""COMPUTED_VALUE"""),"Romaine Bouldin ")</f>
        <v>Romaine Bouldin </v>
      </c>
      <c r="C4143" s="24">
        <f>IFERROR(__xludf.DUMMYFUNCTION("""COMPUTED_VALUE"""),5.0)</f>
        <v>5</v>
      </c>
      <c r="D4143" s="24" t="str">
        <f>IFERROR(__xludf.DUMMYFUNCTION("""COMPUTED_VALUE"""),"Damage/expired/extra")</f>
        <v>Damage/expired/extra</v>
      </c>
      <c r="F4143" s="23">
        <f>IFERROR(__xludf.DUMMYFUNCTION("""COMPUTED_VALUE"""),44905.55005230324)</f>
        <v>44905.55005</v>
      </c>
      <c r="G4143" s="24" t="str">
        <f>IFERROR(__xludf.DUMMYFUNCTION("""COMPUTED_VALUE"""),"JUANITA Chandler ")</f>
        <v>JUANITA Chandler </v>
      </c>
      <c r="H4143" s="24">
        <f>IFERROR(__xludf.DUMMYFUNCTION("""COMPUTED_VALUE"""),246.0)</f>
        <v>246</v>
      </c>
      <c r="I4143" s="24" t="str">
        <f>IFERROR(__xludf.DUMMYFUNCTION("""COMPUTED_VALUE"""),"Drinks [Fridge]")</f>
        <v>Drinks [Fridge]</v>
      </c>
    </row>
    <row r="4144">
      <c r="A4144" s="23">
        <f>IFERROR(__xludf.DUMMYFUNCTION("""COMPUTED_VALUE"""),44894.70556637731)</f>
        <v>44894.70557</v>
      </c>
      <c r="B4144" s="24" t="str">
        <f>IFERROR(__xludf.DUMMYFUNCTION("""COMPUTED_VALUE"""),"Jean")</f>
        <v>Jean</v>
      </c>
      <c r="C4144" s="24">
        <f>IFERROR(__xludf.DUMMYFUNCTION("""COMPUTED_VALUE"""),11.0)</f>
        <v>11</v>
      </c>
      <c r="D4144" s="24" t="str">
        <f>IFERROR(__xludf.DUMMYFUNCTION("""COMPUTED_VALUE"""),"Regular (up to 20lbs)")</f>
        <v>Regular (up to 20lbs)</v>
      </c>
      <c r="F4144" s="23">
        <f>IFERROR(__xludf.DUMMYFUNCTION("""COMPUTED_VALUE"""),44905.55069229166)</f>
        <v>44905.55069</v>
      </c>
      <c r="G4144" s="24" t="str">
        <f>IFERROR(__xludf.DUMMYFUNCTION("""COMPUTED_VALUE"""),"JUANITA Chandler ")</f>
        <v>JUANITA Chandler </v>
      </c>
      <c r="H4144" s="24">
        <f>IFERROR(__xludf.DUMMYFUNCTION("""COMPUTED_VALUE"""),1043.0)</f>
        <v>1043</v>
      </c>
      <c r="I4144" s="24" t="str">
        <f>IFERROR(__xludf.DUMMYFUNCTION("""COMPUTED_VALUE"""),"Dole")</f>
        <v>Dole</v>
      </c>
    </row>
    <row r="4145">
      <c r="A4145" s="23">
        <f>IFERROR(__xludf.DUMMYFUNCTION("""COMPUTED_VALUE"""),44894.70599641204)</f>
        <v>44894.706</v>
      </c>
      <c r="B4145" s="24" t="str">
        <f>IFERROR(__xludf.DUMMYFUNCTION("""COMPUTED_VALUE"""),"Jean")</f>
        <v>Jean</v>
      </c>
      <c r="C4145" s="24">
        <f>IFERROR(__xludf.DUMMYFUNCTION("""COMPUTED_VALUE"""),52.0)</f>
        <v>52</v>
      </c>
      <c r="D4145" s="24" t="str">
        <f>IFERROR(__xludf.DUMMYFUNCTION("""COMPUTED_VALUE"""),"Damage/expired/extra")</f>
        <v>Damage/expired/extra</v>
      </c>
      <c r="F4145" s="23">
        <f>IFERROR(__xludf.DUMMYFUNCTION("""COMPUTED_VALUE"""),44905.551104212966)</f>
        <v>44905.5511</v>
      </c>
      <c r="G4145" s="24" t="str">
        <f>IFERROR(__xludf.DUMMYFUNCTION("""COMPUTED_VALUE"""),"JUANITA Chandler ")</f>
        <v>JUANITA Chandler </v>
      </c>
      <c r="H4145" s="24">
        <f>IFERROR(__xludf.DUMMYFUNCTION("""COMPUTED_VALUE"""),401.0)</f>
        <v>401</v>
      </c>
      <c r="I4145" s="24" t="str">
        <f>IFERROR(__xludf.DUMMYFUNCTION("""COMPUTED_VALUE"""),"Snacks")</f>
        <v>Snacks</v>
      </c>
    </row>
    <row r="4146">
      <c r="A4146" s="23">
        <f>IFERROR(__xludf.DUMMYFUNCTION("""COMPUTED_VALUE"""),44894.712047430556)</f>
        <v>44894.71205</v>
      </c>
      <c r="B4146" s="24" t="str">
        <f>IFERROR(__xludf.DUMMYFUNCTION("""COMPUTED_VALUE"""),"Beverly Pinn")</f>
        <v>Beverly Pinn</v>
      </c>
      <c r="C4146" s="24">
        <f>IFERROR(__xludf.DUMMYFUNCTION("""COMPUTED_VALUE"""),18.0)</f>
        <v>18</v>
      </c>
      <c r="D4146" s="24" t="str">
        <f>IFERROR(__xludf.DUMMYFUNCTION("""COMPUTED_VALUE"""),"Regular (up to 20lbs)")</f>
        <v>Regular (up to 20lbs)</v>
      </c>
      <c r="F4146" s="23">
        <f>IFERROR(__xludf.DUMMYFUNCTION("""COMPUTED_VALUE"""),44905.55234652777)</f>
        <v>44905.55235</v>
      </c>
      <c r="G4146" s="24" t="str">
        <f>IFERROR(__xludf.DUMMYFUNCTION("""COMPUTED_VALUE"""),"JUANITA Chandler ")</f>
        <v>JUANITA Chandler </v>
      </c>
      <c r="H4146" s="24">
        <f>IFERROR(__xludf.DUMMYFUNCTION("""COMPUTED_VALUE"""),158.0)</f>
        <v>158</v>
      </c>
      <c r="I4146" s="24" t="str">
        <f>IFERROR(__xludf.DUMMYFUNCTION("""COMPUTED_VALUE"""),"🎁 Gift")</f>
        <v>🎁 Gift</v>
      </c>
    </row>
    <row r="4147">
      <c r="A4147" s="23">
        <f>IFERROR(__xludf.DUMMYFUNCTION("""COMPUTED_VALUE"""),44894.71220048611)</f>
        <v>44894.7122</v>
      </c>
      <c r="B4147" s="24" t="str">
        <f>IFERROR(__xludf.DUMMYFUNCTION("""COMPUTED_VALUE"""),"Beverly Pinn")</f>
        <v>Beverly Pinn</v>
      </c>
      <c r="C4147" s="24">
        <f>IFERROR(__xludf.DUMMYFUNCTION("""COMPUTED_VALUE"""),22.0)</f>
        <v>22</v>
      </c>
      <c r="D4147" s="24" t="str">
        <f>IFERROR(__xludf.DUMMYFUNCTION("""COMPUTED_VALUE"""),"Damage/expired/extra")</f>
        <v>Damage/expired/extra</v>
      </c>
      <c r="F4147" s="23">
        <f>IFERROR(__xludf.DUMMYFUNCTION("""COMPUTED_VALUE"""),44905.55302370371)</f>
        <v>44905.55302</v>
      </c>
      <c r="G4147" s="24" t="str">
        <f>IFERROR(__xludf.DUMMYFUNCTION("""COMPUTED_VALUE"""),"JUANITA Chandler ")</f>
        <v>JUANITA Chandler </v>
      </c>
      <c r="H4147" s="24">
        <f>IFERROR(__xludf.DUMMYFUNCTION("""COMPUTED_VALUE"""),139.0)</f>
        <v>139</v>
      </c>
      <c r="I4147" s="24" t="str">
        <f>IFERROR(__xludf.DUMMYFUNCTION("""COMPUTED_VALUE"""),"Gift")</f>
        <v>Gift</v>
      </c>
    </row>
    <row r="4148">
      <c r="A4148" s="23">
        <f>IFERROR(__xludf.DUMMYFUNCTION("""COMPUTED_VALUE"""),44894.712540891196)</f>
        <v>44894.71254</v>
      </c>
      <c r="B4148" s="24" t="str">
        <f>IFERROR(__xludf.DUMMYFUNCTION("""COMPUTED_VALUE"""),"Beverly Graham ")</f>
        <v>Beverly Graham </v>
      </c>
      <c r="C4148" s="24">
        <f>IFERROR(__xludf.DUMMYFUNCTION("""COMPUTED_VALUE"""),18.0)</f>
        <v>18</v>
      </c>
      <c r="D4148" s="24" t="str">
        <f>IFERROR(__xludf.DUMMYFUNCTION("""COMPUTED_VALUE"""),"Regular (up to 20lbs)")</f>
        <v>Regular (up to 20lbs)</v>
      </c>
      <c r="F4148" s="23">
        <f>IFERROR(__xludf.DUMMYFUNCTION("""COMPUTED_VALUE"""),44905.55578604167)</f>
        <v>44905.55579</v>
      </c>
      <c r="G4148" s="24" t="str">
        <f>IFERROR(__xludf.DUMMYFUNCTION("""COMPUTED_VALUE"""),"JUANITA Chandler ")</f>
        <v>JUANITA Chandler </v>
      </c>
      <c r="H4148" s="24">
        <f>IFERROR(__xludf.DUMMYFUNCTION("""COMPUTED_VALUE"""),512.0)</f>
        <v>512</v>
      </c>
      <c r="I4148" s="24" t="str">
        <f>IFERROR(__xludf.DUMMYFUNCTION("""COMPUTED_VALUE"""),"Frozen [Not Meat]")</f>
        <v>Frozen [Not Meat]</v>
      </c>
    </row>
    <row r="4149">
      <c r="A4149" s="23">
        <f>IFERROR(__xludf.DUMMYFUNCTION("""COMPUTED_VALUE"""),44894.71325375)</f>
        <v>44894.71325</v>
      </c>
      <c r="B4149" s="24" t="str">
        <f>IFERROR(__xludf.DUMMYFUNCTION("""COMPUTED_VALUE"""),"Beverly Graham ")</f>
        <v>Beverly Graham </v>
      </c>
      <c r="C4149" s="24">
        <f>IFERROR(__xludf.DUMMYFUNCTION("""COMPUTED_VALUE"""),7.0)</f>
        <v>7</v>
      </c>
      <c r="D4149" s="24" t="str">
        <f>IFERROR(__xludf.DUMMYFUNCTION("""COMPUTED_VALUE"""),"Damage/expired/extra")</f>
        <v>Damage/expired/extra</v>
      </c>
      <c r="F4149" s="23">
        <f>IFERROR(__xludf.DUMMYFUNCTION("""COMPUTED_VALUE"""),44905.57015950231)</f>
        <v>44905.57016</v>
      </c>
      <c r="G4149" s="24" t="str">
        <f>IFERROR(__xludf.DUMMYFUNCTION("""COMPUTED_VALUE"""),"Nicolle diaz ")</f>
        <v>Nicolle diaz </v>
      </c>
      <c r="H4149" s="24">
        <f>IFERROR(__xludf.DUMMYFUNCTION("""COMPUTED_VALUE"""),325.0)</f>
        <v>325</v>
      </c>
      <c r="I4149" s="24" t="str">
        <f>IFERROR(__xludf.DUMMYFUNCTION("""COMPUTED_VALUE"""),"Drinks [Fridge]")</f>
        <v>Drinks [Fridge]</v>
      </c>
    </row>
    <row r="4150">
      <c r="A4150" s="23">
        <f>IFERROR(__xludf.DUMMYFUNCTION("""COMPUTED_VALUE"""),44894.7297646875)</f>
        <v>44894.72976</v>
      </c>
      <c r="B4150" s="24" t="str">
        <f>IFERROR(__xludf.DUMMYFUNCTION("""COMPUTED_VALUE"""),"Anna West")</f>
        <v>Anna West</v>
      </c>
      <c r="C4150" s="24">
        <f>IFERROR(__xludf.DUMMYFUNCTION("""COMPUTED_VALUE"""),20.0)</f>
        <v>20</v>
      </c>
      <c r="D4150" s="24" t="str">
        <f>IFERROR(__xludf.DUMMYFUNCTION("""COMPUTED_VALUE"""),"Regular (up to 20lbs)")</f>
        <v>Regular (up to 20lbs)</v>
      </c>
      <c r="F4150" s="23">
        <f>IFERROR(__xludf.DUMMYFUNCTION("""COMPUTED_VALUE"""),44905.57240989584)</f>
        <v>44905.57241</v>
      </c>
      <c r="G4150" s="24" t="str">
        <f>IFERROR(__xludf.DUMMYFUNCTION("""COMPUTED_VALUE"""),"Nicolle diaz ")</f>
        <v>Nicolle diaz </v>
      </c>
      <c r="H4150" s="24">
        <f>IFERROR(__xludf.DUMMYFUNCTION("""COMPUTED_VALUE"""),640.0)</f>
        <v>640</v>
      </c>
      <c r="I4150" s="24" t="str">
        <f>IFERROR(__xludf.DUMMYFUNCTION("""COMPUTED_VALUE"""),"Produce")</f>
        <v>Produce</v>
      </c>
    </row>
    <row r="4151">
      <c r="A4151" s="23">
        <f>IFERROR(__xludf.DUMMYFUNCTION("""COMPUTED_VALUE"""),44894.72990384259)</f>
        <v>44894.7299</v>
      </c>
      <c r="B4151" s="24" t="str">
        <f>IFERROR(__xludf.DUMMYFUNCTION("""COMPUTED_VALUE"""),"Anna West")</f>
        <v>Anna West</v>
      </c>
      <c r="C4151" s="24">
        <f>IFERROR(__xludf.DUMMYFUNCTION("""COMPUTED_VALUE"""),25.0)</f>
        <v>25</v>
      </c>
      <c r="D4151" s="24" t="str">
        <f>IFERROR(__xludf.DUMMYFUNCTION("""COMPUTED_VALUE"""),"Damage/expired/extra")</f>
        <v>Damage/expired/extra</v>
      </c>
      <c r="F4151" s="23">
        <f>IFERROR(__xludf.DUMMYFUNCTION("""COMPUTED_VALUE"""),44905.579281087965)</f>
        <v>44905.57928</v>
      </c>
      <c r="G4151" s="24" t="str">
        <f>IFERROR(__xludf.DUMMYFUNCTION("""COMPUTED_VALUE"""),"Nicolle diaz")</f>
        <v>Nicolle diaz</v>
      </c>
      <c r="H4151" s="24">
        <f>IFERROR(__xludf.DUMMYFUNCTION("""COMPUTED_VALUE"""),406.0)</f>
        <v>406</v>
      </c>
      <c r="I4151" s="24" t="str">
        <f>IFERROR(__xludf.DUMMYFUNCTION("""COMPUTED_VALUE"""),"Drinks [Dry]")</f>
        <v>Drinks [Dry]</v>
      </c>
    </row>
    <row r="4152">
      <c r="A4152" s="23">
        <f>IFERROR(__xludf.DUMMYFUNCTION("""COMPUTED_VALUE"""),44895.0)</f>
        <v>44895</v>
      </c>
      <c r="B4152" s="24" t="str">
        <f>IFERROR(__xludf.DUMMYFUNCTION("""COMPUTED_VALUE"""),"Juanita Chandler ")</f>
        <v>Juanita Chandler </v>
      </c>
      <c r="C4152" s="24">
        <f>IFERROR(__xludf.DUMMYFUNCTION("""COMPUTED_VALUE"""),18.0)</f>
        <v>18</v>
      </c>
      <c r="D4152" s="24" t="str">
        <f>IFERROR(__xludf.DUMMYFUNCTION("""COMPUTED_VALUE"""),"Regular (up to 20lbs)")</f>
        <v>Regular (up to 20lbs)</v>
      </c>
      <c r="F4152" s="23">
        <f>IFERROR(__xludf.DUMMYFUNCTION("""COMPUTED_VALUE"""),44905.58414907407)</f>
        <v>44905.58415</v>
      </c>
      <c r="G4152" s="24" t="str">
        <f>IFERROR(__xludf.DUMMYFUNCTION("""COMPUTED_VALUE"""),"Nicolle Diaz ")</f>
        <v>Nicolle Diaz </v>
      </c>
      <c r="H4152" s="24">
        <f>IFERROR(__xludf.DUMMYFUNCTION("""COMPUTED_VALUE"""),273.0)</f>
        <v>273</v>
      </c>
      <c r="I4152" s="24" t="str">
        <f>IFERROR(__xludf.DUMMYFUNCTION("""COMPUTED_VALUE"""),"Drinks [Fridge]")</f>
        <v>Drinks [Fridge]</v>
      </c>
    </row>
    <row r="4153">
      <c r="A4153" s="23">
        <f>IFERROR(__xludf.DUMMYFUNCTION("""COMPUTED_VALUE"""),44895.0)</f>
        <v>44895</v>
      </c>
      <c r="B4153" s="24" t="str">
        <f>IFERROR(__xludf.DUMMYFUNCTION("""COMPUTED_VALUE"""),"Juanita Chandler ")</f>
        <v>Juanita Chandler </v>
      </c>
      <c r="C4153" s="24">
        <f>IFERROR(__xludf.DUMMYFUNCTION("""COMPUTED_VALUE"""),28.0)</f>
        <v>28</v>
      </c>
      <c r="D4153" s="24" t="str">
        <f>IFERROR(__xludf.DUMMYFUNCTION("""COMPUTED_VALUE"""),"Damage/expired/extra")</f>
        <v>Damage/expired/extra</v>
      </c>
      <c r="F4153" s="23">
        <f>IFERROR(__xludf.DUMMYFUNCTION("""COMPUTED_VALUE"""),44905.58763591435)</f>
        <v>44905.58764</v>
      </c>
      <c r="G4153" s="24" t="str">
        <f>IFERROR(__xludf.DUMMYFUNCTION("""COMPUTED_VALUE"""),"Nicolle diaz ")</f>
        <v>Nicolle diaz </v>
      </c>
      <c r="H4153" s="24">
        <f>IFERROR(__xludf.DUMMYFUNCTION("""COMPUTED_VALUE"""),222.0)</f>
        <v>222</v>
      </c>
      <c r="I4153" s="24" t="str">
        <f>IFERROR(__xludf.DUMMYFUNCTION("""COMPUTED_VALUE"""),"Meat [Raw]")</f>
        <v>Meat [Raw]</v>
      </c>
    </row>
    <row r="4154">
      <c r="A4154" s="23">
        <f>IFERROR(__xludf.DUMMYFUNCTION("""COMPUTED_VALUE"""),44895.0)</f>
        <v>44895</v>
      </c>
      <c r="B4154" s="24" t="str">
        <f>IFERROR(__xludf.DUMMYFUNCTION("""COMPUTED_VALUE"""),"Doris Parker Tuggle")</f>
        <v>Doris Parker Tuggle</v>
      </c>
      <c r="C4154" s="24">
        <f>IFERROR(__xludf.DUMMYFUNCTION("""COMPUTED_VALUE"""),19.0)</f>
        <v>19</v>
      </c>
      <c r="D4154" s="24" t="str">
        <f>IFERROR(__xludf.DUMMYFUNCTION("""COMPUTED_VALUE"""),"Regular (up to 20lbs)")</f>
        <v>Regular (up to 20lbs)</v>
      </c>
      <c r="F4154" s="23">
        <f>IFERROR(__xludf.DUMMYFUNCTION("""COMPUTED_VALUE"""),44905.66593758102)</f>
        <v>44905.66594</v>
      </c>
      <c r="G4154" s="24" t="str">
        <f>IFERROR(__xludf.DUMMYFUNCTION("""COMPUTED_VALUE"""),"JUANITA Chandler ")</f>
        <v>JUANITA Chandler </v>
      </c>
      <c r="H4154" s="24">
        <f>IFERROR(__xludf.DUMMYFUNCTION("""COMPUTED_VALUE"""),115.0)</f>
        <v>115</v>
      </c>
      <c r="I4154" s="24" t="str">
        <f>IFERROR(__xludf.DUMMYFUNCTION("""COMPUTED_VALUE"""),"Meat [Raw]")</f>
        <v>Meat [Raw]</v>
      </c>
    </row>
    <row r="4155">
      <c r="A4155" s="23">
        <f>IFERROR(__xludf.DUMMYFUNCTION("""COMPUTED_VALUE"""),44895.0)</f>
        <v>44895</v>
      </c>
      <c r="B4155" s="24" t="str">
        <f>IFERROR(__xludf.DUMMYFUNCTION("""COMPUTED_VALUE"""),"Doris Parker Tuggle")</f>
        <v>Doris Parker Tuggle</v>
      </c>
      <c r="C4155" s="24">
        <f>IFERROR(__xludf.DUMMYFUNCTION("""COMPUTED_VALUE"""),6.0)</f>
        <v>6</v>
      </c>
      <c r="D4155" s="24" t="str">
        <f>IFERROR(__xludf.DUMMYFUNCTION("""COMPUTED_VALUE"""),"Damage/expired/extra")</f>
        <v>Damage/expired/extra</v>
      </c>
      <c r="F4155" s="23">
        <f>IFERROR(__xludf.DUMMYFUNCTION("""COMPUTED_VALUE"""),44905.6695021412)</f>
        <v>44905.6695</v>
      </c>
      <c r="G4155" s="24" t="str">
        <f>IFERROR(__xludf.DUMMYFUNCTION("""COMPUTED_VALUE"""),"JUANITA Chandler ")</f>
        <v>JUANITA Chandler </v>
      </c>
      <c r="H4155" s="24">
        <f>IFERROR(__xludf.DUMMYFUNCTION("""COMPUTED_VALUE"""),1033.0)</f>
        <v>1033</v>
      </c>
      <c r="I4155" s="24" t="str">
        <f>IFERROR(__xludf.DUMMYFUNCTION("""COMPUTED_VALUE"""),"Dole fruit cup ")</f>
        <v>Dole fruit cup </v>
      </c>
    </row>
    <row r="4156">
      <c r="A4156" s="23">
        <f>IFERROR(__xludf.DUMMYFUNCTION("""COMPUTED_VALUE"""),44895.0)</f>
        <v>44895</v>
      </c>
      <c r="B4156" s="24" t="str">
        <f>IFERROR(__xludf.DUMMYFUNCTION("""COMPUTED_VALUE"""),"Bonnie Peck")</f>
        <v>Bonnie Peck</v>
      </c>
      <c r="C4156" s="24">
        <f>IFERROR(__xludf.DUMMYFUNCTION("""COMPUTED_VALUE"""),20.0)</f>
        <v>20</v>
      </c>
      <c r="D4156" s="24" t="str">
        <f>IFERROR(__xludf.DUMMYFUNCTION("""COMPUTED_VALUE"""),"Regular (up to 20lbs)")</f>
        <v>Regular (up to 20lbs)</v>
      </c>
      <c r="F4156" s="23">
        <f>IFERROR(__xludf.DUMMYFUNCTION("""COMPUTED_VALUE"""),44905.67177483796)</f>
        <v>44905.67177</v>
      </c>
      <c r="G4156" s="24" t="str">
        <f>IFERROR(__xludf.DUMMYFUNCTION("""COMPUTED_VALUE"""),"JUANITA Chandler ")</f>
        <v>JUANITA Chandler </v>
      </c>
      <c r="H4156" s="24">
        <f>IFERROR(__xludf.DUMMYFUNCTION("""COMPUTED_VALUE"""),53.0)</f>
        <v>53</v>
      </c>
      <c r="I4156" s="24" t="str">
        <f>IFERROR(__xludf.DUMMYFUNCTION("""COMPUTED_VALUE"""),"Meat [Raw]")</f>
        <v>Meat [Raw]</v>
      </c>
    </row>
    <row r="4157">
      <c r="A4157" s="23">
        <f>IFERROR(__xludf.DUMMYFUNCTION("""COMPUTED_VALUE"""),44895.0)</f>
        <v>44895</v>
      </c>
      <c r="B4157" s="24" t="str">
        <f>IFERROR(__xludf.DUMMYFUNCTION("""COMPUTED_VALUE"""),"Bonnie Peck")</f>
        <v>Bonnie Peck</v>
      </c>
      <c r="C4157" s="24">
        <f>IFERROR(__xludf.DUMMYFUNCTION("""COMPUTED_VALUE"""),39.0)</f>
        <v>39</v>
      </c>
      <c r="D4157" s="24" t="str">
        <f>IFERROR(__xludf.DUMMYFUNCTION("""COMPUTED_VALUE"""),"Damage/expired/extra")</f>
        <v>Damage/expired/extra</v>
      </c>
      <c r="F4157" s="23">
        <f>IFERROR(__xludf.DUMMYFUNCTION("""COMPUTED_VALUE"""),44905.67523002315)</f>
        <v>44905.67523</v>
      </c>
      <c r="G4157" s="24" t="str">
        <f>IFERROR(__xludf.DUMMYFUNCTION("""COMPUTED_VALUE"""),"JUANITA Chandler ")</f>
        <v>JUANITA Chandler </v>
      </c>
      <c r="H4157" s="24">
        <f>IFERROR(__xludf.DUMMYFUNCTION("""COMPUTED_VALUE"""),138.0)</f>
        <v>138</v>
      </c>
      <c r="I4157" s="24" t="str">
        <f>IFERROR(__xludf.DUMMYFUNCTION("""COMPUTED_VALUE"""),"Condiments")</f>
        <v>Condiments</v>
      </c>
    </row>
    <row r="4158">
      <c r="A4158" s="23">
        <f>IFERROR(__xludf.DUMMYFUNCTION("""COMPUTED_VALUE"""),44895.0)</f>
        <v>44895</v>
      </c>
      <c r="B4158" s="24" t="str">
        <f>IFERROR(__xludf.DUMMYFUNCTION("""COMPUTED_VALUE"""),"Aurora Dustin")</f>
        <v>Aurora Dustin</v>
      </c>
      <c r="C4158" s="24">
        <f>IFERROR(__xludf.DUMMYFUNCTION("""COMPUTED_VALUE"""),17.0)</f>
        <v>17</v>
      </c>
      <c r="D4158" s="24" t="str">
        <f>IFERROR(__xludf.DUMMYFUNCTION("""COMPUTED_VALUE"""),"Regular (up to 20lbs)")</f>
        <v>Regular (up to 20lbs)</v>
      </c>
      <c r="F4158" s="23">
        <f>IFERROR(__xludf.DUMMYFUNCTION("""COMPUTED_VALUE"""),44905.67694052083)</f>
        <v>44905.67694</v>
      </c>
      <c r="G4158" s="24" t="str">
        <f>IFERROR(__xludf.DUMMYFUNCTION("""COMPUTED_VALUE"""),"JUANITA Chandler ")</f>
        <v>JUANITA Chandler </v>
      </c>
      <c r="H4158" s="24">
        <f>IFERROR(__xludf.DUMMYFUNCTION("""COMPUTED_VALUE"""),143.0)</f>
        <v>143</v>
      </c>
      <c r="I4158" s="24" t="str">
        <f>IFERROR(__xludf.DUMMYFUNCTION("""COMPUTED_VALUE"""),"Condiments")</f>
        <v>Condiments</v>
      </c>
    </row>
    <row r="4159">
      <c r="A4159" s="23">
        <f>IFERROR(__xludf.DUMMYFUNCTION("""COMPUTED_VALUE"""),44895.0)</f>
        <v>44895</v>
      </c>
      <c r="B4159" s="24" t="str">
        <f>IFERROR(__xludf.DUMMYFUNCTION("""COMPUTED_VALUE"""),"Aurora Dustin")</f>
        <v>Aurora Dustin</v>
      </c>
      <c r="C4159" s="24">
        <f>IFERROR(__xludf.DUMMYFUNCTION("""COMPUTED_VALUE"""),28.0)</f>
        <v>28</v>
      </c>
      <c r="D4159" s="24" t="str">
        <f>IFERROR(__xludf.DUMMYFUNCTION("""COMPUTED_VALUE"""),"Damage/expired/extra")</f>
        <v>Damage/expired/extra</v>
      </c>
      <c r="F4159" s="23">
        <f>IFERROR(__xludf.DUMMYFUNCTION("""COMPUTED_VALUE"""),44905.67782761574)</f>
        <v>44905.67783</v>
      </c>
      <c r="G4159" s="24" t="str">
        <f>IFERROR(__xludf.DUMMYFUNCTION("""COMPUTED_VALUE"""),"JUANITA Chandler ")</f>
        <v>JUANITA Chandler </v>
      </c>
      <c r="H4159" s="24">
        <f>IFERROR(__xludf.DUMMYFUNCTION("""COMPUTED_VALUE"""),165.0)</f>
        <v>165</v>
      </c>
      <c r="I4159" s="24" t="str">
        <f>IFERROR(__xludf.DUMMYFUNCTION("""COMPUTED_VALUE"""),"Box gift ")</f>
        <v>Box gift </v>
      </c>
    </row>
    <row r="4160">
      <c r="A4160" s="23">
        <f>IFERROR(__xludf.DUMMYFUNCTION("""COMPUTED_VALUE"""),44895.0)</f>
        <v>44895</v>
      </c>
      <c r="B4160" s="24" t="str">
        <f>IFERROR(__xludf.DUMMYFUNCTION("""COMPUTED_VALUE"""),"Nat Busbee")</f>
        <v>Nat Busbee</v>
      </c>
      <c r="C4160" s="24">
        <f>IFERROR(__xludf.DUMMYFUNCTION("""COMPUTED_VALUE"""),2.0)</f>
        <v>2</v>
      </c>
      <c r="D4160" s="24" t="str">
        <f>IFERROR(__xludf.DUMMYFUNCTION("""COMPUTED_VALUE"""),"Regular (up to 20lbs)")</f>
        <v>Regular (up to 20lbs)</v>
      </c>
      <c r="F4160" s="23">
        <f>IFERROR(__xludf.DUMMYFUNCTION("""COMPUTED_VALUE"""),44905.67849825232)</f>
        <v>44905.6785</v>
      </c>
      <c r="G4160" s="24" t="str">
        <f>IFERROR(__xludf.DUMMYFUNCTION("""COMPUTED_VALUE"""),"JUANITA Chandler ")</f>
        <v>JUANITA Chandler </v>
      </c>
      <c r="H4160" s="24">
        <f>IFERROR(__xludf.DUMMYFUNCTION("""COMPUTED_VALUE"""),479.0)</f>
        <v>479</v>
      </c>
      <c r="I4160" s="24" t="str">
        <f>IFERROR(__xludf.DUMMYFUNCTION("""COMPUTED_VALUE"""),"Condiments")</f>
        <v>Condiments</v>
      </c>
    </row>
    <row r="4161">
      <c r="A4161" s="23">
        <f>IFERROR(__xludf.DUMMYFUNCTION("""COMPUTED_VALUE"""),44895.0)</f>
        <v>44895</v>
      </c>
      <c r="B4161" s="24" t="str">
        <f>IFERROR(__xludf.DUMMYFUNCTION("""COMPUTED_VALUE"""),"Nat Busbee")</f>
        <v>Nat Busbee</v>
      </c>
      <c r="C4161" s="24">
        <f>IFERROR(__xludf.DUMMYFUNCTION("""COMPUTED_VALUE"""),1.0)</f>
        <v>1</v>
      </c>
      <c r="D4161" s="24" t="str">
        <f>IFERROR(__xludf.DUMMYFUNCTION("""COMPUTED_VALUE"""),"Damage/expired/extra")</f>
        <v>Damage/expired/extra</v>
      </c>
      <c r="F4161" s="23">
        <f>IFERROR(__xludf.DUMMYFUNCTION("""COMPUTED_VALUE"""),44905.679077615736)</f>
        <v>44905.67908</v>
      </c>
      <c r="G4161" s="24" t="str">
        <f>IFERROR(__xludf.DUMMYFUNCTION("""COMPUTED_VALUE"""),"Ryan Kasraii")</f>
        <v>Ryan Kasraii</v>
      </c>
      <c r="H4161" s="24">
        <f>IFERROR(__xludf.DUMMYFUNCTION("""COMPUTED_VALUE"""),16.0)</f>
        <v>16</v>
      </c>
      <c r="I4161" s="24" t="str">
        <f>IFERROR(__xludf.DUMMYFUNCTION("""COMPUTED_VALUE"""),"Regular (up to 20lbs)")</f>
        <v>Regular (up to 20lbs)</v>
      </c>
    </row>
    <row r="4162">
      <c r="A4162" s="23">
        <f>IFERROR(__xludf.DUMMYFUNCTION("""COMPUTED_VALUE"""),44895.0)</f>
        <v>44895</v>
      </c>
      <c r="B4162" s="24" t="str">
        <f>IFERROR(__xludf.DUMMYFUNCTION("""COMPUTED_VALUE"""),"Brian Horan")</f>
        <v>Brian Horan</v>
      </c>
      <c r="C4162" s="24">
        <f>IFERROR(__xludf.DUMMYFUNCTION("""COMPUTED_VALUE"""),3.0)</f>
        <v>3</v>
      </c>
      <c r="D4162" s="24" t="str">
        <f>IFERROR(__xludf.DUMMYFUNCTION("""COMPUTED_VALUE"""),"Damage/expired/extra")</f>
        <v>Damage/expired/extra</v>
      </c>
      <c r="F4162" s="23">
        <f>IFERROR(__xludf.DUMMYFUNCTION("""COMPUTED_VALUE"""),44905.679145671296)</f>
        <v>44905.67915</v>
      </c>
      <c r="G4162" s="24" t="str">
        <f>IFERROR(__xludf.DUMMYFUNCTION("""COMPUTED_VALUE"""),"Efrain Baca")</f>
        <v>Efrain Baca</v>
      </c>
      <c r="H4162" s="24">
        <f>IFERROR(__xludf.DUMMYFUNCTION("""COMPUTED_VALUE"""),19.0)</f>
        <v>19</v>
      </c>
      <c r="I4162" s="24" t="str">
        <f>IFERROR(__xludf.DUMMYFUNCTION("""COMPUTED_VALUE"""),"Regular (up to 20lbs)")</f>
        <v>Regular (up to 20lbs)</v>
      </c>
    </row>
    <row r="4163">
      <c r="A4163" s="23">
        <f>IFERROR(__xludf.DUMMYFUNCTION("""COMPUTED_VALUE"""),44895.0)</f>
        <v>44895</v>
      </c>
      <c r="B4163" s="24" t="str">
        <f>IFERROR(__xludf.DUMMYFUNCTION("""COMPUTED_VALUE"""),"Sarah K")</f>
        <v>Sarah K</v>
      </c>
      <c r="C4163" s="24">
        <f>IFERROR(__xludf.DUMMYFUNCTION("""COMPUTED_VALUE"""),4.0)</f>
        <v>4</v>
      </c>
      <c r="D4163" s="24" t="str">
        <f>IFERROR(__xludf.DUMMYFUNCTION("""COMPUTED_VALUE"""),"Regular (up to 20lbs)")</f>
        <v>Regular (up to 20lbs)</v>
      </c>
      <c r="F4163" s="23">
        <f>IFERROR(__xludf.DUMMYFUNCTION("""COMPUTED_VALUE"""),44905.68079884259)</f>
        <v>44905.6808</v>
      </c>
      <c r="G4163" s="24" t="str">
        <f>IFERROR(__xludf.DUMMYFUNCTION("""COMPUTED_VALUE"""),"Juanita Chandler ")</f>
        <v>Juanita Chandler </v>
      </c>
      <c r="H4163" s="24">
        <f>IFERROR(__xludf.DUMMYFUNCTION("""COMPUTED_VALUE"""),-328.0)</f>
        <v>-328</v>
      </c>
      <c r="I4163" s="24" t="str">
        <f>IFERROR(__xludf.DUMMYFUNCTION("""COMPUTED_VALUE"""),"Snacks")</f>
        <v>Snacks</v>
      </c>
    </row>
    <row r="4164">
      <c r="A4164" s="23">
        <f>IFERROR(__xludf.DUMMYFUNCTION("""COMPUTED_VALUE"""),44895.0)</f>
        <v>44895</v>
      </c>
      <c r="B4164" s="24" t="str">
        <f>IFERROR(__xludf.DUMMYFUNCTION("""COMPUTED_VALUE"""),"Dee Satterfield")</f>
        <v>Dee Satterfield</v>
      </c>
      <c r="C4164" s="24">
        <f>IFERROR(__xludf.DUMMYFUNCTION("""COMPUTED_VALUE"""),20.0)</f>
        <v>20</v>
      </c>
      <c r="D4164" s="24" t="str">
        <f>IFERROR(__xludf.DUMMYFUNCTION("""COMPUTED_VALUE"""),"Regular (up to 20lbs)")</f>
        <v>Regular (up to 20lbs)</v>
      </c>
      <c r="F4164" s="23">
        <f>IFERROR(__xludf.DUMMYFUNCTION("""COMPUTED_VALUE"""),44905.68091471065)</f>
        <v>44905.68091</v>
      </c>
      <c r="G4164" s="24" t="str">
        <f>IFERROR(__xludf.DUMMYFUNCTION("""COMPUTED_VALUE"""),"Evelyn jiang")</f>
        <v>Evelyn jiang</v>
      </c>
      <c r="H4164" s="24">
        <f>IFERROR(__xludf.DUMMYFUNCTION("""COMPUTED_VALUE"""),15.0)</f>
        <v>15</v>
      </c>
      <c r="I4164" s="24" t="str">
        <f>IFERROR(__xludf.DUMMYFUNCTION("""COMPUTED_VALUE"""),"Regular (up to 20lbs)")</f>
        <v>Regular (up to 20lbs)</v>
      </c>
    </row>
    <row r="4165">
      <c r="A4165" s="23">
        <f>IFERROR(__xludf.DUMMYFUNCTION("""COMPUTED_VALUE"""),44895.71947123843)</f>
        <v>44895.71947</v>
      </c>
      <c r="B4165" s="24" t="str">
        <f>IFERROR(__xludf.DUMMYFUNCTION("""COMPUTED_VALUE"""),"Karen")</f>
        <v>Karen</v>
      </c>
      <c r="C4165" s="24">
        <f>IFERROR(__xludf.DUMMYFUNCTION("""COMPUTED_VALUE"""),17.0)</f>
        <v>17</v>
      </c>
      <c r="D4165" s="24" t="str">
        <f>IFERROR(__xludf.DUMMYFUNCTION("""COMPUTED_VALUE"""),"Regular (up to 20lbs)")</f>
        <v>Regular (up to 20lbs)</v>
      </c>
      <c r="F4165" s="23">
        <f>IFERROR(__xludf.DUMMYFUNCTION("""COMPUTED_VALUE"""),44905.68109362268)</f>
        <v>44905.68109</v>
      </c>
      <c r="G4165" s="24" t="str">
        <f>IFERROR(__xludf.DUMMYFUNCTION("""COMPUTED_VALUE"""),"Nathan so")</f>
        <v>Nathan so</v>
      </c>
      <c r="H4165" s="24">
        <f>IFERROR(__xludf.DUMMYFUNCTION("""COMPUTED_VALUE"""),15.0)</f>
        <v>15</v>
      </c>
      <c r="I4165" s="24" t="str">
        <f>IFERROR(__xludf.DUMMYFUNCTION("""COMPUTED_VALUE"""),"Regular (up to 20lbs)")</f>
        <v>Regular (up to 20lbs)</v>
      </c>
    </row>
    <row r="4166">
      <c r="A4166" s="23">
        <f>IFERROR(__xludf.DUMMYFUNCTION("""COMPUTED_VALUE"""),44895.71962299768)</f>
        <v>44895.71962</v>
      </c>
      <c r="B4166" s="24" t="str">
        <f>IFERROR(__xludf.DUMMYFUNCTION("""COMPUTED_VALUE"""),"Karen")</f>
        <v>Karen</v>
      </c>
      <c r="C4166" s="24">
        <f>IFERROR(__xludf.DUMMYFUNCTION("""COMPUTED_VALUE"""),10.0)</f>
        <v>10</v>
      </c>
      <c r="D4166" s="24" t="str">
        <f>IFERROR(__xludf.DUMMYFUNCTION("""COMPUTED_VALUE"""),"Damage/expired/extra")</f>
        <v>Damage/expired/extra</v>
      </c>
      <c r="F4166" s="23">
        <f>IFERROR(__xludf.DUMMYFUNCTION("""COMPUTED_VALUE"""),44905.68148633102)</f>
        <v>44905.68149</v>
      </c>
      <c r="G4166" s="24" t="str">
        <f>IFERROR(__xludf.DUMMYFUNCTION("""COMPUTED_VALUE"""),"JUANITA Chandler ")</f>
        <v>JUANITA Chandler </v>
      </c>
      <c r="H4166" s="24">
        <f>IFERROR(__xludf.DUMMYFUNCTION("""COMPUTED_VALUE"""),-76.0)</f>
        <v>-76</v>
      </c>
      <c r="I4166" s="24" t="str">
        <f>IFERROR(__xludf.DUMMYFUNCTION("""COMPUTED_VALUE"""),"Cereal ")</f>
        <v>Cereal </v>
      </c>
    </row>
    <row r="4167">
      <c r="A4167" s="23">
        <f>IFERROR(__xludf.DUMMYFUNCTION("""COMPUTED_VALUE"""),44895.72333699073)</f>
        <v>44895.72334</v>
      </c>
      <c r="B4167" s="24" t="str">
        <f>IFERROR(__xludf.DUMMYFUNCTION("""COMPUTED_VALUE"""),"Lynnette c")</f>
        <v>Lynnette c</v>
      </c>
      <c r="C4167" s="24">
        <f>IFERROR(__xludf.DUMMYFUNCTION("""COMPUTED_VALUE"""),17.0)</f>
        <v>17</v>
      </c>
      <c r="D4167" s="24" t="str">
        <f>IFERROR(__xludf.DUMMYFUNCTION("""COMPUTED_VALUE"""),"Regular (up to 20lbs)")</f>
        <v>Regular (up to 20lbs)</v>
      </c>
      <c r="F4167" s="23">
        <f>IFERROR(__xludf.DUMMYFUNCTION("""COMPUTED_VALUE"""),44905.682129085646)</f>
        <v>44905.68213</v>
      </c>
      <c r="G4167" s="24" t="str">
        <f>IFERROR(__xludf.DUMMYFUNCTION("""COMPUTED_VALUE"""),"JUANITA Chandler ")</f>
        <v>JUANITA Chandler </v>
      </c>
      <c r="H4167" s="24">
        <f>IFERROR(__xludf.DUMMYFUNCTION("""COMPUTED_VALUE"""),-221.0)</f>
        <v>-221</v>
      </c>
      <c r="I4167" s="24" t="str">
        <f>IFERROR(__xludf.DUMMYFUNCTION("""COMPUTED_VALUE"""),"Dairy")</f>
        <v>Dairy</v>
      </c>
    </row>
    <row r="4168">
      <c r="A4168" s="23">
        <f>IFERROR(__xludf.DUMMYFUNCTION("""COMPUTED_VALUE"""),44895.72353123843)</f>
        <v>44895.72353</v>
      </c>
      <c r="B4168" s="24" t="str">
        <f>IFERROR(__xludf.DUMMYFUNCTION("""COMPUTED_VALUE"""),"Lynnette")</f>
        <v>Lynnette</v>
      </c>
      <c r="C4168" s="24">
        <f>IFERROR(__xludf.DUMMYFUNCTION("""COMPUTED_VALUE"""),24.0)</f>
        <v>24</v>
      </c>
      <c r="D4168" s="24" t="str">
        <f>IFERROR(__xludf.DUMMYFUNCTION("""COMPUTED_VALUE"""),"Damage/expired/extra")</f>
        <v>Damage/expired/extra</v>
      </c>
      <c r="F4168" s="23">
        <f>IFERROR(__xludf.DUMMYFUNCTION("""COMPUTED_VALUE"""),44905.68228569444)</f>
        <v>44905.68229</v>
      </c>
      <c r="G4168" s="24" t="str">
        <f>IFERROR(__xludf.DUMMYFUNCTION("""COMPUTED_VALUE"""),"JUANITA Chandler ")</f>
        <v>JUANITA Chandler </v>
      </c>
      <c r="H4168" s="24">
        <f>IFERROR(__xludf.DUMMYFUNCTION("""COMPUTED_VALUE"""),-985.0)</f>
        <v>-985</v>
      </c>
      <c r="I4168" s="24" t="str">
        <f>IFERROR(__xludf.DUMMYFUNCTION("""COMPUTED_VALUE"""),"Dole fruit cup ")</f>
        <v>Dole fruit cup </v>
      </c>
    </row>
    <row r="4169">
      <c r="A4169" s="23">
        <f>IFERROR(__xludf.DUMMYFUNCTION("""COMPUTED_VALUE"""),44895.861690543985)</f>
        <v>44895.86169</v>
      </c>
      <c r="B4169" s="24" t="str">
        <f>IFERROR(__xludf.DUMMYFUNCTION("""COMPUTED_VALUE"""),"Connor Gephart")</f>
        <v>Connor Gephart</v>
      </c>
      <c r="C4169" s="24">
        <f>IFERROR(__xludf.DUMMYFUNCTION("""COMPUTED_VALUE"""),14.0)</f>
        <v>14</v>
      </c>
      <c r="D4169" s="24" t="str">
        <f>IFERROR(__xludf.DUMMYFUNCTION("""COMPUTED_VALUE"""),"Regular (up to 20lbs)")</f>
        <v>Regular (up to 20lbs)</v>
      </c>
      <c r="F4169" s="23">
        <f>IFERROR(__xludf.DUMMYFUNCTION("""COMPUTED_VALUE"""),44905.68327780092)</f>
        <v>44905.68328</v>
      </c>
      <c r="G4169" s="24" t="str">
        <f>IFERROR(__xludf.DUMMYFUNCTION("""COMPUTED_VALUE"""),"Juanita Chandler ")</f>
        <v>Juanita Chandler </v>
      </c>
      <c r="H4169" s="24">
        <f>IFERROR(__xludf.DUMMYFUNCTION("""COMPUTED_VALUE"""),-61.0)</f>
        <v>-61</v>
      </c>
      <c r="I4169" s="24" t="str">
        <f>IFERROR(__xludf.DUMMYFUNCTION("""COMPUTED_VALUE"""),"Meat [Raw]")</f>
        <v>Meat [Raw]</v>
      </c>
    </row>
    <row r="4170">
      <c r="A4170" s="23">
        <f>IFERROR(__xludf.DUMMYFUNCTION("""COMPUTED_VALUE"""),44895.86579474537)</f>
        <v>44895.86579</v>
      </c>
      <c r="B4170" s="24" t="str">
        <f>IFERROR(__xludf.DUMMYFUNCTION("""COMPUTED_VALUE"""),"Maddie Pardes ")</f>
        <v>Maddie Pardes </v>
      </c>
      <c r="C4170" s="24">
        <f>IFERROR(__xludf.DUMMYFUNCTION("""COMPUTED_VALUE"""),10.0)</f>
        <v>10</v>
      </c>
      <c r="D4170" s="24" t="str">
        <f>IFERROR(__xludf.DUMMYFUNCTION("""COMPUTED_VALUE"""),"Regular (up to 20lbs)")</f>
        <v>Regular (up to 20lbs)</v>
      </c>
      <c r="F4170" s="23">
        <f>IFERROR(__xludf.DUMMYFUNCTION("""COMPUTED_VALUE"""),44905.68353787037)</f>
        <v>44905.68354</v>
      </c>
      <c r="G4170" s="24" t="str">
        <f>IFERROR(__xludf.DUMMYFUNCTION("""COMPUTED_VALUE"""),"Harris Malik")</f>
        <v>Harris Malik</v>
      </c>
      <c r="H4170" s="24">
        <f>IFERROR(__xludf.DUMMYFUNCTION("""COMPUTED_VALUE"""),16.0)</f>
        <v>16</v>
      </c>
      <c r="I4170" s="24" t="str">
        <f>IFERROR(__xludf.DUMMYFUNCTION("""COMPUTED_VALUE"""),"Regular (up to 20lbs)")</f>
        <v>Regular (up to 20lbs)</v>
      </c>
    </row>
    <row r="4171">
      <c r="A4171" s="23">
        <f>IFERROR(__xludf.DUMMYFUNCTION("""COMPUTED_VALUE"""),44895.87311126157)</f>
        <v>44895.87311</v>
      </c>
      <c r="B4171" s="24" t="str">
        <f>IFERROR(__xludf.DUMMYFUNCTION("""COMPUTED_VALUE"""),"Bryce Barnes")</f>
        <v>Bryce Barnes</v>
      </c>
      <c r="C4171" s="24">
        <f>IFERROR(__xludf.DUMMYFUNCTION("""COMPUTED_VALUE"""),20.0)</f>
        <v>20</v>
      </c>
      <c r="D4171" s="24" t="str">
        <f>IFERROR(__xludf.DUMMYFUNCTION("""COMPUTED_VALUE"""),"Regular (up to 20lbs)")</f>
        <v>Regular (up to 20lbs)</v>
      </c>
      <c r="F4171" s="23">
        <f>IFERROR(__xludf.DUMMYFUNCTION("""COMPUTED_VALUE"""),44905.6840341088)</f>
        <v>44905.68403</v>
      </c>
      <c r="G4171" s="24" t="str">
        <f>IFERROR(__xludf.DUMMYFUNCTION("""COMPUTED_VALUE"""),"Brendan Montgomery")</f>
        <v>Brendan Montgomery</v>
      </c>
      <c r="H4171" s="24">
        <f>IFERROR(__xludf.DUMMYFUNCTION("""COMPUTED_VALUE"""),12.0)</f>
        <v>12</v>
      </c>
      <c r="I4171" s="24" t="str">
        <f>IFERROR(__xludf.DUMMYFUNCTION("""COMPUTED_VALUE"""),"Regular (up to 20lbs)")</f>
        <v>Regular (up to 20lbs)</v>
      </c>
    </row>
    <row r="4172">
      <c r="A4172" s="23">
        <f>IFERROR(__xludf.DUMMYFUNCTION("""COMPUTED_VALUE"""),44895.0)</f>
        <v>44895</v>
      </c>
      <c r="B4172" s="24" t="str">
        <f>IFERROR(__xludf.DUMMYFUNCTION("""COMPUTED_VALUE"""),"Bryce Barnes")</f>
        <v>Bryce Barnes</v>
      </c>
      <c r="C4172" s="24">
        <f>IFERROR(__xludf.DUMMYFUNCTION("""COMPUTED_VALUE"""),13.0)</f>
        <v>13</v>
      </c>
      <c r="D4172" s="24" t="str">
        <f>IFERROR(__xludf.DUMMYFUNCTION("""COMPUTED_VALUE"""),"Damage/expired/extra")</f>
        <v>Damage/expired/extra</v>
      </c>
      <c r="F4172" s="23">
        <f>IFERROR(__xludf.DUMMYFUNCTION("""COMPUTED_VALUE"""),44905.68420577546)</f>
        <v>44905.68421</v>
      </c>
      <c r="G4172" s="24" t="str">
        <f>IFERROR(__xludf.DUMMYFUNCTION("""COMPUTED_VALUE"""),"Juanita Chandler ")</f>
        <v>Juanita Chandler </v>
      </c>
      <c r="H4172" s="24">
        <f>IFERROR(__xludf.DUMMYFUNCTION("""COMPUTED_VALUE"""),-86.0)</f>
        <v>-86</v>
      </c>
      <c r="I4172" s="24" t="str">
        <f>IFERROR(__xludf.DUMMYFUNCTION("""COMPUTED_VALUE"""),"Meat [Raw]")</f>
        <v>Meat [Raw]</v>
      </c>
    </row>
    <row r="4173">
      <c r="A4173" s="23">
        <f>IFERROR(__xludf.DUMMYFUNCTION("""COMPUTED_VALUE"""),44896.700549189816)</f>
        <v>44896.70055</v>
      </c>
      <c r="B4173" s="24" t="str">
        <f>IFERROR(__xludf.DUMMYFUNCTION("""COMPUTED_VALUE"""),"Jean")</f>
        <v>Jean</v>
      </c>
      <c r="C4173" s="24">
        <f>IFERROR(__xludf.DUMMYFUNCTION("""COMPUTED_VALUE"""),15.0)</f>
        <v>15</v>
      </c>
      <c r="D4173" s="24" t="str">
        <f>IFERROR(__xludf.DUMMYFUNCTION("""COMPUTED_VALUE"""),"Regular (up to 20lbs)")</f>
        <v>Regular (up to 20lbs)</v>
      </c>
      <c r="F4173" s="23">
        <f>IFERROR(__xludf.DUMMYFUNCTION("""COMPUTED_VALUE"""),44905.684644733796)</f>
        <v>44905.68464</v>
      </c>
      <c r="G4173" s="24" t="str">
        <f>IFERROR(__xludf.DUMMYFUNCTION("""COMPUTED_VALUE"""),"JUANITA Chandler ")</f>
        <v>JUANITA Chandler </v>
      </c>
      <c r="H4173" s="24">
        <f>IFERROR(__xludf.DUMMYFUNCTION("""COMPUTED_VALUE"""),-400.0)</f>
        <v>-400</v>
      </c>
      <c r="I4173" s="24" t="str">
        <f>IFERROR(__xludf.DUMMYFUNCTION("""COMPUTED_VALUE"""),"Drinks [Fridge]")</f>
        <v>Drinks [Fridge]</v>
      </c>
    </row>
    <row r="4174">
      <c r="A4174" s="23">
        <f>IFERROR(__xludf.DUMMYFUNCTION("""COMPUTED_VALUE"""),44896.0)</f>
        <v>44896</v>
      </c>
      <c r="B4174" s="24" t="str">
        <f>IFERROR(__xludf.DUMMYFUNCTION("""COMPUTED_VALUE"""),"Bertille")</f>
        <v>Bertille</v>
      </c>
      <c r="C4174" s="24">
        <f>IFERROR(__xludf.DUMMYFUNCTION("""COMPUTED_VALUE"""),15.0)</f>
        <v>15</v>
      </c>
      <c r="D4174" s="24" t="str">
        <f>IFERROR(__xludf.DUMMYFUNCTION("""COMPUTED_VALUE"""),"Regular (up to 20lbs)")</f>
        <v>Regular (up to 20lbs)</v>
      </c>
      <c r="F4174" s="23">
        <f>IFERROR(__xludf.DUMMYFUNCTION("""COMPUTED_VALUE"""),44905.685385)</f>
        <v>44905.68539</v>
      </c>
      <c r="G4174" s="24" t="str">
        <f>IFERROR(__xludf.DUMMYFUNCTION("""COMPUTED_VALUE"""),"Azel King")</f>
        <v>Azel King</v>
      </c>
      <c r="H4174" s="24">
        <f>IFERROR(__xludf.DUMMYFUNCTION("""COMPUTED_VALUE"""),20.0)</f>
        <v>20</v>
      </c>
      <c r="I4174" s="24" t="str">
        <f>IFERROR(__xludf.DUMMYFUNCTION("""COMPUTED_VALUE"""),"Regular (up to 20lbs)")</f>
        <v>Regular (up to 20lbs)</v>
      </c>
    </row>
    <row r="4175">
      <c r="A4175" s="23">
        <f>IFERROR(__xludf.DUMMYFUNCTION("""COMPUTED_VALUE"""),44896.0)</f>
        <v>44896</v>
      </c>
      <c r="B4175" s="24" t="str">
        <f>IFERROR(__xludf.DUMMYFUNCTION("""COMPUTED_VALUE"""),"Bertille")</f>
        <v>Bertille</v>
      </c>
      <c r="C4175" s="24">
        <f>IFERROR(__xludf.DUMMYFUNCTION("""COMPUTED_VALUE"""),6.0)</f>
        <v>6</v>
      </c>
      <c r="D4175" s="24" t="str">
        <f>IFERROR(__xludf.DUMMYFUNCTION("""COMPUTED_VALUE"""),"Damage/expired/extra")</f>
        <v>Damage/expired/extra</v>
      </c>
      <c r="F4175" s="23">
        <f>IFERROR(__xludf.DUMMYFUNCTION("""COMPUTED_VALUE"""),44905.68553689815)</f>
        <v>44905.68554</v>
      </c>
      <c r="G4175" s="24" t="str">
        <f>IFERROR(__xludf.DUMMYFUNCTION("""COMPUTED_VALUE"""),"JUANITA Chandler ")</f>
        <v>JUANITA Chandler </v>
      </c>
      <c r="H4175" s="24">
        <f>IFERROR(__xludf.DUMMYFUNCTION("""COMPUTED_VALUE"""),-158.0)</f>
        <v>-158</v>
      </c>
      <c r="I4175" s="24" t="str">
        <f>IFERROR(__xludf.DUMMYFUNCTION("""COMPUTED_VALUE"""),"Gift Box ")</f>
        <v>Gift Box </v>
      </c>
    </row>
    <row r="4176">
      <c r="A4176" s="23">
        <f>IFERROR(__xludf.DUMMYFUNCTION("""COMPUTED_VALUE"""),44896.0)</f>
        <v>44896</v>
      </c>
      <c r="B4176" s="24" t="str">
        <f>IFERROR(__xludf.DUMMYFUNCTION("""COMPUTED_VALUE"""),"Barbara Jordan")</f>
        <v>Barbara Jordan</v>
      </c>
      <c r="C4176" s="24">
        <f>IFERROR(__xludf.DUMMYFUNCTION("""COMPUTED_VALUE"""),11.0)</f>
        <v>11</v>
      </c>
      <c r="D4176" s="24" t="str">
        <f>IFERROR(__xludf.DUMMYFUNCTION("""COMPUTED_VALUE"""),"Regular (up to 20lbs)")</f>
        <v>Regular (up to 20lbs)</v>
      </c>
      <c r="F4176" s="23">
        <f>IFERROR(__xludf.DUMMYFUNCTION("""COMPUTED_VALUE"""),44905.69335983796)</f>
        <v>44905.69336</v>
      </c>
      <c r="G4176" s="24" t="str">
        <f>IFERROR(__xludf.DUMMYFUNCTION("""COMPUTED_VALUE"""),"Justin Maduka")</f>
        <v>Justin Maduka</v>
      </c>
      <c r="H4176" s="24">
        <f>IFERROR(__xludf.DUMMYFUNCTION("""COMPUTED_VALUE"""),20.0)</f>
        <v>20</v>
      </c>
      <c r="I4176" s="24" t="str">
        <f>IFERROR(__xludf.DUMMYFUNCTION("""COMPUTED_VALUE"""),"Regular (up to 20lbs)")</f>
        <v>Regular (up to 20lbs)</v>
      </c>
    </row>
    <row r="4177">
      <c r="A4177" s="23">
        <f>IFERROR(__xludf.DUMMYFUNCTION("""COMPUTED_VALUE"""),44896.0)</f>
        <v>44896</v>
      </c>
      <c r="B4177" s="24" t="str">
        <f>IFERROR(__xludf.DUMMYFUNCTION("""COMPUTED_VALUE"""),"Barbara Jordan")</f>
        <v>Barbara Jordan</v>
      </c>
      <c r="C4177" s="24">
        <f>IFERROR(__xludf.DUMMYFUNCTION("""COMPUTED_VALUE"""),16.0)</f>
        <v>16</v>
      </c>
      <c r="D4177" s="24" t="str">
        <f>IFERROR(__xludf.DUMMYFUNCTION("""COMPUTED_VALUE"""),"Damage/expired/extra")</f>
        <v>Damage/expired/extra</v>
      </c>
      <c r="F4177" s="23">
        <f>IFERROR(__xludf.DUMMYFUNCTION("""COMPUTED_VALUE"""),44905.69350518519)</f>
        <v>44905.69351</v>
      </c>
      <c r="G4177" s="24" t="str">
        <f>IFERROR(__xludf.DUMMYFUNCTION("""COMPUTED_VALUE"""),"Justin")</f>
        <v>Justin</v>
      </c>
      <c r="H4177" s="24">
        <f>IFERROR(__xludf.DUMMYFUNCTION("""COMPUTED_VALUE"""),1.0)</f>
        <v>1</v>
      </c>
      <c r="I4177" s="24" t="str">
        <f>IFERROR(__xludf.DUMMYFUNCTION("""COMPUTED_VALUE"""),"Damage/expired/extra")</f>
        <v>Damage/expired/extra</v>
      </c>
    </row>
    <row r="4178">
      <c r="A4178" s="23">
        <f>IFERROR(__xludf.DUMMYFUNCTION("""COMPUTED_VALUE"""),44896.0)</f>
        <v>44896</v>
      </c>
      <c r="B4178" s="24" t="str">
        <f>IFERROR(__xludf.DUMMYFUNCTION("""COMPUTED_VALUE"""),"Norma &amp; friend")</f>
        <v>Norma &amp; friend</v>
      </c>
      <c r="C4178" s="24">
        <f>IFERROR(__xludf.DUMMYFUNCTION("""COMPUTED_VALUE"""),13.0)</f>
        <v>13</v>
      </c>
      <c r="D4178" s="24" t="str">
        <f>IFERROR(__xludf.DUMMYFUNCTION("""COMPUTED_VALUE"""),"Regular (up to 20lbs)")</f>
        <v>Regular (up to 20lbs)</v>
      </c>
      <c r="F4178" s="23">
        <f>IFERROR(__xludf.DUMMYFUNCTION("""COMPUTED_VALUE"""),44905.69404815972)</f>
        <v>44905.69405</v>
      </c>
      <c r="G4178" s="24" t="str">
        <f>IFERROR(__xludf.DUMMYFUNCTION("""COMPUTED_VALUE"""),"Juhi Dwivedi")</f>
        <v>Juhi Dwivedi</v>
      </c>
      <c r="H4178" s="24">
        <f>IFERROR(__xludf.DUMMYFUNCTION("""COMPUTED_VALUE"""),20.0)</f>
        <v>20</v>
      </c>
      <c r="I4178" s="24" t="str">
        <f>IFERROR(__xludf.DUMMYFUNCTION("""COMPUTED_VALUE"""),"Regular (up to 20lbs)")</f>
        <v>Regular (up to 20lbs)</v>
      </c>
    </row>
    <row r="4179">
      <c r="A4179" s="23">
        <f>IFERROR(__xludf.DUMMYFUNCTION("""COMPUTED_VALUE"""),44896.0)</f>
        <v>44896</v>
      </c>
      <c r="B4179" s="24" t="str">
        <f>IFERROR(__xludf.DUMMYFUNCTION("""COMPUTED_VALUE"""),"Norma &amp; friend")</f>
        <v>Norma &amp; friend</v>
      </c>
      <c r="C4179" s="24">
        <f>IFERROR(__xludf.DUMMYFUNCTION("""COMPUTED_VALUE"""),4.0)</f>
        <v>4</v>
      </c>
      <c r="D4179" s="24" t="str">
        <f>IFERROR(__xludf.DUMMYFUNCTION("""COMPUTED_VALUE"""),"Damage/expired/extra")</f>
        <v>Damage/expired/extra</v>
      </c>
      <c r="F4179" s="23">
        <f>IFERROR(__xludf.DUMMYFUNCTION("""COMPUTED_VALUE"""),44905.69486649306)</f>
        <v>44905.69487</v>
      </c>
      <c r="G4179" s="24" t="str">
        <f>IFERROR(__xludf.DUMMYFUNCTION("""COMPUTED_VALUE"""),"Nicolle diaz ")</f>
        <v>Nicolle diaz </v>
      </c>
      <c r="H4179" s="24">
        <f>IFERROR(__xludf.DUMMYFUNCTION("""COMPUTED_VALUE"""),18.0)</f>
        <v>18</v>
      </c>
      <c r="I4179" s="24" t="str">
        <f>IFERROR(__xludf.DUMMYFUNCTION("""COMPUTED_VALUE"""),"Regular (up to 20lbs)")</f>
        <v>Regular (up to 20lbs)</v>
      </c>
    </row>
    <row r="4180">
      <c r="A4180" s="23">
        <f>IFERROR(__xludf.DUMMYFUNCTION("""COMPUTED_VALUE"""),44896.83187543982)</f>
        <v>44896.83188</v>
      </c>
      <c r="B4180" s="24" t="str">
        <f>IFERROR(__xludf.DUMMYFUNCTION("""COMPUTED_VALUE"""),"adeola sulaiman ")</f>
        <v>adeola sulaiman </v>
      </c>
      <c r="C4180" s="24">
        <f>IFERROR(__xludf.DUMMYFUNCTION("""COMPUTED_VALUE"""),20.0)</f>
        <v>20</v>
      </c>
      <c r="D4180" s="24" t="str">
        <f>IFERROR(__xludf.DUMMYFUNCTION("""COMPUTED_VALUE"""),"Regular (up to 20lbs)")</f>
        <v>Regular (up to 20lbs)</v>
      </c>
      <c r="F4180" s="23">
        <f>IFERROR(__xludf.DUMMYFUNCTION("""COMPUTED_VALUE"""),44905.694976238425)</f>
        <v>44905.69498</v>
      </c>
      <c r="G4180" s="24" t="str">
        <f>IFERROR(__xludf.DUMMYFUNCTION("""COMPUTED_VALUE"""),"Nicolle diaz ")</f>
        <v>Nicolle diaz </v>
      </c>
      <c r="H4180" s="24">
        <f>IFERROR(__xludf.DUMMYFUNCTION("""COMPUTED_VALUE"""),1.0)</f>
        <v>1</v>
      </c>
      <c r="I4180" s="24" t="str">
        <f>IFERROR(__xludf.DUMMYFUNCTION("""COMPUTED_VALUE"""),"Damage/expired/extra")</f>
        <v>Damage/expired/extra</v>
      </c>
    </row>
    <row r="4181">
      <c r="A4181" s="23">
        <f>IFERROR(__xludf.DUMMYFUNCTION("""COMPUTED_VALUE"""),44896.83200299768)</f>
        <v>44896.832</v>
      </c>
      <c r="B4181" s="24" t="str">
        <f>IFERROR(__xludf.DUMMYFUNCTION("""COMPUTED_VALUE"""),"adeola sulaiman ")</f>
        <v>adeola sulaiman </v>
      </c>
      <c r="C4181" s="24">
        <f>IFERROR(__xludf.DUMMYFUNCTION("""COMPUTED_VALUE"""),34.0)</f>
        <v>34</v>
      </c>
      <c r="D4181" s="24" t="str">
        <f>IFERROR(__xludf.DUMMYFUNCTION("""COMPUTED_VALUE"""),"Damage/expired/extra")</f>
        <v>Damage/expired/extra</v>
      </c>
      <c r="F4181" s="23">
        <f>IFERROR(__xludf.DUMMYFUNCTION("""COMPUTED_VALUE"""),44905.69623243056)</f>
        <v>44905.69623</v>
      </c>
      <c r="G4181" s="24" t="str">
        <f>IFERROR(__xludf.DUMMYFUNCTION("""COMPUTED_VALUE"""),"Sara B. ")</f>
        <v>Sara B. </v>
      </c>
      <c r="H4181" s="24">
        <f>IFERROR(__xludf.DUMMYFUNCTION("""COMPUTED_VALUE"""),14.0)</f>
        <v>14</v>
      </c>
      <c r="I4181" s="24" t="str">
        <f>IFERROR(__xludf.DUMMYFUNCTION("""COMPUTED_VALUE"""),"Regular (up to 20lbs)")</f>
        <v>Regular (up to 20lbs)</v>
      </c>
    </row>
    <row r="4182">
      <c r="A4182" s="23">
        <f>IFERROR(__xludf.DUMMYFUNCTION("""COMPUTED_VALUE"""),44896.0)</f>
        <v>44896</v>
      </c>
      <c r="B4182" s="24" t="str">
        <f>IFERROR(__xludf.DUMMYFUNCTION("""COMPUTED_VALUE"""),"Melissa Thomas")</f>
        <v>Melissa Thomas</v>
      </c>
      <c r="C4182" s="24">
        <f>IFERROR(__xludf.DUMMYFUNCTION("""COMPUTED_VALUE"""),20.0)</f>
        <v>20</v>
      </c>
      <c r="D4182" s="24" t="str">
        <f>IFERROR(__xludf.DUMMYFUNCTION("""COMPUTED_VALUE"""),"Regular (up to 20lbs)")</f>
        <v>Regular (up to 20lbs)</v>
      </c>
      <c r="F4182" s="23">
        <f>IFERROR(__xludf.DUMMYFUNCTION("""COMPUTED_VALUE"""),44905.696816585645)</f>
        <v>44905.69682</v>
      </c>
      <c r="G4182" s="24" t="str">
        <f>IFERROR(__xludf.DUMMYFUNCTION("""COMPUTED_VALUE"""),"Mohamad Elghoul")</f>
        <v>Mohamad Elghoul</v>
      </c>
      <c r="H4182" s="24">
        <f>IFERROR(__xludf.DUMMYFUNCTION("""COMPUTED_VALUE"""),19.0)</f>
        <v>19</v>
      </c>
      <c r="I4182" s="24" t="str">
        <f>IFERROR(__xludf.DUMMYFUNCTION("""COMPUTED_VALUE"""),"Regular (up to 20lbs)")</f>
        <v>Regular (up to 20lbs)</v>
      </c>
    </row>
    <row r="4183">
      <c r="A4183" s="23">
        <f>IFERROR(__xludf.DUMMYFUNCTION("""COMPUTED_VALUE"""),44896.0)</f>
        <v>44896</v>
      </c>
      <c r="B4183" s="24" t="str">
        <f>IFERROR(__xludf.DUMMYFUNCTION("""COMPUTED_VALUE"""),"Melissa Thomas")</f>
        <v>Melissa Thomas</v>
      </c>
      <c r="C4183" s="24">
        <f>IFERROR(__xludf.DUMMYFUNCTION("""COMPUTED_VALUE"""),30.0)</f>
        <v>30</v>
      </c>
      <c r="D4183" s="24" t="str">
        <f>IFERROR(__xludf.DUMMYFUNCTION("""COMPUTED_VALUE"""),"Damage/expired/extra")</f>
        <v>Damage/expired/extra</v>
      </c>
      <c r="F4183" s="23">
        <f>IFERROR(__xludf.DUMMYFUNCTION("""COMPUTED_VALUE"""),44905.70308601852)</f>
        <v>44905.70309</v>
      </c>
      <c r="G4183" s="24" t="str">
        <f>IFERROR(__xludf.DUMMYFUNCTION("""COMPUTED_VALUE"""),"Arezou Esmaeeli")</f>
        <v>Arezou Esmaeeli</v>
      </c>
      <c r="H4183" s="24">
        <f>IFERROR(__xludf.DUMMYFUNCTION("""COMPUTED_VALUE"""),19.0)</f>
        <v>19</v>
      </c>
      <c r="I4183" s="24" t="str">
        <f>IFERROR(__xludf.DUMMYFUNCTION("""COMPUTED_VALUE"""),"Regular (up to 20lbs)")</f>
        <v>Regular (up to 20lbs)</v>
      </c>
    </row>
    <row r="4184">
      <c r="A4184" s="23">
        <f>IFERROR(__xludf.DUMMYFUNCTION("""COMPUTED_VALUE"""),44896.0)</f>
        <v>44896</v>
      </c>
      <c r="B4184" s="24" t="str">
        <f>IFERROR(__xludf.DUMMYFUNCTION("""COMPUTED_VALUE"""),"Julia Buckson")</f>
        <v>Julia Buckson</v>
      </c>
      <c r="C4184" s="24">
        <f>IFERROR(__xludf.DUMMYFUNCTION("""COMPUTED_VALUE"""),17.0)</f>
        <v>17</v>
      </c>
      <c r="D4184" s="24" t="str">
        <f>IFERROR(__xludf.DUMMYFUNCTION("""COMPUTED_VALUE"""),"Regular (up to 20lbs)")</f>
        <v>Regular (up to 20lbs)</v>
      </c>
      <c r="F4184" s="23">
        <f>IFERROR(__xludf.DUMMYFUNCTION("""COMPUTED_VALUE"""),44905.711189953705)</f>
        <v>44905.71119</v>
      </c>
      <c r="G4184" s="24" t="str">
        <f>IFERROR(__xludf.DUMMYFUNCTION("""COMPUTED_VALUE"""),"Dean Chien")</f>
        <v>Dean Chien</v>
      </c>
      <c r="H4184" s="24">
        <f>IFERROR(__xludf.DUMMYFUNCTION("""COMPUTED_VALUE"""),5.0)</f>
        <v>5</v>
      </c>
      <c r="I4184" s="24" t="str">
        <f>IFERROR(__xludf.DUMMYFUNCTION("""COMPUTED_VALUE"""),"Regular (up to 20lbs)")</f>
        <v>Regular (up to 20lbs)</v>
      </c>
    </row>
    <row r="4185">
      <c r="A4185" s="23">
        <f>IFERROR(__xludf.DUMMYFUNCTION("""COMPUTED_VALUE"""),44896.0)</f>
        <v>44896</v>
      </c>
      <c r="B4185" s="24" t="str">
        <f>IFERROR(__xludf.DUMMYFUNCTION("""COMPUTED_VALUE"""),"Julia Buckson")</f>
        <v>Julia Buckson</v>
      </c>
      <c r="C4185" s="24">
        <f>IFERROR(__xludf.DUMMYFUNCTION("""COMPUTED_VALUE"""),32.0)</f>
        <v>32</v>
      </c>
      <c r="D4185" s="24" t="str">
        <f>IFERROR(__xludf.DUMMYFUNCTION("""COMPUTED_VALUE"""),"Damage/expired/extra")</f>
        <v>Damage/expired/extra</v>
      </c>
      <c r="F4185" s="23">
        <f>IFERROR(__xludf.DUMMYFUNCTION("""COMPUTED_VALUE"""),44905.71126606482)</f>
        <v>44905.71127</v>
      </c>
      <c r="G4185" s="24" t="str">
        <f>IFERROR(__xludf.DUMMYFUNCTION("""COMPUTED_VALUE"""),"Dean Chien")</f>
        <v>Dean Chien</v>
      </c>
      <c r="H4185" s="24">
        <f>IFERROR(__xludf.DUMMYFUNCTION("""COMPUTED_VALUE"""),2.0)</f>
        <v>2</v>
      </c>
      <c r="I4185" s="24" t="str">
        <f>IFERROR(__xludf.DUMMYFUNCTION("""COMPUTED_VALUE"""),"Damage/expired/extra")</f>
        <v>Damage/expired/extra</v>
      </c>
    </row>
    <row r="4186">
      <c r="A4186" s="23">
        <f>IFERROR(__xludf.DUMMYFUNCTION("""COMPUTED_VALUE"""),44896.0)</f>
        <v>44896</v>
      </c>
      <c r="B4186" s="24" t="str">
        <f>IFERROR(__xludf.DUMMYFUNCTION("""COMPUTED_VALUE"""),"Obi Nwokoro")</f>
        <v>Obi Nwokoro</v>
      </c>
      <c r="C4186" s="24">
        <f>IFERROR(__xludf.DUMMYFUNCTION("""COMPUTED_VALUE"""),21.0)</f>
        <v>21</v>
      </c>
      <c r="D4186" s="24" t="str">
        <f>IFERROR(__xludf.DUMMYFUNCTION("""COMPUTED_VALUE"""),"Regular (up to 20lbs)")</f>
        <v>Regular (up to 20lbs)</v>
      </c>
      <c r="F4186" s="23">
        <f>IFERROR(__xludf.DUMMYFUNCTION("""COMPUTED_VALUE"""),44905.71263967593)</f>
        <v>44905.71264</v>
      </c>
      <c r="G4186" s="24" t="str">
        <f>IFERROR(__xludf.DUMMYFUNCTION("""COMPUTED_VALUE"""),"Nailah Bishop")</f>
        <v>Nailah Bishop</v>
      </c>
      <c r="H4186" s="24">
        <f>IFERROR(__xludf.DUMMYFUNCTION("""COMPUTED_VALUE"""),11.0)</f>
        <v>11</v>
      </c>
      <c r="I4186" s="24" t="str">
        <f>IFERROR(__xludf.DUMMYFUNCTION("""COMPUTED_VALUE"""),"Regular (up to 20lbs)")</f>
        <v>Regular (up to 20lbs)</v>
      </c>
    </row>
    <row r="4187">
      <c r="A4187" s="23">
        <f>IFERROR(__xludf.DUMMYFUNCTION("""COMPUTED_VALUE"""),44896.0)</f>
        <v>44896</v>
      </c>
      <c r="B4187" s="24" t="str">
        <f>IFERROR(__xludf.DUMMYFUNCTION("""COMPUTED_VALUE"""),"Aziza Frank")</f>
        <v>Aziza Frank</v>
      </c>
      <c r="C4187" s="24">
        <f>IFERROR(__xludf.DUMMYFUNCTION("""COMPUTED_VALUE"""),15.0)</f>
        <v>15</v>
      </c>
      <c r="D4187" s="24" t="str">
        <f>IFERROR(__xludf.DUMMYFUNCTION("""COMPUTED_VALUE"""),"Regular (up to 20lbs)")</f>
        <v>Regular (up to 20lbs)</v>
      </c>
      <c r="F4187" s="23">
        <f>IFERROR(__xludf.DUMMYFUNCTION("""COMPUTED_VALUE"""),44905.71304435185)</f>
        <v>44905.71304</v>
      </c>
      <c r="G4187" s="24" t="str">
        <f>IFERROR(__xludf.DUMMYFUNCTION("""COMPUTED_VALUE"""),"jonyce bland")</f>
        <v>jonyce bland</v>
      </c>
      <c r="H4187" s="24">
        <f>IFERROR(__xludf.DUMMYFUNCTION("""COMPUTED_VALUE"""),11.0)</f>
        <v>11</v>
      </c>
      <c r="I4187" s="24" t="str">
        <f>IFERROR(__xludf.DUMMYFUNCTION("""COMPUTED_VALUE"""),"Regular (up to 20lbs)")</f>
        <v>Regular (up to 20lbs)</v>
      </c>
    </row>
    <row r="4188">
      <c r="A4188" s="23">
        <f>IFERROR(__xludf.DUMMYFUNCTION("""COMPUTED_VALUE"""),44896.0)</f>
        <v>44896</v>
      </c>
      <c r="B4188" s="24" t="str">
        <f>IFERROR(__xludf.DUMMYFUNCTION("""COMPUTED_VALUE"""),"Aziza Frank")</f>
        <v>Aziza Frank</v>
      </c>
      <c r="C4188" s="24">
        <f>IFERROR(__xludf.DUMMYFUNCTION("""COMPUTED_VALUE"""),4.0)</f>
        <v>4</v>
      </c>
      <c r="D4188" s="24" t="str">
        <f>IFERROR(__xludf.DUMMYFUNCTION("""COMPUTED_VALUE"""),"Damage/expired/extra")</f>
        <v>Damage/expired/extra</v>
      </c>
      <c r="F4188" s="23">
        <f>IFERROR(__xludf.DUMMYFUNCTION("""COMPUTED_VALUE"""),44905.72250206019)</f>
        <v>44905.7225</v>
      </c>
      <c r="G4188" s="24" t="str">
        <f>IFERROR(__xludf.DUMMYFUNCTION("""COMPUTED_VALUE"""),"Lynn")</f>
        <v>Lynn</v>
      </c>
      <c r="H4188" s="24">
        <f>IFERROR(__xludf.DUMMYFUNCTION("""COMPUTED_VALUE"""),11.0)</f>
        <v>11</v>
      </c>
      <c r="I4188" s="24" t="str">
        <f>IFERROR(__xludf.DUMMYFUNCTION("""COMPUTED_VALUE"""),"Regular (up to 20lbs)")</f>
        <v>Regular (up to 20lbs)</v>
      </c>
    </row>
    <row r="4189">
      <c r="A4189" s="23">
        <f>IFERROR(__xludf.DUMMYFUNCTION("""COMPUTED_VALUE"""),44896.0)</f>
        <v>44896</v>
      </c>
      <c r="B4189" s="24" t="str">
        <f>IFERROR(__xludf.DUMMYFUNCTION("""COMPUTED_VALUE"""),"Sheniel Black")</f>
        <v>Sheniel Black</v>
      </c>
      <c r="C4189" s="24">
        <f>IFERROR(__xludf.DUMMYFUNCTION("""COMPUTED_VALUE"""),20.0)</f>
        <v>20</v>
      </c>
      <c r="D4189" s="24" t="str">
        <f>IFERROR(__xludf.DUMMYFUNCTION("""COMPUTED_VALUE"""),"Regular (up to 20lbs)")</f>
        <v>Regular (up to 20lbs)</v>
      </c>
      <c r="F4189" s="23">
        <f>IFERROR(__xludf.DUMMYFUNCTION("""COMPUTED_VALUE"""),44905.722645567126)</f>
        <v>44905.72265</v>
      </c>
      <c r="G4189" s="24" t="str">
        <f>IFERROR(__xludf.DUMMYFUNCTION("""COMPUTED_VALUE"""),"Lynnette ")</f>
        <v>Lynnette </v>
      </c>
      <c r="H4189" s="24">
        <f>IFERROR(__xludf.DUMMYFUNCTION("""COMPUTED_VALUE"""),8.0)</f>
        <v>8</v>
      </c>
      <c r="I4189" s="24" t="str">
        <f>IFERROR(__xludf.DUMMYFUNCTION("""COMPUTED_VALUE"""),"Damage/expired/extra")</f>
        <v>Damage/expired/extra</v>
      </c>
    </row>
    <row r="4190">
      <c r="A4190" s="23">
        <f>IFERROR(__xludf.DUMMYFUNCTION("""COMPUTED_VALUE"""),44896.0)</f>
        <v>44896</v>
      </c>
      <c r="B4190" s="24" t="str">
        <f>IFERROR(__xludf.DUMMYFUNCTION("""COMPUTED_VALUE"""),"Sheniel Black")</f>
        <v>Sheniel Black</v>
      </c>
      <c r="C4190" s="24">
        <f>IFERROR(__xludf.DUMMYFUNCTION("""COMPUTED_VALUE"""),2.0)</f>
        <v>2</v>
      </c>
      <c r="D4190" s="24" t="str">
        <f>IFERROR(__xludf.DUMMYFUNCTION("""COMPUTED_VALUE"""),"Damage/expired/extra")</f>
        <v>Damage/expired/extra</v>
      </c>
      <c r="F4190" s="23">
        <f>IFERROR(__xludf.DUMMYFUNCTION("""COMPUTED_VALUE"""),44905.72340013889)</f>
        <v>44905.7234</v>
      </c>
      <c r="G4190" s="24" t="str">
        <f>IFERROR(__xludf.DUMMYFUNCTION("""COMPUTED_VALUE"""),"Beverly Pinn")</f>
        <v>Beverly Pinn</v>
      </c>
      <c r="H4190" s="24">
        <f>IFERROR(__xludf.DUMMYFUNCTION("""COMPUTED_VALUE"""),20.0)</f>
        <v>20</v>
      </c>
      <c r="I4190" s="24" t="str">
        <f>IFERROR(__xludf.DUMMYFUNCTION("""COMPUTED_VALUE"""),"Regular (up to 20lbs)")</f>
        <v>Regular (up to 20lbs)</v>
      </c>
    </row>
    <row r="4191">
      <c r="A4191" s="23">
        <f>IFERROR(__xludf.DUMMYFUNCTION("""COMPUTED_VALUE"""),44896.0)</f>
        <v>44896</v>
      </c>
      <c r="B4191" s="24" t="str">
        <f>IFERROR(__xludf.DUMMYFUNCTION("""COMPUTED_VALUE"""),"Nathaniel McClean")</f>
        <v>Nathaniel McClean</v>
      </c>
      <c r="C4191" s="24">
        <f>IFERROR(__xludf.DUMMYFUNCTION("""COMPUTED_VALUE"""),19.0)</f>
        <v>19</v>
      </c>
      <c r="D4191" s="24" t="str">
        <f>IFERROR(__xludf.DUMMYFUNCTION("""COMPUTED_VALUE"""),"Regular (up to 20lbs)")</f>
        <v>Regular (up to 20lbs)</v>
      </c>
      <c r="F4191" s="23">
        <f>IFERROR(__xludf.DUMMYFUNCTION("""COMPUTED_VALUE"""),44905.72364039352)</f>
        <v>44905.72364</v>
      </c>
      <c r="G4191" s="24" t="str">
        <f>IFERROR(__xludf.DUMMYFUNCTION("""COMPUTED_VALUE"""),"Beverly Pinn")</f>
        <v>Beverly Pinn</v>
      </c>
      <c r="H4191" s="24">
        <f>IFERROR(__xludf.DUMMYFUNCTION("""COMPUTED_VALUE"""),2.0)</f>
        <v>2</v>
      </c>
      <c r="I4191" s="24" t="str">
        <f>IFERROR(__xludf.DUMMYFUNCTION("""COMPUTED_VALUE"""),"Damage/expired/extra")</f>
        <v>Damage/expired/extra</v>
      </c>
    </row>
    <row r="4192">
      <c r="A4192" s="23">
        <f>IFERROR(__xludf.DUMMYFUNCTION("""COMPUTED_VALUE"""),44896.0)</f>
        <v>44896</v>
      </c>
      <c r="B4192" s="24" t="str">
        <f>IFERROR(__xludf.DUMMYFUNCTION("""COMPUTED_VALUE"""),"Nathaniel McClean")</f>
        <v>Nathaniel McClean</v>
      </c>
      <c r="C4192" s="24">
        <f>IFERROR(__xludf.DUMMYFUNCTION("""COMPUTED_VALUE"""),4.0)</f>
        <v>4</v>
      </c>
      <c r="D4192" s="24" t="str">
        <f>IFERROR(__xludf.DUMMYFUNCTION("""COMPUTED_VALUE"""),"Damage/expired/extra")</f>
        <v>Damage/expired/extra</v>
      </c>
      <c r="F4192" s="23">
        <f>IFERROR(__xludf.DUMMYFUNCTION("""COMPUTED_VALUE"""),44906.0)</f>
        <v>44906</v>
      </c>
      <c r="G4192" s="24" t="str">
        <f>IFERROR(__xludf.DUMMYFUNCTION("""COMPUTED_VALUE"""),"Anita Bryant")</f>
        <v>Anita Bryant</v>
      </c>
      <c r="H4192" s="24">
        <f>IFERROR(__xludf.DUMMYFUNCTION("""COMPUTED_VALUE"""),16.0)</f>
        <v>16</v>
      </c>
      <c r="I4192" s="24" t="str">
        <f>IFERROR(__xludf.DUMMYFUNCTION("""COMPUTED_VALUE"""),"Damage/expired/extra")</f>
        <v>Damage/expired/extra</v>
      </c>
    </row>
    <row r="4193">
      <c r="A4193" s="23">
        <f>IFERROR(__xludf.DUMMYFUNCTION("""COMPUTED_VALUE"""),44897.698271215275)</f>
        <v>44897.69827</v>
      </c>
      <c r="B4193" s="24" t="str">
        <f>IFERROR(__xludf.DUMMYFUNCTION("""COMPUTED_VALUE"""),"Sunita pathik")</f>
        <v>Sunita pathik</v>
      </c>
      <c r="C4193" s="24">
        <f>IFERROR(__xludf.DUMMYFUNCTION("""COMPUTED_VALUE"""),13.0)</f>
        <v>13</v>
      </c>
      <c r="D4193" s="24" t="str">
        <f>IFERROR(__xludf.DUMMYFUNCTION("""COMPUTED_VALUE"""),"Regular (up to 20lbs)")</f>
        <v>Regular (up to 20lbs)</v>
      </c>
      <c r="F4193" s="23">
        <f>IFERROR(__xludf.DUMMYFUNCTION("""COMPUTED_VALUE"""),44906.0)</f>
        <v>44906</v>
      </c>
      <c r="G4193" s="24" t="str">
        <f>IFERROR(__xludf.DUMMYFUNCTION("""COMPUTED_VALUE"""),"Juanita Chandler ")</f>
        <v>Juanita Chandler </v>
      </c>
      <c r="H4193" s="24">
        <f>IFERROR(__xludf.DUMMYFUNCTION("""COMPUTED_VALUE"""),20.0)</f>
        <v>20</v>
      </c>
      <c r="I4193" s="24" t="str">
        <f>IFERROR(__xludf.DUMMYFUNCTION("""COMPUTED_VALUE"""),"Regular (up to 20lbs)")</f>
        <v>Regular (up to 20lbs)</v>
      </c>
    </row>
    <row r="4194">
      <c r="A4194" s="23">
        <f>IFERROR(__xludf.DUMMYFUNCTION("""COMPUTED_VALUE"""),44897.71299516204)</f>
        <v>44897.713</v>
      </c>
      <c r="B4194" s="24" t="str">
        <f>IFERROR(__xludf.DUMMYFUNCTION("""COMPUTED_VALUE"""),"Maria Reyes ")</f>
        <v>Maria Reyes </v>
      </c>
      <c r="C4194" s="24">
        <f>IFERROR(__xludf.DUMMYFUNCTION("""COMPUTED_VALUE"""),17.0)</f>
        <v>17</v>
      </c>
      <c r="D4194" s="24" t="str">
        <f>IFERROR(__xludf.DUMMYFUNCTION("""COMPUTED_VALUE"""),"Regular (up to 20lbs)")</f>
        <v>Regular (up to 20lbs)</v>
      </c>
      <c r="F4194" s="23">
        <f>IFERROR(__xludf.DUMMYFUNCTION("""COMPUTED_VALUE"""),44906.0)</f>
        <v>44906</v>
      </c>
      <c r="G4194" s="24" t="str">
        <f>IFERROR(__xludf.DUMMYFUNCTION("""COMPUTED_VALUE"""),"Juanita Chandler ")</f>
        <v>Juanita Chandler </v>
      </c>
      <c r="H4194" s="24">
        <f>IFERROR(__xludf.DUMMYFUNCTION("""COMPUTED_VALUE"""),19.0)</f>
        <v>19</v>
      </c>
      <c r="I4194" s="24" t="str">
        <f>IFERROR(__xludf.DUMMYFUNCTION("""COMPUTED_VALUE"""),"Damage/expired/extra")</f>
        <v>Damage/expired/extra</v>
      </c>
    </row>
    <row r="4195">
      <c r="A4195" s="23">
        <f>IFERROR(__xludf.DUMMYFUNCTION("""COMPUTED_VALUE"""),44897.71524258102)</f>
        <v>44897.71524</v>
      </c>
      <c r="B4195" s="24" t="str">
        <f>IFERROR(__xludf.DUMMYFUNCTION("""COMPUTED_VALUE"""),"Beth Torres")</f>
        <v>Beth Torres</v>
      </c>
      <c r="C4195" s="24">
        <f>IFERROR(__xludf.DUMMYFUNCTION("""COMPUTED_VALUE"""),17.0)</f>
        <v>17</v>
      </c>
      <c r="D4195" s="24" t="str">
        <f>IFERROR(__xludf.DUMMYFUNCTION("""COMPUTED_VALUE"""),"Regular (up to 20lbs)")</f>
        <v>Regular (up to 20lbs)</v>
      </c>
      <c r="F4195" s="23">
        <f>IFERROR(__xludf.DUMMYFUNCTION("""COMPUTED_VALUE"""),44906.61819783564)</f>
        <v>44906.6182</v>
      </c>
      <c r="G4195" s="24" t="str">
        <f>IFERROR(__xludf.DUMMYFUNCTION("""COMPUTED_VALUE"""),"Juanita Chandler ")</f>
        <v>Juanita Chandler </v>
      </c>
      <c r="H4195" s="24">
        <f>IFERROR(__xludf.DUMMYFUNCTION("""COMPUTED_VALUE"""),242.0)</f>
        <v>242</v>
      </c>
      <c r="I4195" s="24" t="str">
        <f>IFERROR(__xludf.DUMMYFUNCTION("""COMPUTED_VALUE"""),"Frozen and assorted ")</f>
        <v>Frozen and assorted </v>
      </c>
    </row>
    <row r="4196">
      <c r="A4196" s="23">
        <f>IFERROR(__xludf.DUMMYFUNCTION("""COMPUTED_VALUE"""),44897.71564835648)</f>
        <v>44897.71565</v>
      </c>
      <c r="B4196" s="24" t="str">
        <f>IFERROR(__xludf.DUMMYFUNCTION("""COMPUTED_VALUE"""),"Beth Torres")</f>
        <v>Beth Torres</v>
      </c>
      <c r="C4196" s="24">
        <f>IFERROR(__xludf.DUMMYFUNCTION("""COMPUTED_VALUE"""),18.0)</f>
        <v>18</v>
      </c>
      <c r="D4196" s="24" t="str">
        <f>IFERROR(__xludf.DUMMYFUNCTION("""COMPUTED_VALUE"""),"Damage/expired/extra")</f>
        <v>Damage/expired/extra</v>
      </c>
      <c r="F4196" s="23">
        <f>IFERROR(__xludf.DUMMYFUNCTION("""COMPUTED_VALUE"""),44906.61916097222)</f>
        <v>44906.61916</v>
      </c>
      <c r="G4196" s="24" t="str">
        <f>IFERROR(__xludf.DUMMYFUNCTION("""COMPUTED_VALUE"""),"JUANITA Chandler ")</f>
        <v>JUANITA Chandler </v>
      </c>
      <c r="H4196" s="24">
        <f>IFERROR(__xludf.DUMMYFUNCTION("""COMPUTED_VALUE"""),216.0)</f>
        <v>216</v>
      </c>
      <c r="I4196" s="24" t="str">
        <f>IFERROR(__xludf.DUMMYFUNCTION("""COMPUTED_VALUE"""),"Assorted Fridge")</f>
        <v>Assorted Fridge</v>
      </c>
    </row>
    <row r="4197">
      <c r="A4197" s="23">
        <f>IFERROR(__xludf.DUMMYFUNCTION("""COMPUTED_VALUE"""),44897.0)</f>
        <v>44897</v>
      </c>
      <c r="B4197" s="24" t="str">
        <f>IFERROR(__xludf.DUMMYFUNCTION("""COMPUTED_VALUE"""),"Theresa Columbus")</f>
        <v>Theresa Columbus</v>
      </c>
      <c r="C4197" s="24">
        <f>IFERROR(__xludf.DUMMYFUNCTION("""COMPUTED_VALUE"""),19.0)</f>
        <v>19</v>
      </c>
      <c r="D4197" s="24" t="str">
        <f>IFERROR(__xludf.DUMMYFUNCTION("""COMPUTED_VALUE"""),"Regular (up to 20lbs)")</f>
        <v>Regular (up to 20lbs)</v>
      </c>
      <c r="F4197" s="23">
        <f>IFERROR(__xludf.DUMMYFUNCTION("""COMPUTED_VALUE"""),44906.621317233796)</f>
        <v>44906.62132</v>
      </c>
      <c r="G4197" s="24" t="str">
        <f>IFERROR(__xludf.DUMMYFUNCTION("""COMPUTED_VALUE"""),"JUANITA Chandler ")</f>
        <v>JUANITA Chandler </v>
      </c>
      <c r="H4197" s="24">
        <f>IFERROR(__xludf.DUMMYFUNCTION("""COMPUTED_VALUE"""),236.0)</f>
        <v>236</v>
      </c>
      <c r="I4197" s="24" t="str">
        <f>IFERROR(__xludf.DUMMYFUNCTION("""COMPUTED_VALUE"""),"Assorted Dry")</f>
        <v>Assorted Dry</v>
      </c>
    </row>
    <row r="4198">
      <c r="A4198" s="23">
        <f>IFERROR(__xludf.DUMMYFUNCTION("""COMPUTED_VALUE"""),44897.0)</f>
        <v>44897</v>
      </c>
      <c r="B4198" s="24" t="str">
        <f>IFERROR(__xludf.DUMMYFUNCTION("""COMPUTED_VALUE"""),"Theresa Columbus")</f>
        <v>Theresa Columbus</v>
      </c>
      <c r="C4198" s="24">
        <f>IFERROR(__xludf.DUMMYFUNCTION("""COMPUTED_VALUE"""),4.0)</f>
        <v>4</v>
      </c>
      <c r="D4198" s="24" t="str">
        <f>IFERROR(__xludf.DUMMYFUNCTION("""COMPUTED_VALUE"""),"Damage/expired/extra")</f>
        <v>Damage/expired/extra</v>
      </c>
      <c r="F4198" s="23">
        <f>IFERROR(__xludf.DUMMYFUNCTION("""COMPUTED_VALUE"""),44906.62223412037)</f>
        <v>44906.62223</v>
      </c>
      <c r="G4198" s="24" t="str">
        <f>IFERROR(__xludf.DUMMYFUNCTION("""COMPUTED_VALUE"""),"JUANITA Chandler ")</f>
        <v>JUANITA Chandler </v>
      </c>
      <c r="H4198" s="24">
        <f>IFERROR(__xludf.DUMMYFUNCTION("""COMPUTED_VALUE"""),215.0)</f>
        <v>215</v>
      </c>
      <c r="I4198" s="24" t="str">
        <f>IFERROR(__xludf.DUMMYFUNCTION("""COMPUTED_VALUE"""),"Assorted Dry")</f>
        <v>Assorted Dry</v>
      </c>
    </row>
    <row r="4199">
      <c r="A4199" s="23">
        <f>IFERROR(__xludf.DUMMYFUNCTION("""COMPUTED_VALUE"""),44897.0)</f>
        <v>44897</v>
      </c>
      <c r="B4199" s="24" t="str">
        <f>IFERROR(__xludf.DUMMYFUNCTION("""COMPUTED_VALUE"""),"Juanita Chandler ")</f>
        <v>Juanita Chandler </v>
      </c>
      <c r="C4199" s="24">
        <f>IFERROR(__xludf.DUMMYFUNCTION("""COMPUTED_VALUE"""),18.0)</f>
        <v>18</v>
      </c>
      <c r="D4199" s="24" t="str">
        <f>IFERROR(__xludf.DUMMYFUNCTION("""COMPUTED_VALUE"""),"Regular (up to 20lbs)")</f>
        <v>Regular (up to 20lbs)</v>
      </c>
      <c r="F4199" s="23">
        <f>IFERROR(__xludf.DUMMYFUNCTION("""COMPUTED_VALUE"""),44906.62973746528)</f>
        <v>44906.62974</v>
      </c>
      <c r="G4199" s="24" t="str">
        <f>IFERROR(__xludf.DUMMYFUNCTION("""COMPUTED_VALUE"""),"JUANITA Chandler ")</f>
        <v>JUANITA Chandler </v>
      </c>
      <c r="H4199" s="24">
        <f>IFERROR(__xludf.DUMMYFUNCTION("""COMPUTED_VALUE"""),53.0)</f>
        <v>53</v>
      </c>
      <c r="I4199" s="24" t="str">
        <f>IFERROR(__xludf.DUMMYFUNCTION("""COMPUTED_VALUE"""),"Homewood and Friends ")</f>
        <v>Homewood and Friends </v>
      </c>
    </row>
    <row r="4200">
      <c r="A4200" s="23">
        <f>IFERROR(__xludf.DUMMYFUNCTION("""COMPUTED_VALUE"""),44897.0)</f>
        <v>44897</v>
      </c>
      <c r="B4200" s="24" t="str">
        <f>IFERROR(__xludf.DUMMYFUNCTION("""COMPUTED_VALUE"""),"Juanita Chandler ")</f>
        <v>Juanita Chandler </v>
      </c>
      <c r="C4200" s="24">
        <f>IFERROR(__xludf.DUMMYFUNCTION("""COMPUTED_VALUE"""),13.0)</f>
        <v>13</v>
      </c>
      <c r="D4200" s="24" t="str">
        <f>IFERROR(__xludf.DUMMYFUNCTION("""COMPUTED_VALUE"""),"Damage/expired/extra")</f>
        <v>Damage/expired/extra</v>
      </c>
      <c r="F4200" s="23">
        <f>IFERROR(__xludf.DUMMYFUNCTION("""COMPUTED_VALUE"""),44906.63010890046)</f>
        <v>44906.63011</v>
      </c>
      <c r="G4200" s="24" t="str">
        <f>IFERROR(__xludf.DUMMYFUNCTION("""COMPUTED_VALUE"""),"Carla")</f>
        <v>Carla</v>
      </c>
      <c r="H4200" s="24">
        <f>IFERROR(__xludf.DUMMYFUNCTION("""COMPUTED_VALUE"""),16.0)</f>
        <v>16</v>
      </c>
      <c r="I4200" s="24" t="str">
        <f>IFERROR(__xludf.DUMMYFUNCTION("""COMPUTED_VALUE"""),"Regular (up to 20lbs)")</f>
        <v>Regular (up to 20lbs)</v>
      </c>
    </row>
    <row r="4201">
      <c r="A4201" s="23">
        <f>IFERROR(__xludf.DUMMYFUNCTION("""COMPUTED_VALUE"""),44897.0)</f>
        <v>44897</v>
      </c>
      <c r="B4201" s="24" t="str">
        <f>IFERROR(__xludf.DUMMYFUNCTION("""COMPUTED_VALUE"""),"Lynette Cromer")</f>
        <v>Lynette Cromer</v>
      </c>
      <c r="C4201" s="24">
        <f>IFERROR(__xludf.DUMMYFUNCTION("""COMPUTED_VALUE"""),20.0)</f>
        <v>20</v>
      </c>
      <c r="D4201" s="24" t="str">
        <f>IFERROR(__xludf.DUMMYFUNCTION("""COMPUTED_VALUE"""),"Regular (up to 20lbs)")</f>
        <v>Regular (up to 20lbs)</v>
      </c>
      <c r="F4201" s="23">
        <f>IFERROR(__xludf.DUMMYFUNCTION("""COMPUTED_VALUE"""),44906.630219652776)</f>
        <v>44906.63022</v>
      </c>
      <c r="G4201" s="24" t="str">
        <f>IFERROR(__xludf.DUMMYFUNCTION("""COMPUTED_VALUE"""),"JUANITA Chandler ")</f>
        <v>JUANITA Chandler </v>
      </c>
      <c r="H4201" s="24">
        <f>IFERROR(__xludf.DUMMYFUNCTION("""COMPUTED_VALUE"""),296.0)</f>
        <v>296</v>
      </c>
      <c r="I4201" s="24" t="str">
        <f>IFERROR(__xludf.DUMMYFUNCTION("""COMPUTED_VALUE"""),"Amazon")</f>
        <v>Amazon</v>
      </c>
    </row>
    <row r="4202">
      <c r="A4202" s="23">
        <f>IFERROR(__xludf.DUMMYFUNCTION("""COMPUTED_VALUE"""),44897.0)</f>
        <v>44897</v>
      </c>
      <c r="B4202" s="24" t="str">
        <f>IFERROR(__xludf.DUMMYFUNCTION("""COMPUTED_VALUE"""),"Lynette Cromer")</f>
        <v>Lynette Cromer</v>
      </c>
      <c r="C4202" s="24">
        <f>IFERROR(__xludf.DUMMYFUNCTION("""COMPUTED_VALUE"""),23.0)</f>
        <v>23</v>
      </c>
      <c r="D4202" s="24" t="str">
        <f>IFERROR(__xludf.DUMMYFUNCTION("""COMPUTED_VALUE"""),"Damage/expired/extra")</f>
        <v>Damage/expired/extra</v>
      </c>
      <c r="F4202" s="23">
        <f>IFERROR(__xludf.DUMMYFUNCTION("""COMPUTED_VALUE"""),44906.64655121528)</f>
        <v>44906.64655</v>
      </c>
      <c r="G4202" s="24" t="str">
        <f>IFERROR(__xludf.DUMMYFUNCTION("""COMPUTED_VALUE"""),"JUANITA Chandler ")</f>
        <v>JUANITA Chandler </v>
      </c>
      <c r="H4202" s="24">
        <f>IFERROR(__xludf.DUMMYFUNCTION("""COMPUTED_VALUE"""),587.0)</f>
        <v>587</v>
      </c>
      <c r="I4202" s="24" t="str">
        <f>IFERROR(__xludf.DUMMYFUNCTION("""COMPUTED_VALUE"""),"Amazon")</f>
        <v>Amazon</v>
      </c>
    </row>
    <row r="4203">
      <c r="A4203" s="23">
        <f>IFERROR(__xludf.DUMMYFUNCTION("""COMPUTED_VALUE"""),44898.249125902774)</f>
        <v>44898.24913</v>
      </c>
      <c r="B4203" s="24" t="str">
        <f>IFERROR(__xludf.DUMMYFUNCTION("""COMPUTED_VALUE"""),"Dorja ")</f>
        <v>Dorja </v>
      </c>
      <c r="C4203" s="24">
        <f>IFERROR(__xludf.DUMMYFUNCTION("""COMPUTED_VALUE"""),22.0)</f>
        <v>22</v>
      </c>
      <c r="D4203" s="24" t="str">
        <f>IFERROR(__xludf.DUMMYFUNCTION("""COMPUTED_VALUE"""),"Regular (up to 20lbs)")</f>
        <v>Regular (up to 20lbs)</v>
      </c>
      <c r="F4203" s="23">
        <f>IFERROR(__xludf.DUMMYFUNCTION("""COMPUTED_VALUE"""),44906.64707142361)</f>
        <v>44906.64707</v>
      </c>
      <c r="G4203" s="24" t="str">
        <f>IFERROR(__xludf.DUMMYFUNCTION("""COMPUTED_VALUE"""),"JUANITA Chandler ")</f>
        <v>JUANITA Chandler </v>
      </c>
      <c r="H4203" s="24">
        <f>IFERROR(__xludf.DUMMYFUNCTION("""COMPUTED_VALUE"""),210.0)</f>
        <v>210</v>
      </c>
      <c r="I4203" s="24" t="str">
        <f>IFERROR(__xludf.DUMMYFUNCTION("""COMPUTED_VALUE"""),"Amazon")</f>
        <v>Amazon</v>
      </c>
    </row>
    <row r="4204">
      <c r="A4204" s="23">
        <f>IFERROR(__xludf.DUMMYFUNCTION("""COMPUTED_VALUE"""),44898.24924754629)</f>
        <v>44898.24925</v>
      </c>
      <c r="B4204" s="24" t="str">
        <f>IFERROR(__xludf.DUMMYFUNCTION("""COMPUTED_VALUE"""),"Dorja ")</f>
        <v>Dorja </v>
      </c>
      <c r="C4204" s="24">
        <f>IFERROR(__xludf.DUMMYFUNCTION("""COMPUTED_VALUE"""),35.0)</f>
        <v>35</v>
      </c>
      <c r="D4204" s="24" t="str">
        <f>IFERROR(__xludf.DUMMYFUNCTION("""COMPUTED_VALUE"""),"Damage/expired/extra")</f>
        <v>Damage/expired/extra</v>
      </c>
      <c r="F4204" s="23">
        <f>IFERROR(__xludf.DUMMYFUNCTION("""COMPUTED_VALUE"""),44906.64747621528)</f>
        <v>44906.64748</v>
      </c>
      <c r="G4204" s="24" t="str">
        <f>IFERROR(__xludf.DUMMYFUNCTION("""COMPUTED_VALUE"""),"JUANITA Chandler ")</f>
        <v>JUANITA Chandler </v>
      </c>
      <c r="H4204" s="24">
        <f>IFERROR(__xludf.DUMMYFUNCTION("""COMPUTED_VALUE"""),914.0)</f>
        <v>914</v>
      </c>
      <c r="I4204" s="24" t="str">
        <f>IFERROR(__xludf.DUMMYFUNCTION("""COMPUTED_VALUE"""),"Amazon")</f>
        <v>Amazon</v>
      </c>
    </row>
    <row r="4205">
      <c r="A4205" s="23">
        <f>IFERROR(__xludf.DUMMYFUNCTION("""COMPUTED_VALUE"""),44898.0)</f>
        <v>44898</v>
      </c>
      <c r="B4205" s="24" t="str">
        <f>IFERROR(__xludf.DUMMYFUNCTION("""COMPUTED_VALUE"""),"Emily Baca")</f>
        <v>Emily Baca</v>
      </c>
      <c r="C4205" s="24">
        <f>IFERROR(__xludf.DUMMYFUNCTION("""COMPUTED_VALUE"""),8.0)</f>
        <v>8</v>
      </c>
      <c r="D4205" s="24" t="str">
        <f>IFERROR(__xludf.DUMMYFUNCTION("""COMPUTED_VALUE"""),"Regular (up to 20lbs)")</f>
        <v>Regular (up to 20lbs)</v>
      </c>
      <c r="F4205" s="23">
        <f>IFERROR(__xludf.DUMMYFUNCTION("""COMPUTED_VALUE"""),44906.64804465277)</f>
        <v>44906.64804</v>
      </c>
      <c r="G4205" s="24" t="str">
        <f>IFERROR(__xludf.DUMMYFUNCTION("""COMPUTED_VALUE"""),"JUANITA Chandler ")</f>
        <v>JUANITA Chandler </v>
      </c>
      <c r="H4205" s="24">
        <f>IFERROR(__xludf.DUMMYFUNCTION("""COMPUTED_VALUE"""),748.0)</f>
        <v>748</v>
      </c>
      <c r="I4205" s="24" t="str">
        <f>IFERROR(__xludf.DUMMYFUNCTION("""COMPUTED_VALUE"""),"Amazon")</f>
        <v>Amazon</v>
      </c>
    </row>
    <row r="4206">
      <c r="A4206" s="23">
        <f>IFERROR(__xludf.DUMMYFUNCTION("""COMPUTED_VALUE"""),44898.0)</f>
        <v>44898</v>
      </c>
      <c r="B4206" s="24" t="str">
        <f>IFERROR(__xludf.DUMMYFUNCTION("""COMPUTED_VALUE"""),"Emily Baca")</f>
        <v>Emily Baca</v>
      </c>
      <c r="C4206" s="24">
        <f>IFERROR(__xludf.DUMMYFUNCTION("""COMPUTED_VALUE"""),9.0)</f>
        <v>9</v>
      </c>
      <c r="D4206" s="24" t="str">
        <f>IFERROR(__xludf.DUMMYFUNCTION("""COMPUTED_VALUE"""),"Damage/expired/extra")</f>
        <v>Damage/expired/extra</v>
      </c>
      <c r="F4206" s="23">
        <f>IFERROR(__xludf.DUMMYFUNCTION("""COMPUTED_VALUE"""),44906.654959259264)</f>
        <v>44906.65496</v>
      </c>
      <c r="G4206" s="24" t="str">
        <f>IFERROR(__xludf.DUMMYFUNCTION("""COMPUTED_VALUE"""),"Alex")</f>
        <v>Alex</v>
      </c>
      <c r="H4206" s="24">
        <f>IFERROR(__xludf.DUMMYFUNCTION("""COMPUTED_VALUE"""),20.0)</f>
        <v>20</v>
      </c>
      <c r="I4206" s="24" t="str">
        <f>IFERROR(__xludf.DUMMYFUNCTION("""COMPUTED_VALUE"""),"Regular (up to 20lbs)")</f>
        <v>Regular (up to 20lbs)</v>
      </c>
    </row>
    <row r="4207">
      <c r="A4207" s="23">
        <f>IFERROR(__xludf.DUMMYFUNCTION("""COMPUTED_VALUE"""),44898.0)</f>
        <v>44898</v>
      </c>
      <c r="B4207" s="24" t="str">
        <f>IFERROR(__xludf.DUMMYFUNCTION("""COMPUTED_VALUE"""),"Kelly Chen")</f>
        <v>Kelly Chen</v>
      </c>
      <c r="C4207" s="24">
        <f>IFERROR(__xludf.DUMMYFUNCTION("""COMPUTED_VALUE"""),20.0)</f>
        <v>20</v>
      </c>
      <c r="D4207" s="24" t="str">
        <f>IFERROR(__xludf.DUMMYFUNCTION("""COMPUTED_VALUE"""),"Regular (up to 20lbs)")</f>
        <v>Regular (up to 20lbs)</v>
      </c>
      <c r="F4207" s="23">
        <f>IFERROR(__xludf.DUMMYFUNCTION("""COMPUTED_VALUE"""),44906.66182414352)</f>
        <v>44906.66182</v>
      </c>
      <c r="G4207" s="24" t="str">
        <f>IFERROR(__xludf.DUMMYFUNCTION("""COMPUTED_VALUE"""),"Denise Rivers")</f>
        <v>Denise Rivers</v>
      </c>
      <c r="H4207" s="24">
        <f>IFERROR(__xludf.DUMMYFUNCTION("""COMPUTED_VALUE"""),20.0)</f>
        <v>20</v>
      </c>
      <c r="I4207" s="24" t="str">
        <f>IFERROR(__xludf.DUMMYFUNCTION("""COMPUTED_VALUE"""),"Regular (up to 20lbs)")</f>
        <v>Regular (up to 20lbs)</v>
      </c>
    </row>
    <row r="4208">
      <c r="A4208" s="23">
        <f>IFERROR(__xludf.DUMMYFUNCTION("""COMPUTED_VALUE"""),44898.0)</f>
        <v>44898</v>
      </c>
      <c r="B4208" s="24" t="str">
        <f>IFERROR(__xludf.DUMMYFUNCTION("""COMPUTED_VALUE"""),"Kelly Chen")</f>
        <v>Kelly Chen</v>
      </c>
      <c r="C4208" s="24">
        <f>IFERROR(__xludf.DUMMYFUNCTION("""COMPUTED_VALUE"""),3.0)</f>
        <v>3</v>
      </c>
      <c r="D4208" s="24" t="str">
        <f>IFERROR(__xludf.DUMMYFUNCTION("""COMPUTED_VALUE"""),"Damage/expired/extra")</f>
        <v>Damage/expired/extra</v>
      </c>
      <c r="F4208" s="23">
        <f>IFERROR(__xludf.DUMMYFUNCTION("""COMPUTED_VALUE"""),44906.66209415509)</f>
        <v>44906.66209</v>
      </c>
      <c r="G4208" s="24" t="str">
        <f>IFERROR(__xludf.DUMMYFUNCTION("""COMPUTED_VALUE"""),"Denise Rivers")</f>
        <v>Denise Rivers</v>
      </c>
      <c r="H4208" s="24">
        <f>IFERROR(__xludf.DUMMYFUNCTION("""COMPUTED_VALUE"""),44.0)</f>
        <v>44</v>
      </c>
      <c r="I4208" s="24" t="str">
        <f>IFERROR(__xludf.DUMMYFUNCTION("""COMPUTED_VALUE"""),"Damage/expired/extra")</f>
        <v>Damage/expired/extra</v>
      </c>
    </row>
    <row r="4209">
      <c r="A4209" s="23">
        <f>IFERROR(__xludf.DUMMYFUNCTION("""COMPUTED_VALUE"""),44898.0)</f>
        <v>44898</v>
      </c>
      <c r="B4209" s="24" t="str">
        <f>IFERROR(__xludf.DUMMYFUNCTION("""COMPUTED_VALUE"""),"Nicolle Diaz")</f>
        <v>Nicolle Diaz</v>
      </c>
      <c r="C4209" s="24">
        <f>IFERROR(__xludf.DUMMYFUNCTION("""COMPUTED_VALUE"""),17.0)</f>
        <v>17</v>
      </c>
      <c r="D4209" s="24" t="str">
        <f>IFERROR(__xludf.DUMMYFUNCTION("""COMPUTED_VALUE"""),"Regular (up to 20lbs)")</f>
        <v>Regular (up to 20lbs)</v>
      </c>
      <c r="F4209" s="23">
        <f>IFERROR(__xludf.DUMMYFUNCTION("""COMPUTED_VALUE"""),44906.66503967593)</f>
        <v>44906.66504</v>
      </c>
      <c r="G4209" s="24" t="str">
        <f>IFERROR(__xludf.DUMMYFUNCTION("""COMPUTED_VALUE"""),"Kate Weeks")</f>
        <v>Kate Weeks</v>
      </c>
      <c r="H4209" s="24">
        <f>IFERROR(__xludf.DUMMYFUNCTION("""COMPUTED_VALUE"""),20.0)</f>
        <v>20</v>
      </c>
      <c r="I4209" s="24" t="str">
        <f>IFERROR(__xludf.DUMMYFUNCTION("""COMPUTED_VALUE"""),"Regular (up to 20lbs)")</f>
        <v>Regular (up to 20lbs)</v>
      </c>
    </row>
    <row r="4210">
      <c r="A4210" s="23">
        <f>IFERROR(__xludf.DUMMYFUNCTION("""COMPUTED_VALUE"""),44898.0)</f>
        <v>44898</v>
      </c>
      <c r="B4210" s="24" t="str">
        <f>IFERROR(__xludf.DUMMYFUNCTION("""COMPUTED_VALUE"""),"Nicolle Diaz")</f>
        <v>Nicolle Diaz</v>
      </c>
      <c r="C4210" s="24">
        <f>IFERROR(__xludf.DUMMYFUNCTION("""COMPUTED_VALUE"""),5.0)</f>
        <v>5</v>
      </c>
      <c r="D4210" s="24" t="str">
        <f>IFERROR(__xludf.DUMMYFUNCTION("""COMPUTED_VALUE"""),"Damage/expired/extra")</f>
        <v>Damage/expired/extra</v>
      </c>
      <c r="F4210" s="23">
        <f>IFERROR(__xludf.DUMMYFUNCTION("""COMPUTED_VALUE"""),44906.6651984838)</f>
        <v>44906.6652</v>
      </c>
      <c r="G4210" s="24" t="str">
        <f>IFERROR(__xludf.DUMMYFUNCTION("""COMPUTED_VALUE"""),"Kate Weeks")</f>
        <v>Kate Weeks</v>
      </c>
      <c r="H4210" s="24">
        <f>IFERROR(__xludf.DUMMYFUNCTION("""COMPUTED_VALUE"""),35.0)</f>
        <v>35</v>
      </c>
      <c r="I4210" s="24" t="str">
        <f>IFERROR(__xludf.DUMMYFUNCTION("""COMPUTED_VALUE"""),"Damage/expired/extra")</f>
        <v>Damage/expired/extra</v>
      </c>
    </row>
    <row r="4211">
      <c r="A4211" s="23">
        <f>IFERROR(__xludf.DUMMYFUNCTION("""COMPUTED_VALUE"""),44898.70845907408)</f>
        <v>44898.70846</v>
      </c>
      <c r="B4211" s="24" t="str">
        <f>IFERROR(__xludf.DUMMYFUNCTION("""COMPUTED_VALUE"""),"Daniel Jin")</f>
        <v>Daniel Jin</v>
      </c>
      <c r="C4211" s="24">
        <f>IFERROR(__xludf.DUMMYFUNCTION("""COMPUTED_VALUE"""),10.0)</f>
        <v>10</v>
      </c>
      <c r="D4211" s="24" t="str">
        <f>IFERROR(__xludf.DUMMYFUNCTION("""COMPUTED_VALUE"""),"Regular (up to 20lbs)")</f>
        <v>Regular (up to 20lbs)</v>
      </c>
      <c r="F4211" s="23">
        <f>IFERROR(__xludf.DUMMYFUNCTION("""COMPUTED_VALUE"""),44906.6651991551)</f>
        <v>44906.6652</v>
      </c>
      <c r="G4211" s="24" t="str">
        <f>IFERROR(__xludf.DUMMYFUNCTION("""COMPUTED_VALUE"""),"Anita Bryant")</f>
        <v>Anita Bryant</v>
      </c>
      <c r="H4211" s="24">
        <f>IFERROR(__xludf.DUMMYFUNCTION("""COMPUTED_VALUE"""),17.0)</f>
        <v>17</v>
      </c>
      <c r="I4211" s="24" t="str">
        <f>IFERROR(__xludf.DUMMYFUNCTION("""COMPUTED_VALUE"""),"Regular (up to 20lbs)")</f>
        <v>Regular (up to 20lbs)</v>
      </c>
    </row>
    <row r="4212">
      <c r="A4212" s="23">
        <f>IFERROR(__xludf.DUMMYFUNCTION("""COMPUTED_VALUE"""),44898.70858770834)</f>
        <v>44898.70859</v>
      </c>
      <c r="B4212" s="24" t="str">
        <f>IFERROR(__xludf.DUMMYFUNCTION("""COMPUTED_VALUE"""),"Daniel Jin")</f>
        <v>Daniel Jin</v>
      </c>
      <c r="C4212" s="24">
        <f>IFERROR(__xludf.DUMMYFUNCTION("""COMPUTED_VALUE"""),3.0)</f>
        <v>3</v>
      </c>
      <c r="D4212" s="24" t="str">
        <f>IFERROR(__xludf.DUMMYFUNCTION("""COMPUTED_VALUE"""),"Damage/expired/extra")</f>
        <v>Damage/expired/extra</v>
      </c>
      <c r="F4212" s="23">
        <f>IFERROR(__xludf.DUMMYFUNCTION("""COMPUTED_VALUE"""),44906.66748589121)</f>
        <v>44906.66749</v>
      </c>
      <c r="G4212" s="24" t="str">
        <f>IFERROR(__xludf.DUMMYFUNCTION("""COMPUTED_VALUE"""),"Zoe")</f>
        <v>Zoe</v>
      </c>
      <c r="H4212" s="24">
        <f>IFERROR(__xludf.DUMMYFUNCTION("""COMPUTED_VALUE"""),8.0)</f>
        <v>8</v>
      </c>
      <c r="I4212" s="24" t="str">
        <f>IFERROR(__xludf.DUMMYFUNCTION("""COMPUTED_VALUE"""),"Regular (up to 20lbs)")</f>
        <v>Regular (up to 20lbs)</v>
      </c>
    </row>
    <row r="4213">
      <c r="A4213" s="23">
        <f>IFERROR(__xludf.DUMMYFUNCTION("""COMPUTED_VALUE"""),44898.70890042824)</f>
        <v>44898.7089</v>
      </c>
      <c r="B4213" s="24" t="str">
        <f>IFERROR(__xludf.DUMMYFUNCTION("""COMPUTED_VALUE"""),"Justin Zhong")</f>
        <v>Justin Zhong</v>
      </c>
      <c r="C4213" s="24">
        <f>IFERROR(__xludf.DUMMYFUNCTION("""COMPUTED_VALUE"""),18.0)</f>
        <v>18</v>
      </c>
      <c r="D4213" s="24" t="str">
        <f>IFERROR(__xludf.DUMMYFUNCTION("""COMPUTED_VALUE"""),"Regular (up to 20lbs)")</f>
        <v>Regular (up to 20lbs)</v>
      </c>
      <c r="F4213" s="23">
        <f>IFERROR(__xludf.DUMMYFUNCTION("""COMPUTED_VALUE"""),44906.66798931713)</f>
        <v>44906.66799</v>
      </c>
      <c r="G4213" s="24" t="str">
        <f>IFERROR(__xludf.DUMMYFUNCTION("""COMPUTED_VALUE"""),"Kaneesha ")</f>
        <v>Kaneesha </v>
      </c>
      <c r="H4213" s="24">
        <f>IFERROR(__xludf.DUMMYFUNCTION("""COMPUTED_VALUE"""),20.0)</f>
        <v>20</v>
      </c>
      <c r="I4213" s="24" t="str">
        <f>IFERROR(__xludf.DUMMYFUNCTION("""COMPUTED_VALUE"""),"Regular (up to 20lbs)")</f>
        <v>Regular (up to 20lbs)</v>
      </c>
    </row>
    <row r="4214">
      <c r="A4214" s="23">
        <f>IFERROR(__xludf.DUMMYFUNCTION("""COMPUTED_VALUE"""),44898.70995361111)</f>
        <v>44898.70995</v>
      </c>
      <c r="B4214" s="24" t="str">
        <f>IFERROR(__xludf.DUMMYFUNCTION("""COMPUTED_VALUE"""),"elena porras")</f>
        <v>elena porras</v>
      </c>
      <c r="C4214" s="24">
        <f>IFERROR(__xludf.DUMMYFUNCTION("""COMPUTED_VALUE"""),5.0)</f>
        <v>5</v>
      </c>
      <c r="D4214" s="24" t="str">
        <f>IFERROR(__xludf.DUMMYFUNCTION("""COMPUTED_VALUE"""),"Regular (up to 20lbs)")</f>
        <v>Regular (up to 20lbs)</v>
      </c>
      <c r="F4214" s="23">
        <f>IFERROR(__xludf.DUMMYFUNCTION("""COMPUTED_VALUE"""),44906.66814819445)</f>
        <v>44906.66815</v>
      </c>
      <c r="G4214" s="24" t="str">
        <f>IFERROR(__xludf.DUMMYFUNCTION("""COMPUTED_VALUE"""),"Kaneesha ")</f>
        <v>Kaneesha </v>
      </c>
      <c r="H4214" s="24">
        <f>IFERROR(__xludf.DUMMYFUNCTION("""COMPUTED_VALUE"""),16.0)</f>
        <v>16</v>
      </c>
      <c r="I4214" s="24" t="str">
        <f>IFERROR(__xludf.DUMMYFUNCTION("""COMPUTED_VALUE"""),"Damage/expired/extra")</f>
        <v>Damage/expired/extra</v>
      </c>
    </row>
    <row r="4215">
      <c r="A4215" s="23">
        <f>IFERROR(__xludf.DUMMYFUNCTION("""COMPUTED_VALUE"""),44898.710074305556)</f>
        <v>44898.71007</v>
      </c>
      <c r="B4215" s="24" t="str">
        <f>IFERROR(__xludf.DUMMYFUNCTION("""COMPUTED_VALUE"""),"jonyce bland ")</f>
        <v>jonyce bland </v>
      </c>
      <c r="C4215" s="24">
        <f>IFERROR(__xludf.DUMMYFUNCTION("""COMPUTED_VALUE"""),10.0)</f>
        <v>10</v>
      </c>
      <c r="D4215" s="24" t="str">
        <f>IFERROR(__xludf.DUMMYFUNCTION("""COMPUTED_VALUE"""),"Regular (up to 20lbs)")</f>
        <v>Regular (up to 20lbs)</v>
      </c>
      <c r="F4215" s="23">
        <f>IFERROR(__xludf.DUMMYFUNCTION("""COMPUTED_VALUE"""),44906.66881806713)</f>
        <v>44906.66882</v>
      </c>
      <c r="G4215" s="24" t="str">
        <f>IFERROR(__xludf.DUMMYFUNCTION("""COMPUTED_VALUE"""),"Dorja ")</f>
        <v>Dorja </v>
      </c>
      <c r="H4215" s="24">
        <f>IFERROR(__xludf.DUMMYFUNCTION("""COMPUTED_VALUE"""),36.0)</f>
        <v>36</v>
      </c>
      <c r="I4215" s="24" t="str">
        <f>IFERROR(__xludf.DUMMYFUNCTION("""COMPUTED_VALUE"""),"Damage/expired/extra")</f>
        <v>Damage/expired/extra</v>
      </c>
    </row>
    <row r="4216">
      <c r="A4216" s="23">
        <f>IFERROR(__xludf.DUMMYFUNCTION("""COMPUTED_VALUE"""),44898.71010493056)</f>
        <v>44898.7101</v>
      </c>
      <c r="B4216" s="24" t="str">
        <f>IFERROR(__xludf.DUMMYFUNCTION("""COMPUTED_VALUE"""),"Elena porras ")</f>
        <v>Elena porras </v>
      </c>
      <c r="C4216" s="24">
        <f>IFERROR(__xludf.DUMMYFUNCTION("""COMPUTED_VALUE"""),6.0)</f>
        <v>6</v>
      </c>
      <c r="D4216" s="24" t="str">
        <f>IFERROR(__xludf.DUMMYFUNCTION("""COMPUTED_VALUE"""),"Damage/expired/extra")</f>
        <v>Damage/expired/extra</v>
      </c>
      <c r="F4216" s="23">
        <f>IFERROR(__xludf.DUMMYFUNCTION("""COMPUTED_VALUE"""),44906.675160115745)</f>
        <v>44906.67516</v>
      </c>
      <c r="G4216" s="24" t="str">
        <f>IFERROR(__xludf.DUMMYFUNCTION("""COMPUTED_VALUE"""),"James williams")</f>
        <v>James williams</v>
      </c>
      <c r="H4216" s="24">
        <f>IFERROR(__xludf.DUMMYFUNCTION("""COMPUTED_VALUE"""),20.0)</f>
        <v>20</v>
      </c>
      <c r="I4216" s="24" t="str">
        <f>IFERROR(__xludf.DUMMYFUNCTION("""COMPUTED_VALUE"""),"Regular (up to 20lbs)")</f>
        <v>Regular (up to 20lbs)</v>
      </c>
    </row>
    <row r="4217">
      <c r="A4217" s="23">
        <f>IFERROR(__xludf.DUMMYFUNCTION("""COMPUTED_VALUE"""),44898.710182696756)</f>
        <v>44898.71018</v>
      </c>
      <c r="B4217" s="24" t="str">
        <f>IFERROR(__xludf.DUMMYFUNCTION("""COMPUTED_VALUE"""),"Emily Ma")</f>
        <v>Emily Ma</v>
      </c>
      <c r="C4217" s="24">
        <f>IFERROR(__xludf.DUMMYFUNCTION("""COMPUTED_VALUE"""),15.0)</f>
        <v>15</v>
      </c>
      <c r="D4217" s="24" t="str">
        <f>IFERROR(__xludf.DUMMYFUNCTION("""COMPUTED_VALUE"""),"Regular (up to 20lbs)")</f>
        <v>Regular (up to 20lbs)</v>
      </c>
      <c r="F4217" s="23">
        <f>IFERROR(__xludf.DUMMYFUNCTION("""COMPUTED_VALUE"""),44906.68071814815)</f>
        <v>44906.68072</v>
      </c>
      <c r="G4217" s="24" t="str">
        <f>IFERROR(__xludf.DUMMYFUNCTION("""COMPUTED_VALUE"""),"Zoe")</f>
        <v>Zoe</v>
      </c>
      <c r="H4217" s="24">
        <f>IFERROR(__xludf.DUMMYFUNCTION("""COMPUTED_VALUE"""),1268.0)</f>
        <v>1268</v>
      </c>
      <c r="I4217" s="24" t="str">
        <f>IFERROR(__xludf.DUMMYFUNCTION("""COMPUTED_VALUE"""),"Assorted Fridge")</f>
        <v>Assorted Fridge</v>
      </c>
    </row>
    <row r="4218">
      <c r="A4218" s="23">
        <f>IFERROR(__xludf.DUMMYFUNCTION("""COMPUTED_VALUE"""),44898.71020325232)</f>
        <v>44898.7102</v>
      </c>
      <c r="B4218" s="24" t="str">
        <f>IFERROR(__xludf.DUMMYFUNCTION("""COMPUTED_VALUE"""),"jonyce bland")</f>
        <v>jonyce bland</v>
      </c>
      <c r="C4218" s="24">
        <f>IFERROR(__xludf.DUMMYFUNCTION("""COMPUTED_VALUE"""),1.0)</f>
        <v>1</v>
      </c>
      <c r="D4218" s="24" t="str">
        <f>IFERROR(__xludf.DUMMYFUNCTION("""COMPUTED_VALUE"""),"Damage/expired/extra")</f>
        <v>Damage/expired/extra</v>
      </c>
      <c r="F4218" s="23">
        <f>IFERROR(__xludf.DUMMYFUNCTION("""COMPUTED_VALUE"""),44906.68126402778)</f>
        <v>44906.68126</v>
      </c>
      <c r="G4218" s="24" t="str">
        <f>IFERROR(__xludf.DUMMYFUNCTION("""COMPUTED_VALUE"""),"Opey")</f>
        <v>Opey</v>
      </c>
      <c r="H4218" s="24">
        <f>IFERROR(__xludf.DUMMYFUNCTION("""COMPUTED_VALUE"""),16.0)</f>
        <v>16</v>
      </c>
      <c r="I4218" s="24" t="str">
        <f>IFERROR(__xludf.DUMMYFUNCTION("""COMPUTED_VALUE"""),"Regular (up to 20lbs)")</f>
        <v>Regular (up to 20lbs)</v>
      </c>
    </row>
    <row r="4219">
      <c r="A4219" s="23">
        <f>IFERROR(__xludf.DUMMYFUNCTION("""COMPUTED_VALUE"""),44898.71024894676)</f>
        <v>44898.71025</v>
      </c>
      <c r="B4219" s="24" t="str">
        <f>IFERROR(__xludf.DUMMYFUNCTION("""COMPUTED_VALUE"""),"Nailah Bishop ")</f>
        <v>Nailah Bishop </v>
      </c>
      <c r="C4219" s="24">
        <f>IFERROR(__xludf.DUMMYFUNCTION("""COMPUTED_VALUE"""),8.0)</f>
        <v>8</v>
      </c>
      <c r="D4219" s="24" t="str">
        <f>IFERROR(__xludf.DUMMYFUNCTION("""COMPUTED_VALUE"""),"Regular (up to 20lbs)")</f>
        <v>Regular (up to 20lbs)</v>
      </c>
      <c r="F4219" s="23">
        <f>IFERROR(__xludf.DUMMYFUNCTION("""COMPUTED_VALUE"""),44906.68155318287)</f>
        <v>44906.68155</v>
      </c>
      <c r="G4219" s="24" t="str">
        <f>IFERROR(__xludf.DUMMYFUNCTION("""COMPUTED_VALUE"""),"Dorja ")</f>
        <v>Dorja </v>
      </c>
      <c r="H4219" s="24">
        <f>IFERROR(__xludf.DUMMYFUNCTION("""COMPUTED_VALUE"""),26.0)</f>
        <v>26</v>
      </c>
      <c r="I4219" s="24" t="str">
        <f>IFERROR(__xludf.DUMMYFUNCTION("""COMPUTED_VALUE"""),"Regular (up to 20lbs)")</f>
        <v>Regular (up to 20lbs)</v>
      </c>
    </row>
    <row r="4220">
      <c r="A4220" s="23">
        <f>IFERROR(__xludf.DUMMYFUNCTION("""COMPUTED_VALUE"""),44898.71029099537)</f>
        <v>44898.71029</v>
      </c>
      <c r="B4220" s="24" t="str">
        <f>IFERROR(__xludf.DUMMYFUNCTION("""COMPUTED_VALUE"""),"Emily Ma")</f>
        <v>Emily Ma</v>
      </c>
      <c r="C4220" s="24">
        <f>IFERROR(__xludf.DUMMYFUNCTION("""COMPUTED_VALUE"""),8.0)</f>
        <v>8</v>
      </c>
      <c r="D4220" s="24" t="str">
        <f>IFERROR(__xludf.DUMMYFUNCTION("""COMPUTED_VALUE"""),"Damage/expired/extra")</f>
        <v>Damage/expired/extra</v>
      </c>
      <c r="F4220" s="23">
        <f>IFERROR(__xludf.DUMMYFUNCTION("""COMPUTED_VALUE"""),44908.0)</f>
        <v>44908</v>
      </c>
      <c r="G4220" s="24" t="str">
        <f>IFERROR(__xludf.DUMMYFUNCTION("""COMPUTED_VALUE"""),"Marci")</f>
        <v>Marci</v>
      </c>
      <c r="H4220" s="24">
        <f>IFERROR(__xludf.DUMMYFUNCTION("""COMPUTED_VALUE"""),20.0)</f>
        <v>20</v>
      </c>
      <c r="I4220" s="24" t="str">
        <f>IFERROR(__xludf.DUMMYFUNCTION("""COMPUTED_VALUE"""),"Regular (up to 20lbs)")</f>
        <v>Regular (up to 20lbs)</v>
      </c>
    </row>
    <row r="4221">
      <c r="A4221" s="23">
        <f>IFERROR(__xludf.DUMMYFUNCTION("""COMPUTED_VALUE"""),44899.0)</f>
        <v>44899</v>
      </c>
      <c r="B4221" s="24" t="str">
        <f>IFERROR(__xludf.DUMMYFUNCTION("""COMPUTED_VALUE"""),"Bryce Barnes")</f>
        <v>Bryce Barnes</v>
      </c>
      <c r="C4221" s="24">
        <f>IFERROR(__xludf.DUMMYFUNCTION("""COMPUTED_VALUE"""),20.0)</f>
        <v>20</v>
      </c>
      <c r="D4221" s="24" t="str">
        <f>IFERROR(__xludf.DUMMYFUNCTION("""COMPUTED_VALUE"""),"Regular (up to 20lbs)")</f>
        <v>Regular (up to 20lbs)</v>
      </c>
      <c r="F4221" s="23">
        <f>IFERROR(__xludf.DUMMYFUNCTION("""COMPUTED_VALUE"""),44908.0)</f>
        <v>44908</v>
      </c>
      <c r="G4221" s="24" t="str">
        <f>IFERROR(__xludf.DUMMYFUNCTION("""COMPUTED_VALUE"""),"Marci")</f>
        <v>Marci</v>
      </c>
      <c r="H4221" s="24">
        <f>IFERROR(__xludf.DUMMYFUNCTION("""COMPUTED_VALUE"""),28.0)</f>
        <v>28</v>
      </c>
      <c r="I4221" s="24" t="str">
        <f>IFERROR(__xludf.DUMMYFUNCTION("""COMPUTED_VALUE"""),"Damage/expired/extra")</f>
        <v>Damage/expired/extra</v>
      </c>
    </row>
    <row r="4222">
      <c r="A4222" s="23">
        <f>IFERROR(__xludf.DUMMYFUNCTION("""COMPUTED_VALUE"""),44899.0)</f>
        <v>44899</v>
      </c>
      <c r="B4222" s="24" t="str">
        <f>IFERROR(__xludf.DUMMYFUNCTION("""COMPUTED_VALUE"""),"Juanita Chandler ")</f>
        <v>Juanita Chandler </v>
      </c>
      <c r="C4222" s="24">
        <f>IFERROR(__xludf.DUMMYFUNCTION("""COMPUTED_VALUE"""),23.0)</f>
        <v>23</v>
      </c>
      <c r="D4222" s="24" t="str">
        <f>IFERROR(__xludf.DUMMYFUNCTION("""COMPUTED_VALUE"""),"Regular (up to 20lbs)")</f>
        <v>Regular (up to 20lbs)</v>
      </c>
      <c r="F4222" s="23">
        <f>IFERROR(__xludf.DUMMYFUNCTION("""COMPUTED_VALUE"""),44908.0)</f>
        <v>44908</v>
      </c>
      <c r="G4222" s="24" t="str">
        <f>IFERROR(__xludf.DUMMYFUNCTION("""COMPUTED_VALUE"""),"Kaneesha")</f>
        <v>Kaneesha</v>
      </c>
      <c r="H4222" s="24">
        <f>IFERROR(__xludf.DUMMYFUNCTION("""COMPUTED_VALUE"""),20.0)</f>
        <v>20</v>
      </c>
      <c r="I4222" s="24" t="str">
        <f>IFERROR(__xludf.DUMMYFUNCTION("""COMPUTED_VALUE"""),"Regular (up to 20lbs)")</f>
        <v>Regular (up to 20lbs)</v>
      </c>
    </row>
    <row r="4223">
      <c r="A4223" s="23">
        <f>IFERROR(__xludf.DUMMYFUNCTION("""COMPUTED_VALUE"""),44899.0)</f>
        <v>44899</v>
      </c>
      <c r="B4223" s="24" t="str">
        <f>IFERROR(__xludf.DUMMYFUNCTION("""COMPUTED_VALUE"""),"Juanita Chandler ")</f>
        <v>Juanita Chandler </v>
      </c>
      <c r="C4223" s="24">
        <f>IFERROR(__xludf.DUMMYFUNCTION("""COMPUTED_VALUE"""),32.0)</f>
        <v>32</v>
      </c>
      <c r="D4223" s="24" t="str">
        <f>IFERROR(__xludf.DUMMYFUNCTION("""COMPUTED_VALUE"""),"Damage/expired/extra")</f>
        <v>Damage/expired/extra</v>
      </c>
      <c r="F4223" s="23">
        <f>IFERROR(__xludf.DUMMYFUNCTION("""COMPUTED_VALUE"""),44908.0)</f>
        <v>44908</v>
      </c>
      <c r="G4223" s="24" t="str">
        <f>IFERROR(__xludf.DUMMYFUNCTION("""COMPUTED_VALUE"""),"Kaneesha")</f>
        <v>Kaneesha</v>
      </c>
      <c r="H4223" s="24">
        <f>IFERROR(__xludf.DUMMYFUNCTION("""COMPUTED_VALUE"""),15.0)</f>
        <v>15</v>
      </c>
      <c r="I4223" s="24" t="str">
        <f>IFERROR(__xludf.DUMMYFUNCTION("""COMPUTED_VALUE"""),"Damage/expired/extra")</f>
        <v>Damage/expired/extra</v>
      </c>
    </row>
    <row r="4224">
      <c r="A4224" s="23">
        <f>IFERROR(__xludf.DUMMYFUNCTION("""COMPUTED_VALUE"""),44899.61391939814)</f>
        <v>44899.61392</v>
      </c>
      <c r="B4224" s="24" t="str">
        <f>IFERROR(__xludf.DUMMYFUNCTION("""COMPUTED_VALUE"""),"Carla")</f>
        <v>Carla</v>
      </c>
      <c r="C4224" s="24">
        <f>IFERROR(__xludf.DUMMYFUNCTION("""COMPUTED_VALUE"""),13.0)</f>
        <v>13</v>
      </c>
      <c r="D4224" s="24" t="str">
        <f>IFERROR(__xludf.DUMMYFUNCTION("""COMPUTED_VALUE"""),"Regular (up to 20lbs)")</f>
        <v>Regular (up to 20lbs)</v>
      </c>
      <c r="F4224" s="23">
        <f>IFERROR(__xludf.DUMMYFUNCTION("""COMPUTED_VALUE"""),44908.0)</f>
        <v>44908</v>
      </c>
      <c r="G4224" s="24" t="str">
        <f>IFERROR(__xludf.DUMMYFUNCTION("""COMPUTED_VALUE"""),"Alexia Lilly")</f>
        <v>Alexia Lilly</v>
      </c>
      <c r="H4224" s="24">
        <f>IFERROR(__xludf.DUMMYFUNCTION("""COMPUTED_VALUE"""),7.0)</f>
        <v>7</v>
      </c>
      <c r="I4224" s="24" t="str">
        <f>IFERROR(__xludf.DUMMYFUNCTION("""COMPUTED_VALUE"""),"Regular (up to 20lbs)")</f>
        <v>Regular (up to 20lbs)</v>
      </c>
    </row>
    <row r="4225">
      <c r="A4225" s="23">
        <f>IFERROR(__xludf.DUMMYFUNCTION("""COMPUTED_VALUE"""),44899.65049162037)</f>
        <v>44899.65049</v>
      </c>
      <c r="B4225" s="24" t="str">
        <f>IFERROR(__xludf.DUMMYFUNCTION("""COMPUTED_VALUE"""),"Yulia Suslova")</f>
        <v>Yulia Suslova</v>
      </c>
      <c r="C4225" s="24">
        <f>IFERROR(__xludf.DUMMYFUNCTION("""COMPUTED_VALUE"""),20.0)</f>
        <v>20</v>
      </c>
      <c r="D4225" s="24" t="str">
        <f>IFERROR(__xludf.DUMMYFUNCTION("""COMPUTED_VALUE"""),"Regular (up to 20lbs)")</f>
        <v>Regular (up to 20lbs)</v>
      </c>
      <c r="F4225" s="23">
        <f>IFERROR(__xludf.DUMMYFUNCTION("""COMPUTED_VALUE"""),44908.0)</f>
        <v>44908</v>
      </c>
      <c r="G4225" s="24" t="str">
        <f>IFERROR(__xludf.DUMMYFUNCTION("""COMPUTED_VALUE"""),"Alexia Lilly")</f>
        <v>Alexia Lilly</v>
      </c>
      <c r="H4225" s="24">
        <f>IFERROR(__xludf.DUMMYFUNCTION("""COMPUTED_VALUE"""),13.0)</f>
        <v>13</v>
      </c>
      <c r="I4225" s="24" t="str">
        <f>IFERROR(__xludf.DUMMYFUNCTION("""COMPUTED_VALUE"""),"Damage/expired/extra")</f>
        <v>Damage/expired/extra</v>
      </c>
    </row>
    <row r="4226">
      <c r="A4226" s="23">
        <f>IFERROR(__xludf.DUMMYFUNCTION("""COMPUTED_VALUE"""),44899.65101189815)</f>
        <v>44899.65101</v>
      </c>
      <c r="B4226" s="24" t="str">
        <f>IFERROR(__xludf.DUMMYFUNCTION("""COMPUTED_VALUE"""),"Kaneesha")</f>
        <v>Kaneesha</v>
      </c>
      <c r="C4226" s="24">
        <f>IFERROR(__xludf.DUMMYFUNCTION("""COMPUTED_VALUE"""),20.0)</f>
        <v>20</v>
      </c>
      <c r="D4226" s="24" t="str">
        <f>IFERROR(__xludf.DUMMYFUNCTION("""COMPUTED_VALUE"""),"Regular (up to 20lbs)")</f>
        <v>Regular (up to 20lbs)</v>
      </c>
      <c r="F4226" s="23">
        <f>IFERROR(__xludf.DUMMYFUNCTION("""COMPUTED_VALUE"""),44908.0)</f>
        <v>44908</v>
      </c>
      <c r="G4226" s="24" t="str">
        <f>IFERROR(__xludf.DUMMYFUNCTION("""COMPUTED_VALUE"""),"Jean")</f>
        <v>Jean</v>
      </c>
      <c r="H4226" s="24">
        <f>IFERROR(__xludf.DUMMYFUNCTION("""COMPUTED_VALUE"""),4.0)</f>
        <v>4</v>
      </c>
      <c r="I4226" s="24" t="str">
        <f>IFERROR(__xludf.DUMMYFUNCTION("""COMPUTED_VALUE"""),"Regular (up to 20lbs)")</f>
        <v>Regular (up to 20lbs)</v>
      </c>
    </row>
    <row r="4227">
      <c r="A4227" s="23">
        <f>IFERROR(__xludf.DUMMYFUNCTION("""COMPUTED_VALUE"""),44899.65104695602)</f>
        <v>44899.65105</v>
      </c>
      <c r="B4227" s="24" t="str">
        <f>IFERROR(__xludf.DUMMYFUNCTION("""COMPUTED_VALUE"""),"Yulia Suslova")</f>
        <v>Yulia Suslova</v>
      </c>
      <c r="C4227" s="24">
        <f>IFERROR(__xludf.DUMMYFUNCTION("""COMPUTED_VALUE"""),20.0)</f>
        <v>20</v>
      </c>
      <c r="D4227" s="24" t="str">
        <f>IFERROR(__xludf.DUMMYFUNCTION("""COMPUTED_VALUE"""),"Damage/expired/extra")</f>
        <v>Damage/expired/extra</v>
      </c>
      <c r="F4227" s="23">
        <f>IFERROR(__xludf.DUMMYFUNCTION("""COMPUTED_VALUE"""),44908.0)</f>
        <v>44908</v>
      </c>
      <c r="G4227" s="24" t="str">
        <f>IFERROR(__xludf.DUMMYFUNCTION("""COMPUTED_VALUE"""),"DeAuntae")</f>
        <v>DeAuntae</v>
      </c>
      <c r="H4227" s="24">
        <f>IFERROR(__xludf.DUMMYFUNCTION("""COMPUTED_VALUE"""),3.0)</f>
        <v>3</v>
      </c>
      <c r="I4227" s="24" t="str">
        <f>IFERROR(__xludf.DUMMYFUNCTION("""COMPUTED_VALUE"""),"Damage/expired/extra")</f>
        <v>Damage/expired/extra</v>
      </c>
    </row>
    <row r="4228">
      <c r="A4228" s="23">
        <f>IFERROR(__xludf.DUMMYFUNCTION("""COMPUTED_VALUE"""),44899.65117629629)</f>
        <v>44899.65118</v>
      </c>
      <c r="B4228" s="24" t="str">
        <f>IFERROR(__xludf.DUMMYFUNCTION("""COMPUTED_VALUE"""),"Kaneesha ")</f>
        <v>Kaneesha </v>
      </c>
      <c r="C4228" s="24">
        <f>IFERROR(__xludf.DUMMYFUNCTION("""COMPUTED_VALUE"""),10.0)</f>
        <v>10</v>
      </c>
      <c r="D4228" s="24" t="str">
        <f>IFERROR(__xludf.DUMMYFUNCTION("""COMPUTED_VALUE"""),"Damage/expired/extra")</f>
        <v>Damage/expired/extra</v>
      </c>
      <c r="F4228" s="23">
        <f>IFERROR(__xludf.DUMMYFUNCTION("""COMPUTED_VALUE"""),44908.69315864583)</f>
        <v>44908.69316</v>
      </c>
      <c r="G4228" s="24" t="str">
        <f>IFERROR(__xludf.DUMMYFUNCTION("""COMPUTED_VALUE"""),"DeAuntae")</f>
        <v>DeAuntae</v>
      </c>
      <c r="H4228" s="24">
        <f>IFERROR(__xludf.DUMMYFUNCTION("""COMPUTED_VALUE"""),18.0)</f>
        <v>18</v>
      </c>
      <c r="I4228" s="24" t="str">
        <f>IFERROR(__xludf.DUMMYFUNCTION("""COMPUTED_VALUE"""),"Regular (up to 20lbs)")</f>
        <v>Regular (up to 20lbs)</v>
      </c>
    </row>
    <row r="4229">
      <c r="A4229" s="23">
        <f>IFERROR(__xludf.DUMMYFUNCTION("""COMPUTED_VALUE"""),44899.65594114584)</f>
        <v>44899.65594</v>
      </c>
      <c r="B4229" s="24" t="str">
        <f>IFERROR(__xludf.DUMMYFUNCTION("""COMPUTED_VALUE"""),"Kate Weeks")</f>
        <v>Kate Weeks</v>
      </c>
      <c r="C4229" s="24">
        <f>IFERROR(__xludf.DUMMYFUNCTION("""COMPUTED_VALUE"""),20.0)</f>
        <v>20</v>
      </c>
      <c r="D4229" s="24" t="str">
        <f>IFERROR(__xludf.DUMMYFUNCTION("""COMPUTED_VALUE"""),"Regular (up to 20lbs)")</f>
        <v>Regular (up to 20lbs)</v>
      </c>
      <c r="F4229" s="23">
        <f>IFERROR(__xludf.DUMMYFUNCTION("""COMPUTED_VALUE"""),44908.69562646991)</f>
        <v>44908.69563</v>
      </c>
      <c r="G4229" s="24" t="str">
        <f>IFERROR(__xludf.DUMMYFUNCTION("""COMPUTED_VALUE"""),"Beverly Graham ")</f>
        <v>Beverly Graham </v>
      </c>
      <c r="H4229" s="24">
        <f>IFERROR(__xludf.DUMMYFUNCTION("""COMPUTED_VALUE"""),15.0)</f>
        <v>15</v>
      </c>
      <c r="I4229" s="24" t="str">
        <f>IFERROR(__xludf.DUMMYFUNCTION("""COMPUTED_VALUE"""),"Regular (up to 20lbs)")</f>
        <v>Regular (up to 20lbs)</v>
      </c>
    </row>
    <row r="4230">
      <c r="A4230" s="23">
        <f>IFERROR(__xludf.DUMMYFUNCTION("""COMPUTED_VALUE"""),44899.65609387731)</f>
        <v>44899.65609</v>
      </c>
      <c r="B4230" s="24" t="str">
        <f>IFERROR(__xludf.DUMMYFUNCTION("""COMPUTED_VALUE"""),"Kate Weeks")</f>
        <v>Kate Weeks</v>
      </c>
      <c r="C4230" s="24">
        <f>IFERROR(__xludf.DUMMYFUNCTION("""COMPUTED_VALUE"""),16.0)</f>
        <v>16</v>
      </c>
      <c r="D4230" s="24" t="str">
        <f>IFERROR(__xludf.DUMMYFUNCTION("""COMPUTED_VALUE"""),"Damage/expired/extra")</f>
        <v>Damage/expired/extra</v>
      </c>
      <c r="F4230" s="23">
        <f>IFERROR(__xludf.DUMMYFUNCTION("""COMPUTED_VALUE"""),44908.695899212966)</f>
        <v>44908.6959</v>
      </c>
      <c r="G4230" s="24" t="str">
        <f>IFERROR(__xludf.DUMMYFUNCTION("""COMPUTED_VALUE"""),"Beverly Graham ")</f>
        <v>Beverly Graham </v>
      </c>
      <c r="H4230" s="24">
        <f>IFERROR(__xludf.DUMMYFUNCTION("""COMPUTED_VALUE"""),1.0)</f>
        <v>1</v>
      </c>
      <c r="I4230" s="24" t="str">
        <f>IFERROR(__xludf.DUMMYFUNCTION("""COMPUTED_VALUE"""),"Damage/expired/extra")</f>
        <v>Damage/expired/extra</v>
      </c>
    </row>
    <row r="4231">
      <c r="A4231" s="23">
        <f>IFERROR(__xludf.DUMMYFUNCTION("""COMPUTED_VALUE"""),44899.65965484953)</f>
        <v>44899.65965</v>
      </c>
      <c r="B4231" s="24" t="str">
        <f>IFERROR(__xludf.DUMMYFUNCTION("""COMPUTED_VALUE"""),"Opey")</f>
        <v>Opey</v>
      </c>
      <c r="C4231" s="24">
        <f>IFERROR(__xludf.DUMMYFUNCTION("""COMPUTED_VALUE"""),12.0)</f>
        <v>12</v>
      </c>
      <c r="D4231" s="24" t="str">
        <f>IFERROR(__xludf.DUMMYFUNCTION("""COMPUTED_VALUE"""),"Regular (up to 20lbs)")</f>
        <v>Regular (up to 20lbs)</v>
      </c>
      <c r="F4231" s="23">
        <f>IFERROR(__xludf.DUMMYFUNCTION("""COMPUTED_VALUE"""),44908.69641282408)</f>
        <v>44908.69641</v>
      </c>
      <c r="G4231" s="24" t="str">
        <f>IFERROR(__xludf.DUMMYFUNCTION("""COMPUTED_VALUE"""),"Romaine Bouldin ")</f>
        <v>Romaine Bouldin </v>
      </c>
      <c r="H4231" s="24">
        <f>IFERROR(__xludf.DUMMYFUNCTION("""COMPUTED_VALUE"""),20.0)</f>
        <v>20</v>
      </c>
      <c r="I4231" s="24" t="str">
        <f>IFERROR(__xludf.DUMMYFUNCTION("""COMPUTED_VALUE"""),"Regular (up to 20lbs)")</f>
        <v>Regular (up to 20lbs)</v>
      </c>
    </row>
    <row r="4232">
      <c r="A4232" s="23">
        <f>IFERROR(__xludf.DUMMYFUNCTION("""COMPUTED_VALUE"""),44899.667422893515)</f>
        <v>44899.66742</v>
      </c>
      <c r="B4232" s="24" t="str">
        <f>IFERROR(__xludf.DUMMYFUNCTION("""COMPUTED_VALUE"""),"Lynnette (jackie)")</f>
        <v>Lynnette (jackie)</v>
      </c>
      <c r="C4232" s="24">
        <f>IFERROR(__xludf.DUMMYFUNCTION("""COMPUTED_VALUE"""),28.0)</f>
        <v>28</v>
      </c>
      <c r="D4232" s="24" t="str">
        <f>IFERROR(__xludf.DUMMYFUNCTION("""COMPUTED_VALUE"""),"Damage/expired/extra")</f>
        <v>Damage/expired/extra</v>
      </c>
      <c r="F4232" s="23">
        <f>IFERROR(__xludf.DUMMYFUNCTION("""COMPUTED_VALUE"""),44908.698049108796)</f>
        <v>44908.69805</v>
      </c>
      <c r="G4232" s="24" t="str">
        <f>IFERROR(__xludf.DUMMYFUNCTION("""COMPUTED_VALUE"""),"Rosemary Hendricks")</f>
        <v>Rosemary Hendricks</v>
      </c>
      <c r="H4232" s="24">
        <f>IFERROR(__xludf.DUMMYFUNCTION("""COMPUTED_VALUE"""),11.0)</f>
        <v>11</v>
      </c>
      <c r="I4232" s="24" t="str">
        <f>IFERROR(__xludf.DUMMYFUNCTION("""COMPUTED_VALUE"""),"Regular (up to 20lbs)")</f>
        <v>Regular (up to 20lbs)</v>
      </c>
    </row>
    <row r="4233">
      <c r="A4233" s="23">
        <f>IFERROR(__xludf.DUMMYFUNCTION("""COMPUTED_VALUE"""),44901.0)</f>
        <v>44901</v>
      </c>
      <c r="B4233" s="24" t="str">
        <f>IFERROR(__xludf.DUMMYFUNCTION("""COMPUTED_VALUE"""),"Marci")</f>
        <v>Marci</v>
      </c>
      <c r="C4233" s="24">
        <f>IFERROR(__xludf.DUMMYFUNCTION("""COMPUTED_VALUE"""),14.0)</f>
        <v>14</v>
      </c>
      <c r="D4233" s="24" t="str">
        <f>IFERROR(__xludf.DUMMYFUNCTION("""COMPUTED_VALUE"""),"Regular (up to 20lbs)")</f>
        <v>Regular (up to 20lbs)</v>
      </c>
      <c r="F4233" s="23">
        <f>IFERROR(__xludf.DUMMYFUNCTION("""COMPUTED_VALUE"""),44908.69827324074)</f>
        <v>44908.69827</v>
      </c>
      <c r="G4233" s="24" t="str">
        <f>IFERROR(__xludf.DUMMYFUNCTION("""COMPUTED_VALUE"""),"Rosemary Hendricks")</f>
        <v>Rosemary Hendricks</v>
      </c>
      <c r="H4233" s="24">
        <f>IFERROR(__xludf.DUMMYFUNCTION("""COMPUTED_VALUE"""),1.0)</f>
        <v>1</v>
      </c>
      <c r="I4233" s="24" t="str">
        <f>IFERROR(__xludf.DUMMYFUNCTION("""COMPUTED_VALUE"""),"Damage/expired/extra")</f>
        <v>Damage/expired/extra</v>
      </c>
    </row>
    <row r="4234">
      <c r="A4234" s="23">
        <f>IFERROR(__xludf.DUMMYFUNCTION("""COMPUTED_VALUE"""),44901.0)</f>
        <v>44901</v>
      </c>
      <c r="B4234" s="24" t="str">
        <f>IFERROR(__xludf.DUMMYFUNCTION("""COMPUTED_VALUE"""),"Marci")</f>
        <v>Marci</v>
      </c>
      <c r="C4234" s="24">
        <f>IFERROR(__xludf.DUMMYFUNCTION("""COMPUTED_VALUE"""),21.0)</f>
        <v>21</v>
      </c>
      <c r="D4234" s="24" t="str">
        <f>IFERROR(__xludf.DUMMYFUNCTION("""COMPUTED_VALUE"""),"Damage/expired/extra")</f>
        <v>Damage/expired/extra</v>
      </c>
      <c r="F4234" s="23">
        <f>IFERROR(__xludf.DUMMYFUNCTION("""COMPUTED_VALUE"""),44908.69967405093)</f>
        <v>44908.69967</v>
      </c>
      <c r="G4234" s="24" t="str">
        <f>IFERROR(__xludf.DUMMYFUNCTION("""COMPUTED_VALUE"""),"Susan larson")</f>
        <v>Susan larson</v>
      </c>
      <c r="H4234" s="24">
        <f>IFERROR(__xludf.DUMMYFUNCTION("""COMPUTED_VALUE"""),20.0)</f>
        <v>20</v>
      </c>
      <c r="I4234" s="24" t="str">
        <f>IFERROR(__xludf.DUMMYFUNCTION("""COMPUTED_VALUE"""),"Regular (up to 20lbs)")</f>
        <v>Regular (up to 20lbs)</v>
      </c>
    </row>
    <row r="4235">
      <c r="A4235" s="23">
        <f>IFERROR(__xludf.DUMMYFUNCTION("""COMPUTED_VALUE"""),44901.680650532406)</f>
        <v>44901.68065</v>
      </c>
      <c r="B4235" s="24" t="str">
        <f>IFERROR(__xludf.DUMMYFUNCTION("""COMPUTED_VALUE"""),"Romaine Bouldin ")</f>
        <v>Romaine Bouldin </v>
      </c>
      <c r="C4235" s="24">
        <f>IFERROR(__xludf.DUMMYFUNCTION("""COMPUTED_VALUE"""),14.0)</f>
        <v>14</v>
      </c>
      <c r="D4235" s="24" t="str">
        <f>IFERROR(__xludf.DUMMYFUNCTION("""COMPUTED_VALUE"""),"Regular (up to 20lbs)")</f>
        <v>Regular (up to 20lbs)</v>
      </c>
      <c r="F4235" s="23">
        <f>IFERROR(__xludf.DUMMYFUNCTION("""COMPUTED_VALUE"""),44908.699903842586)</f>
        <v>44908.6999</v>
      </c>
      <c r="G4235" s="24" t="str">
        <f>IFERROR(__xludf.DUMMYFUNCTION("""COMPUTED_VALUE"""),"Susan larson")</f>
        <v>Susan larson</v>
      </c>
      <c r="H4235" s="24">
        <f>IFERROR(__xludf.DUMMYFUNCTION("""COMPUTED_VALUE"""),10.0)</f>
        <v>10</v>
      </c>
      <c r="I4235" s="24" t="str">
        <f>IFERROR(__xludf.DUMMYFUNCTION("""COMPUTED_VALUE"""),"Damage/expired/extra")</f>
        <v>Damage/expired/extra</v>
      </c>
    </row>
    <row r="4236">
      <c r="A4236" s="23">
        <f>IFERROR(__xludf.DUMMYFUNCTION("""COMPUTED_VALUE"""),44901.68098929398)</f>
        <v>44901.68099</v>
      </c>
      <c r="B4236" s="24" t="str">
        <f>IFERROR(__xludf.DUMMYFUNCTION("""COMPUTED_VALUE"""),"Romaine Bouldin ")</f>
        <v>Romaine Bouldin </v>
      </c>
      <c r="C4236" s="24">
        <f>IFERROR(__xludf.DUMMYFUNCTION("""COMPUTED_VALUE"""),10.0)</f>
        <v>10</v>
      </c>
      <c r="D4236" s="24" t="str">
        <f>IFERROR(__xludf.DUMMYFUNCTION("""COMPUTED_VALUE"""),"Damage/expired/extra")</f>
        <v>Damage/expired/extra</v>
      </c>
      <c r="F4236" s="23">
        <f>IFERROR(__xludf.DUMMYFUNCTION("""COMPUTED_VALUE"""),44908.70321309027)</f>
        <v>44908.70321</v>
      </c>
      <c r="G4236" s="24" t="str">
        <f>IFERROR(__xludf.DUMMYFUNCTION("""COMPUTED_VALUE"""),"Beverly Pinn")</f>
        <v>Beverly Pinn</v>
      </c>
      <c r="H4236" s="24">
        <f>IFERROR(__xludf.DUMMYFUNCTION("""COMPUTED_VALUE"""),19.0)</f>
        <v>19</v>
      </c>
      <c r="I4236" s="24" t="str">
        <f>IFERROR(__xludf.DUMMYFUNCTION("""COMPUTED_VALUE"""),"Regular (up to 20lbs)")</f>
        <v>Regular (up to 20lbs)</v>
      </c>
    </row>
    <row r="4237">
      <c r="A4237" s="23">
        <f>IFERROR(__xludf.DUMMYFUNCTION("""COMPUTED_VALUE"""),44901.68110640046)</f>
        <v>44901.68111</v>
      </c>
      <c r="B4237" s="24" t="str">
        <f>IFERROR(__xludf.DUMMYFUNCTION("""COMPUTED_VALUE"""),"Beverly Graham ")</f>
        <v>Beverly Graham </v>
      </c>
      <c r="C4237" s="24">
        <f>IFERROR(__xludf.DUMMYFUNCTION("""COMPUTED_VALUE"""),15.0)</f>
        <v>15</v>
      </c>
      <c r="D4237" s="24" t="str">
        <f>IFERROR(__xludf.DUMMYFUNCTION("""COMPUTED_VALUE"""),"Regular (up to 20lbs)")</f>
        <v>Regular (up to 20lbs)</v>
      </c>
      <c r="F4237" s="23">
        <f>IFERROR(__xludf.DUMMYFUNCTION("""COMPUTED_VALUE"""),44908.70354917824)</f>
        <v>44908.70355</v>
      </c>
      <c r="G4237" s="24" t="str">
        <f>IFERROR(__xludf.DUMMYFUNCTION("""COMPUTED_VALUE"""),"Beverly Pinn")</f>
        <v>Beverly Pinn</v>
      </c>
      <c r="H4237" s="24">
        <f>IFERROR(__xludf.DUMMYFUNCTION("""COMPUTED_VALUE"""),6.0)</f>
        <v>6</v>
      </c>
      <c r="I4237" s="24" t="str">
        <f>IFERROR(__xludf.DUMMYFUNCTION("""COMPUTED_VALUE"""),"Damage/expired/extra")</f>
        <v>Damage/expired/extra</v>
      </c>
    </row>
    <row r="4238">
      <c r="A4238" s="23">
        <f>IFERROR(__xludf.DUMMYFUNCTION("""COMPUTED_VALUE"""),44901.68133458333)</f>
        <v>44901.68133</v>
      </c>
      <c r="B4238" s="24" t="str">
        <f>IFERROR(__xludf.DUMMYFUNCTION("""COMPUTED_VALUE"""),"Beverly Graham ")</f>
        <v>Beverly Graham </v>
      </c>
      <c r="C4238" s="24">
        <f>IFERROR(__xludf.DUMMYFUNCTION("""COMPUTED_VALUE"""),3.0)</f>
        <v>3</v>
      </c>
      <c r="D4238" s="24" t="str">
        <f>IFERROR(__xludf.DUMMYFUNCTION("""COMPUTED_VALUE"""),"Damage/expired/extra")</f>
        <v>Damage/expired/extra</v>
      </c>
      <c r="F4238" s="23">
        <f>IFERROR(__xludf.DUMMYFUNCTION("""COMPUTED_VALUE"""),44908.90765826389)</f>
        <v>44908.90766</v>
      </c>
      <c r="G4238" s="24" t="str">
        <f>IFERROR(__xludf.DUMMYFUNCTION("""COMPUTED_VALUE"""),"Anna West")</f>
        <v>Anna West</v>
      </c>
      <c r="H4238" s="24">
        <f>IFERROR(__xludf.DUMMYFUNCTION("""COMPUTED_VALUE"""),19.0)</f>
        <v>19</v>
      </c>
      <c r="I4238" s="24" t="str">
        <f>IFERROR(__xludf.DUMMYFUNCTION("""COMPUTED_VALUE"""),"Regular (up to 20lbs)")</f>
        <v>Regular (up to 20lbs)</v>
      </c>
    </row>
    <row r="4239">
      <c r="A4239" s="23">
        <f>IFERROR(__xludf.DUMMYFUNCTION("""COMPUTED_VALUE"""),44901.68475862269)</f>
        <v>44901.68476</v>
      </c>
      <c r="B4239" s="24" t="str">
        <f>IFERROR(__xludf.DUMMYFUNCTION("""COMPUTED_VALUE"""),"Jean")</f>
        <v>Jean</v>
      </c>
      <c r="C4239" s="24">
        <f>IFERROR(__xludf.DUMMYFUNCTION("""COMPUTED_VALUE"""),5.0)</f>
        <v>5</v>
      </c>
      <c r="D4239" s="24" t="str">
        <f>IFERROR(__xludf.DUMMYFUNCTION("""COMPUTED_VALUE"""),"Regular (up to 20lbs)")</f>
        <v>Regular (up to 20lbs)</v>
      </c>
      <c r="F4239" s="23">
        <f>IFERROR(__xludf.DUMMYFUNCTION("""COMPUTED_VALUE"""),44908.90776278936)</f>
        <v>44908.90776</v>
      </c>
      <c r="G4239" s="24" t="str">
        <f>IFERROR(__xludf.DUMMYFUNCTION("""COMPUTED_VALUE"""),"Anna West")</f>
        <v>Anna West</v>
      </c>
      <c r="H4239" s="24">
        <f>IFERROR(__xludf.DUMMYFUNCTION("""COMPUTED_VALUE"""),21.0)</f>
        <v>21</v>
      </c>
      <c r="I4239" s="24" t="str">
        <f>IFERROR(__xludf.DUMMYFUNCTION("""COMPUTED_VALUE"""),"Damage/expired/extra")</f>
        <v>Damage/expired/extra</v>
      </c>
    </row>
    <row r="4240">
      <c r="A4240" s="23">
        <f>IFERROR(__xludf.DUMMYFUNCTION("""COMPUTED_VALUE"""),44901.685035613424)</f>
        <v>44901.68504</v>
      </c>
      <c r="B4240" s="24" t="str">
        <f>IFERROR(__xludf.DUMMYFUNCTION("""COMPUTED_VALUE"""),"Jean")</f>
        <v>Jean</v>
      </c>
      <c r="C4240" s="24">
        <f>IFERROR(__xludf.DUMMYFUNCTION("""COMPUTED_VALUE"""),98.0)</f>
        <v>98</v>
      </c>
      <c r="D4240" s="24" t="str">
        <f>IFERROR(__xludf.DUMMYFUNCTION("""COMPUTED_VALUE"""),"Damage/expired/extra")</f>
        <v>Damage/expired/extra</v>
      </c>
      <c r="F4240" s="23">
        <f>IFERROR(__xludf.DUMMYFUNCTION("""COMPUTED_VALUE"""),44909.0)</f>
        <v>44909</v>
      </c>
      <c r="G4240" s="24" t="str">
        <f>IFERROR(__xludf.DUMMYFUNCTION("""COMPUTED_VALUE"""),"Juanita Chandler ")</f>
        <v>Juanita Chandler </v>
      </c>
      <c r="H4240" s="24">
        <f>IFERROR(__xludf.DUMMYFUNCTION("""COMPUTED_VALUE"""),12.0)</f>
        <v>12</v>
      </c>
      <c r="I4240" s="24" t="str">
        <f>IFERROR(__xludf.DUMMYFUNCTION("""COMPUTED_VALUE"""),"Regular (up to 20lbs)")</f>
        <v>Regular (up to 20lbs)</v>
      </c>
    </row>
    <row r="4241">
      <c r="A4241" s="23">
        <f>IFERROR(__xludf.DUMMYFUNCTION("""COMPUTED_VALUE"""),44901.68534989583)</f>
        <v>44901.68535</v>
      </c>
      <c r="B4241" s="24" t="str">
        <f>IFERROR(__xludf.DUMMYFUNCTION("""COMPUTED_VALUE"""),"Beverly Pinn")</f>
        <v>Beverly Pinn</v>
      </c>
      <c r="C4241" s="24">
        <f>IFERROR(__xludf.DUMMYFUNCTION("""COMPUTED_VALUE"""),20.0)</f>
        <v>20</v>
      </c>
      <c r="D4241" s="24" t="str">
        <f>IFERROR(__xludf.DUMMYFUNCTION("""COMPUTED_VALUE"""),"Regular (up to 20lbs)")</f>
        <v>Regular (up to 20lbs)</v>
      </c>
      <c r="F4241" s="23">
        <f>IFERROR(__xludf.DUMMYFUNCTION("""COMPUTED_VALUE"""),44909.0)</f>
        <v>44909</v>
      </c>
      <c r="G4241" s="24" t="str">
        <f>IFERROR(__xludf.DUMMYFUNCTION("""COMPUTED_VALUE"""),"Juanita Chandler ")</f>
        <v>Juanita Chandler </v>
      </c>
      <c r="H4241" s="24">
        <f>IFERROR(__xludf.DUMMYFUNCTION("""COMPUTED_VALUE"""),13.0)</f>
        <v>13</v>
      </c>
      <c r="I4241" s="24" t="str">
        <f>IFERROR(__xludf.DUMMYFUNCTION("""COMPUTED_VALUE"""),"Damage/expired/extra")</f>
        <v>Damage/expired/extra</v>
      </c>
    </row>
    <row r="4242">
      <c r="A4242" s="23">
        <f>IFERROR(__xludf.DUMMYFUNCTION("""COMPUTED_VALUE"""),44901.68537608796)</f>
        <v>44901.68538</v>
      </c>
      <c r="B4242" s="24" t="str">
        <f>IFERROR(__xludf.DUMMYFUNCTION("""COMPUTED_VALUE"""),"Rosemary Hendricks")</f>
        <v>Rosemary Hendricks</v>
      </c>
      <c r="C4242" s="24">
        <f>IFERROR(__xludf.DUMMYFUNCTION("""COMPUTED_VALUE"""),16.0)</f>
        <v>16</v>
      </c>
      <c r="D4242" s="24" t="str">
        <f>IFERROR(__xludf.DUMMYFUNCTION("""COMPUTED_VALUE"""),"Regular (up to 20lbs)")</f>
        <v>Regular (up to 20lbs)</v>
      </c>
      <c r="F4242" s="23">
        <f>IFERROR(__xludf.DUMMYFUNCTION("""COMPUTED_VALUE"""),44909.0)</f>
        <v>44909</v>
      </c>
      <c r="G4242" s="24" t="str">
        <f>IFERROR(__xludf.DUMMYFUNCTION("""COMPUTED_VALUE"""),"Sarah K")</f>
        <v>Sarah K</v>
      </c>
      <c r="H4242" s="24">
        <f>IFERROR(__xludf.DUMMYFUNCTION("""COMPUTED_VALUE"""),12.0)</f>
        <v>12</v>
      </c>
      <c r="I4242" s="24" t="str">
        <f>IFERROR(__xludf.DUMMYFUNCTION("""COMPUTED_VALUE"""),"Regular (up to 20lbs)")</f>
        <v>Regular (up to 20lbs)</v>
      </c>
    </row>
    <row r="4243">
      <c r="A4243" s="23">
        <f>IFERROR(__xludf.DUMMYFUNCTION("""COMPUTED_VALUE"""),44901.68549003472)</f>
        <v>44901.68549</v>
      </c>
      <c r="B4243" s="24" t="str">
        <f>IFERROR(__xludf.DUMMYFUNCTION("""COMPUTED_VALUE"""),"Beverly Pinn")</f>
        <v>Beverly Pinn</v>
      </c>
      <c r="C4243" s="24">
        <f>IFERROR(__xludf.DUMMYFUNCTION("""COMPUTED_VALUE"""),9.0)</f>
        <v>9</v>
      </c>
      <c r="D4243" s="24" t="str">
        <f>IFERROR(__xludf.DUMMYFUNCTION("""COMPUTED_VALUE"""),"Damage/expired/extra")</f>
        <v>Damage/expired/extra</v>
      </c>
      <c r="F4243" s="23">
        <f>IFERROR(__xludf.DUMMYFUNCTION("""COMPUTED_VALUE"""),44909.0)</f>
        <v>44909</v>
      </c>
      <c r="G4243" s="24" t="str">
        <f>IFERROR(__xludf.DUMMYFUNCTION("""COMPUTED_VALUE"""),"Dee Satterfield")</f>
        <v>Dee Satterfield</v>
      </c>
      <c r="H4243" s="24">
        <f>IFERROR(__xludf.DUMMYFUNCTION("""COMPUTED_VALUE"""),20.0)</f>
        <v>20</v>
      </c>
      <c r="I4243" s="24" t="str">
        <f>IFERROR(__xludf.DUMMYFUNCTION("""COMPUTED_VALUE"""),"Regular (up to 20lbs)")</f>
        <v>Regular (up to 20lbs)</v>
      </c>
    </row>
    <row r="4244">
      <c r="A4244" s="23">
        <f>IFERROR(__xludf.DUMMYFUNCTION("""COMPUTED_VALUE"""),44901.6856602662)</f>
        <v>44901.68566</v>
      </c>
      <c r="B4244" s="24" t="str">
        <f>IFERROR(__xludf.DUMMYFUNCTION("""COMPUTED_VALUE"""),"Rosemary Hendricks")</f>
        <v>Rosemary Hendricks</v>
      </c>
      <c r="C4244" s="24">
        <f>IFERROR(__xludf.DUMMYFUNCTION("""COMPUTED_VALUE"""),1.0)</f>
        <v>1</v>
      </c>
      <c r="D4244" s="24" t="str">
        <f>IFERROR(__xludf.DUMMYFUNCTION("""COMPUTED_VALUE"""),"Damage/expired/extra")</f>
        <v>Damage/expired/extra</v>
      </c>
      <c r="F4244" s="23">
        <f>IFERROR(__xludf.DUMMYFUNCTION("""COMPUTED_VALUE"""),44909.0)</f>
        <v>44909</v>
      </c>
      <c r="G4244" s="24" t="str">
        <f>IFERROR(__xludf.DUMMYFUNCTION("""COMPUTED_VALUE"""),"Lynnette")</f>
        <v>Lynnette</v>
      </c>
      <c r="H4244" s="24">
        <f>IFERROR(__xludf.DUMMYFUNCTION("""COMPUTED_VALUE"""),11.0)</f>
        <v>11</v>
      </c>
      <c r="I4244" s="24" t="str">
        <f>IFERROR(__xludf.DUMMYFUNCTION("""COMPUTED_VALUE"""),"Regular (up to 20lbs)")</f>
        <v>Regular (up to 20lbs)</v>
      </c>
    </row>
    <row r="4245">
      <c r="A4245" s="23">
        <f>IFERROR(__xludf.DUMMYFUNCTION("""COMPUTED_VALUE"""),44901.686437847224)</f>
        <v>44901.68644</v>
      </c>
      <c r="B4245" s="24" t="str">
        <f>IFERROR(__xludf.DUMMYFUNCTION("""COMPUTED_VALUE"""),"Susan larson")</f>
        <v>Susan larson</v>
      </c>
      <c r="C4245" s="24">
        <f>IFERROR(__xludf.DUMMYFUNCTION("""COMPUTED_VALUE"""),20.0)</f>
        <v>20</v>
      </c>
      <c r="D4245" s="24" t="str">
        <f>IFERROR(__xludf.DUMMYFUNCTION("""COMPUTED_VALUE"""),"Regular (up to 20lbs)")</f>
        <v>Regular (up to 20lbs)</v>
      </c>
      <c r="F4245" s="23">
        <f>IFERROR(__xludf.DUMMYFUNCTION("""COMPUTED_VALUE"""),44909.0)</f>
        <v>44909</v>
      </c>
      <c r="G4245" s="24" t="str">
        <f>IFERROR(__xludf.DUMMYFUNCTION("""COMPUTED_VALUE"""),"Lynette Cromer")</f>
        <v>Lynette Cromer</v>
      </c>
      <c r="H4245" s="24">
        <f>IFERROR(__xludf.DUMMYFUNCTION("""COMPUTED_VALUE"""),5.0)</f>
        <v>5</v>
      </c>
      <c r="I4245" s="24" t="str">
        <f>IFERROR(__xludf.DUMMYFUNCTION("""COMPUTED_VALUE"""),"Damage/expired/extra")</f>
        <v>Damage/expired/extra</v>
      </c>
    </row>
    <row r="4246">
      <c r="A4246" s="23">
        <f>IFERROR(__xludf.DUMMYFUNCTION("""COMPUTED_VALUE"""),44901.686618125)</f>
        <v>44901.68662</v>
      </c>
      <c r="B4246" s="24" t="str">
        <f>IFERROR(__xludf.DUMMYFUNCTION("""COMPUTED_VALUE"""),"Susan larson")</f>
        <v>Susan larson</v>
      </c>
      <c r="C4246" s="24">
        <f>IFERROR(__xludf.DUMMYFUNCTION("""COMPUTED_VALUE"""),5.0)</f>
        <v>5</v>
      </c>
      <c r="D4246" s="24" t="str">
        <f>IFERROR(__xludf.DUMMYFUNCTION("""COMPUTED_VALUE"""),"Damage/expired/extra")</f>
        <v>Damage/expired/extra</v>
      </c>
      <c r="F4246" s="23">
        <f>IFERROR(__xludf.DUMMYFUNCTION("""COMPUTED_VALUE"""),44909.57266666667)</f>
        <v>44909.57267</v>
      </c>
      <c r="G4246" s="24" t="str">
        <f>IFERROR(__xludf.DUMMYFUNCTION("""COMPUTED_VALUE"""),"Bud attacker-Sisson st dpw drinks")</f>
        <v>Bud attacker-Sisson st dpw drinks</v>
      </c>
      <c r="H4246" s="24">
        <f>IFERROR(__xludf.DUMMYFUNCTION("""COMPUTED_VALUE"""),11.0)</f>
        <v>11</v>
      </c>
      <c r="I4246" s="24" t="str">
        <f>IFERROR(__xludf.DUMMYFUNCTION("""COMPUTED_VALUE"""),"Regular (up to 20lbs)")</f>
        <v>Regular (up to 20lbs)</v>
      </c>
    </row>
    <row r="4247">
      <c r="A4247" s="23">
        <f>IFERROR(__xludf.DUMMYFUNCTION("""COMPUTED_VALUE"""),44901.69077221065)</f>
        <v>44901.69077</v>
      </c>
      <c r="B4247" s="24" t="str">
        <f>IFERROR(__xludf.DUMMYFUNCTION("""COMPUTED_VALUE"""),"Kaneesha ")</f>
        <v>Kaneesha </v>
      </c>
      <c r="C4247" s="24">
        <f>IFERROR(__xludf.DUMMYFUNCTION("""COMPUTED_VALUE"""),20.0)</f>
        <v>20</v>
      </c>
      <c r="D4247" s="24" t="str">
        <f>IFERROR(__xludf.DUMMYFUNCTION("""COMPUTED_VALUE"""),"Regular (up to 20lbs)")</f>
        <v>Regular (up to 20lbs)</v>
      </c>
      <c r="F4247" s="23">
        <f>IFERROR(__xludf.DUMMYFUNCTION("""COMPUTED_VALUE"""),44909.59624086806)</f>
        <v>44909.59624</v>
      </c>
      <c r="G4247" s="24" t="str">
        <f>IFERROR(__xludf.DUMMYFUNCTION("""COMPUTED_VALUE"""),"Jean")</f>
        <v>Jean</v>
      </c>
      <c r="H4247" s="24">
        <f>IFERROR(__xludf.DUMMYFUNCTION("""COMPUTED_VALUE"""),371.0)</f>
        <v>371</v>
      </c>
      <c r="I4247" s="24" t="str">
        <f>IFERROR(__xludf.DUMMYFUNCTION("""COMPUTED_VALUE"""),"Dole fruitcups")</f>
        <v>Dole fruitcups</v>
      </c>
    </row>
    <row r="4248">
      <c r="A4248" s="23">
        <f>IFERROR(__xludf.DUMMYFUNCTION("""COMPUTED_VALUE"""),44901.69090879629)</f>
        <v>44901.69091</v>
      </c>
      <c r="B4248" s="24" t="str">
        <f>IFERROR(__xludf.DUMMYFUNCTION("""COMPUTED_VALUE"""),"Kaneesha ")</f>
        <v>Kaneesha </v>
      </c>
      <c r="C4248" s="24">
        <f>IFERROR(__xludf.DUMMYFUNCTION("""COMPUTED_VALUE"""),10.0)</f>
        <v>10</v>
      </c>
      <c r="D4248" s="24" t="str">
        <f>IFERROR(__xludf.DUMMYFUNCTION("""COMPUTED_VALUE"""),"Damage/expired/extra")</f>
        <v>Damage/expired/extra</v>
      </c>
      <c r="F4248" s="23">
        <f>IFERROR(__xludf.DUMMYFUNCTION("""COMPUTED_VALUE"""),44909.63845369213)</f>
        <v>44909.63845</v>
      </c>
      <c r="G4248" s="24" t="str">
        <f>IFERROR(__xludf.DUMMYFUNCTION("""COMPUTED_VALUE"""),"Claire")</f>
        <v>Claire</v>
      </c>
      <c r="H4248" s="24">
        <f>IFERROR(__xludf.DUMMYFUNCTION("""COMPUTED_VALUE"""),575.0)</f>
        <v>575</v>
      </c>
      <c r="I4248" s="24" t="str">
        <f>IFERROR(__xludf.DUMMYFUNCTION("""COMPUTED_VALUE"""),"Sysco Purchase")</f>
        <v>Sysco Purchase</v>
      </c>
    </row>
    <row r="4249">
      <c r="A4249" s="23">
        <f>IFERROR(__xludf.DUMMYFUNCTION("""COMPUTED_VALUE"""),44902.0)</f>
        <v>44902</v>
      </c>
      <c r="B4249" s="24" t="str">
        <f>IFERROR(__xludf.DUMMYFUNCTION("""COMPUTED_VALUE"""),"Juanita Chandler ")</f>
        <v>Juanita Chandler </v>
      </c>
      <c r="C4249" s="24">
        <f>IFERROR(__xludf.DUMMYFUNCTION("""COMPUTED_VALUE"""),13.0)</f>
        <v>13</v>
      </c>
      <c r="D4249" s="24" t="str">
        <f>IFERROR(__xludf.DUMMYFUNCTION("""COMPUTED_VALUE"""),"Regular (up to 20lbs)")</f>
        <v>Regular (up to 20lbs)</v>
      </c>
      <c r="F4249" s="23">
        <f>IFERROR(__xludf.DUMMYFUNCTION("""COMPUTED_VALUE"""),44909.711308032405)</f>
        <v>44909.71131</v>
      </c>
      <c r="G4249" s="24" t="str">
        <f>IFERROR(__xludf.DUMMYFUNCTION("""COMPUTED_VALUE"""),"Nailah Bishop ")</f>
        <v>Nailah Bishop </v>
      </c>
      <c r="H4249" s="24">
        <f>IFERROR(__xludf.DUMMYFUNCTION("""COMPUTED_VALUE"""),5.0)</f>
        <v>5</v>
      </c>
      <c r="I4249" s="24" t="str">
        <f>IFERROR(__xludf.DUMMYFUNCTION("""COMPUTED_VALUE"""),"Regular (up to 20lbs)")</f>
        <v>Regular (up to 20lbs)</v>
      </c>
    </row>
    <row r="4250">
      <c r="A4250" s="23">
        <f>IFERROR(__xludf.DUMMYFUNCTION("""COMPUTED_VALUE"""),44902.0)</f>
        <v>44902</v>
      </c>
      <c r="B4250" s="24" t="str">
        <f>IFERROR(__xludf.DUMMYFUNCTION("""COMPUTED_VALUE"""),"Juanita Chandler ")</f>
        <v>Juanita Chandler </v>
      </c>
      <c r="C4250" s="24">
        <f>IFERROR(__xludf.DUMMYFUNCTION("""COMPUTED_VALUE"""),23.0)</f>
        <v>23</v>
      </c>
      <c r="D4250" s="24" t="str">
        <f>IFERROR(__xludf.DUMMYFUNCTION("""COMPUTED_VALUE"""),"Damage/expired/extra")</f>
        <v>Damage/expired/extra</v>
      </c>
      <c r="F4250" s="23">
        <f>IFERROR(__xludf.DUMMYFUNCTION("""COMPUTED_VALUE"""),44909.711422418986)</f>
        <v>44909.71142</v>
      </c>
      <c r="G4250" s="24" t="str">
        <f>IFERROR(__xludf.DUMMYFUNCTION("""COMPUTED_VALUE"""),"jonyce bland")</f>
        <v>jonyce bland</v>
      </c>
      <c r="H4250" s="24">
        <f>IFERROR(__xludf.DUMMYFUNCTION("""COMPUTED_VALUE"""),12.0)</f>
        <v>12</v>
      </c>
      <c r="I4250" s="24" t="str">
        <f>IFERROR(__xludf.DUMMYFUNCTION("""COMPUTED_VALUE"""),"Regular (up to 20lbs)")</f>
        <v>Regular (up to 20lbs)</v>
      </c>
    </row>
    <row r="4251">
      <c r="A4251" s="23">
        <f>IFERROR(__xludf.DUMMYFUNCTION("""COMPUTED_VALUE"""),44902.0)</f>
        <v>44902</v>
      </c>
      <c r="B4251" s="24" t="str">
        <f>IFERROR(__xludf.DUMMYFUNCTION("""COMPUTED_VALUE"""),"Sarah K")</f>
        <v>Sarah K</v>
      </c>
      <c r="C4251" s="24">
        <f>IFERROR(__xludf.DUMMYFUNCTION("""COMPUTED_VALUE"""),10.0)</f>
        <v>10</v>
      </c>
      <c r="D4251" s="24" t="str">
        <f>IFERROR(__xludf.DUMMYFUNCTION("""COMPUTED_VALUE"""),"Regular (up to 20lbs)")</f>
        <v>Regular (up to 20lbs)</v>
      </c>
      <c r="F4251" s="23">
        <f>IFERROR(__xludf.DUMMYFUNCTION("""COMPUTED_VALUE"""),44909.85812373843)</f>
        <v>44909.85812</v>
      </c>
      <c r="G4251" s="24" t="str">
        <f>IFERROR(__xludf.DUMMYFUNCTION("""COMPUTED_VALUE"""),"Beverly Pinn")</f>
        <v>Beverly Pinn</v>
      </c>
      <c r="H4251" s="24">
        <f>IFERROR(__xludf.DUMMYFUNCTION("""COMPUTED_VALUE"""),17.0)</f>
        <v>17</v>
      </c>
      <c r="I4251" s="24" t="str">
        <f>IFERROR(__xludf.DUMMYFUNCTION("""COMPUTED_VALUE"""),"Regular (up to 20lbs)")</f>
        <v>Regular (up to 20lbs)</v>
      </c>
    </row>
    <row r="4252">
      <c r="A4252" s="23">
        <f>IFERROR(__xludf.DUMMYFUNCTION("""COMPUTED_VALUE"""),44902.0)</f>
        <v>44902</v>
      </c>
      <c r="B4252" s="24" t="str">
        <f>IFERROR(__xludf.DUMMYFUNCTION("""COMPUTED_VALUE"""),"Marci")</f>
        <v>Marci</v>
      </c>
      <c r="C4252" s="24">
        <f>IFERROR(__xludf.DUMMYFUNCTION("""COMPUTED_VALUE"""),19.0)</f>
        <v>19</v>
      </c>
      <c r="D4252" s="24" t="str">
        <f>IFERROR(__xludf.DUMMYFUNCTION("""COMPUTED_VALUE"""),"Regular (up to 20lbs)")</f>
        <v>Regular (up to 20lbs)</v>
      </c>
      <c r="F4252" s="23">
        <f>IFERROR(__xludf.DUMMYFUNCTION("""COMPUTED_VALUE"""),44909.86233517361)</f>
        <v>44909.86234</v>
      </c>
      <c r="G4252" s="24" t="str">
        <f>IFERROR(__xludf.DUMMYFUNCTION("""COMPUTED_VALUE"""),"Maddie Pardes ")</f>
        <v>Maddie Pardes </v>
      </c>
      <c r="H4252" s="24">
        <f>IFERROR(__xludf.DUMMYFUNCTION("""COMPUTED_VALUE"""),7.0)</f>
        <v>7</v>
      </c>
      <c r="I4252" s="24" t="str">
        <f>IFERROR(__xludf.DUMMYFUNCTION("""COMPUTED_VALUE"""),"Regular (up to 20lbs)")</f>
        <v>Regular (up to 20lbs)</v>
      </c>
    </row>
    <row r="4253">
      <c r="A4253" s="23">
        <f>IFERROR(__xludf.DUMMYFUNCTION("""COMPUTED_VALUE"""),44902.0)</f>
        <v>44902</v>
      </c>
      <c r="B4253" s="24" t="str">
        <f>IFERROR(__xludf.DUMMYFUNCTION("""COMPUTED_VALUE"""),"Marci")</f>
        <v>Marci</v>
      </c>
      <c r="C4253" s="24">
        <f>IFERROR(__xludf.DUMMYFUNCTION("""COMPUTED_VALUE"""),10.0)</f>
        <v>10</v>
      </c>
      <c r="D4253" s="24" t="str">
        <f>IFERROR(__xludf.DUMMYFUNCTION("""COMPUTED_VALUE"""),"Damage/expired/extra")</f>
        <v>Damage/expired/extra</v>
      </c>
      <c r="F4253" s="23">
        <f>IFERROR(__xludf.DUMMYFUNCTION("""COMPUTED_VALUE"""),44909.867558715276)</f>
        <v>44909.86756</v>
      </c>
      <c r="G4253" s="24" t="str">
        <f>IFERROR(__xludf.DUMMYFUNCTION("""COMPUTED_VALUE"""),"Luke mayhew ")</f>
        <v>Luke mayhew </v>
      </c>
      <c r="H4253" s="24">
        <f>IFERROR(__xludf.DUMMYFUNCTION("""COMPUTED_VALUE"""),20.0)</f>
        <v>20</v>
      </c>
      <c r="I4253" s="24" t="str">
        <f>IFERROR(__xludf.DUMMYFUNCTION("""COMPUTED_VALUE"""),"Regular (up to 20lbs)")</f>
        <v>Regular (up to 20lbs)</v>
      </c>
    </row>
    <row r="4254">
      <c r="A4254" s="23">
        <f>IFERROR(__xludf.DUMMYFUNCTION("""COMPUTED_VALUE"""),44902.69691900462)</f>
        <v>44902.69692</v>
      </c>
      <c r="B4254" s="24" t="str">
        <f>IFERROR(__xludf.DUMMYFUNCTION("""COMPUTED_VALUE"""),"Nishikar Paruchuri")</f>
        <v>Nishikar Paruchuri</v>
      </c>
      <c r="C4254" s="24">
        <f>IFERROR(__xludf.DUMMYFUNCTION("""COMPUTED_VALUE"""),2.0)</f>
        <v>2</v>
      </c>
      <c r="D4254" s="24" t="str">
        <f>IFERROR(__xludf.DUMMYFUNCTION("""COMPUTED_VALUE"""),"Regular (up to 20lbs)")</f>
        <v>Regular (up to 20lbs)</v>
      </c>
      <c r="F4254" s="23">
        <f>IFERROR(__xludf.DUMMYFUNCTION("""COMPUTED_VALUE"""),44909.86770293982)</f>
        <v>44909.8677</v>
      </c>
      <c r="G4254" s="24" t="str">
        <f>IFERROR(__xludf.DUMMYFUNCTION("""COMPUTED_VALUE"""),"Luke mayhew ")</f>
        <v>Luke mayhew </v>
      </c>
      <c r="H4254" s="24">
        <f>IFERROR(__xludf.DUMMYFUNCTION("""COMPUTED_VALUE"""),7.0)</f>
        <v>7</v>
      </c>
      <c r="I4254" s="24" t="str">
        <f>IFERROR(__xludf.DUMMYFUNCTION("""COMPUTED_VALUE"""),"Damage/expired/extra")</f>
        <v>Damage/expired/extra</v>
      </c>
    </row>
    <row r="4255">
      <c r="A4255" s="23">
        <f>IFERROR(__xludf.DUMMYFUNCTION("""COMPUTED_VALUE"""),44902.69704900463)</f>
        <v>44902.69705</v>
      </c>
      <c r="B4255" s="24" t="str">
        <f>IFERROR(__xludf.DUMMYFUNCTION("""COMPUTED_VALUE"""),"Nishikar Paruchuri ")</f>
        <v>Nishikar Paruchuri </v>
      </c>
      <c r="C4255" s="24">
        <f>IFERROR(__xludf.DUMMYFUNCTION("""COMPUTED_VALUE"""),1.0)</f>
        <v>1</v>
      </c>
      <c r="D4255" s="24" t="str">
        <f>IFERROR(__xludf.DUMMYFUNCTION("""COMPUTED_VALUE"""),"Damage/expired/extra")</f>
        <v>Damage/expired/extra</v>
      </c>
      <c r="F4255" s="23">
        <f>IFERROR(__xludf.DUMMYFUNCTION("""COMPUTED_VALUE"""),44910.0)</f>
        <v>44910</v>
      </c>
      <c r="G4255" s="24" t="str">
        <f>IFERROR(__xludf.DUMMYFUNCTION("""COMPUTED_VALUE"""),"Adeola")</f>
        <v>Adeola</v>
      </c>
      <c r="H4255" s="24">
        <f>IFERROR(__xludf.DUMMYFUNCTION("""COMPUTED_VALUE"""),20.0)</f>
        <v>20</v>
      </c>
      <c r="I4255" s="24" t="str">
        <f>IFERROR(__xludf.DUMMYFUNCTION("""COMPUTED_VALUE"""),"Regular (up to 20lbs)")</f>
        <v>Regular (up to 20lbs)</v>
      </c>
    </row>
    <row r="4256">
      <c r="A4256" s="23">
        <f>IFERROR(__xludf.DUMMYFUNCTION("""COMPUTED_VALUE"""),44902.71329032408)</f>
        <v>44902.71329</v>
      </c>
      <c r="B4256" s="24" t="str">
        <f>IFERROR(__xludf.DUMMYFUNCTION("""COMPUTED_VALUE"""),"Luke mayhew")</f>
        <v>Luke mayhew</v>
      </c>
      <c r="C4256" s="24">
        <f>IFERROR(__xludf.DUMMYFUNCTION("""COMPUTED_VALUE"""),20.0)</f>
        <v>20</v>
      </c>
      <c r="D4256" s="24" t="str">
        <f>IFERROR(__xludf.DUMMYFUNCTION("""COMPUTED_VALUE"""),"Regular (up to 20lbs)")</f>
        <v>Regular (up to 20lbs)</v>
      </c>
      <c r="F4256" s="23">
        <f>IFERROR(__xludf.DUMMYFUNCTION("""COMPUTED_VALUE"""),44910.0)</f>
        <v>44910</v>
      </c>
      <c r="G4256" s="24" t="str">
        <f>IFERROR(__xludf.DUMMYFUNCTION("""COMPUTED_VALUE"""),"Obi")</f>
        <v>Obi</v>
      </c>
      <c r="H4256" s="24">
        <f>IFERROR(__xludf.DUMMYFUNCTION("""COMPUTED_VALUE"""),20.0)</f>
        <v>20</v>
      </c>
      <c r="I4256" s="24" t="str">
        <f>IFERROR(__xludf.DUMMYFUNCTION("""COMPUTED_VALUE"""),"Regular (up to 20lbs)")</f>
        <v>Regular (up to 20lbs)</v>
      </c>
    </row>
    <row r="4257">
      <c r="A4257" s="23">
        <f>IFERROR(__xludf.DUMMYFUNCTION("""COMPUTED_VALUE"""),44902.71348059028)</f>
        <v>44902.71348</v>
      </c>
      <c r="B4257" s="24" t="str">
        <f>IFERROR(__xludf.DUMMYFUNCTION("""COMPUTED_VALUE"""),"Luke mayhew ")</f>
        <v>Luke mayhew </v>
      </c>
      <c r="C4257" s="24">
        <f>IFERROR(__xludf.DUMMYFUNCTION("""COMPUTED_VALUE"""),21.0)</f>
        <v>21</v>
      </c>
      <c r="D4257" s="24" t="str">
        <f>IFERROR(__xludf.DUMMYFUNCTION("""COMPUTED_VALUE"""),"Damage/expired/extra")</f>
        <v>Damage/expired/extra</v>
      </c>
      <c r="F4257" s="23">
        <f>IFERROR(__xludf.DUMMYFUNCTION("""COMPUTED_VALUE"""),44910.0)</f>
        <v>44910</v>
      </c>
      <c r="G4257" s="24" t="str">
        <f>IFERROR(__xludf.DUMMYFUNCTION("""COMPUTED_VALUE"""),"Obi")</f>
        <v>Obi</v>
      </c>
      <c r="H4257" s="24">
        <f>IFERROR(__xludf.DUMMYFUNCTION("""COMPUTED_VALUE"""),8.0)</f>
        <v>8</v>
      </c>
      <c r="I4257" s="24" t="str">
        <f>IFERROR(__xludf.DUMMYFUNCTION("""COMPUTED_VALUE"""),"Damage/expired/extra")</f>
        <v>Damage/expired/extra</v>
      </c>
    </row>
    <row r="4258">
      <c r="A4258" s="23">
        <f>IFERROR(__xludf.DUMMYFUNCTION("""COMPUTED_VALUE"""),44902.72251961805)</f>
        <v>44902.72252</v>
      </c>
      <c r="B4258" s="24" t="str">
        <f>IFERROR(__xludf.DUMMYFUNCTION("""COMPUTED_VALUE"""),"Karen")</f>
        <v>Karen</v>
      </c>
      <c r="C4258" s="24">
        <f>IFERROR(__xludf.DUMMYFUNCTION("""COMPUTED_VALUE"""),18.0)</f>
        <v>18</v>
      </c>
      <c r="D4258" s="24" t="str">
        <f>IFERROR(__xludf.DUMMYFUNCTION("""COMPUTED_VALUE"""),"Regular (up to 20lbs)")</f>
        <v>Regular (up to 20lbs)</v>
      </c>
      <c r="F4258" s="23">
        <f>IFERROR(__xludf.DUMMYFUNCTION("""COMPUTED_VALUE"""),44910.682384039355)</f>
        <v>44910.68238</v>
      </c>
      <c r="G4258" s="24" t="str">
        <f>IFERROR(__xludf.DUMMYFUNCTION("""COMPUTED_VALUE"""),"Jean")</f>
        <v>Jean</v>
      </c>
      <c r="H4258" s="24">
        <f>IFERROR(__xludf.DUMMYFUNCTION("""COMPUTED_VALUE"""),721.0)</f>
        <v>721</v>
      </c>
      <c r="I4258" s="24" t="str">
        <f>IFERROR(__xludf.DUMMYFUNCTION("""COMPUTED_VALUE"""),"Sysco Purchase")</f>
        <v>Sysco Purchase</v>
      </c>
    </row>
    <row r="4259">
      <c r="A4259" s="23">
        <f>IFERROR(__xludf.DUMMYFUNCTION("""COMPUTED_VALUE"""),44902.72277526621)</f>
        <v>44902.72278</v>
      </c>
      <c r="B4259" s="24" t="str">
        <f>IFERROR(__xludf.DUMMYFUNCTION("""COMPUTED_VALUE"""),"Karen")</f>
        <v>Karen</v>
      </c>
      <c r="C4259" s="24">
        <f>IFERROR(__xludf.DUMMYFUNCTION("""COMPUTED_VALUE"""),16.0)</f>
        <v>16</v>
      </c>
      <c r="D4259" s="24" t="str">
        <f>IFERROR(__xludf.DUMMYFUNCTION("""COMPUTED_VALUE"""),"Damage/expired/extra")</f>
        <v>Damage/expired/extra</v>
      </c>
      <c r="F4259" s="23">
        <f>IFERROR(__xludf.DUMMYFUNCTION("""COMPUTED_VALUE"""),44910.69697469907)</f>
        <v>44910.69697</v>
      </c>
      <c r="G4259" s="24" t="str">
        <f>IFERROR(__xludf.DUMMYFUNCTION("""COMPUTED_VALUE"""),"Norma")</f>
        <v>Norma</v>
      </c>
      <c r="H4259" s="24">
        <f>IFERROR(__xludf.DUMMYFUNCTION("""COMPUTED_VALUE"""),6.0)</f>
        <v>6</v>
      </c>
      <c r="I4259" s="24" t="str">
        <f>IFERROR(__xludf.DUMMYFUNCTION("""COMPUTED_VALUE"""),"Regular (up to 20lbs)")</f>
        <v>Regular (up to 20lbs)</v>
      </c>
    </row>
    <row r="4260">
      <c r="A4260" s="23">
        <f>IFERROR(__xludf.DUMMYFUNCTION("""COMPUTED_VALUE"""),44902.76143680555)</f>
        <v>44902.76144</v>
      </c>
      <c r="B4260" s="24" t="str">
        <f>IFERROR(__xludf.DUMMYFUNCTION("""COMPUTED_VALUE"""),"Lynnette c")</f>
        <v>Lynnette c</v>
      </c>
      <c r="C4260" s="24">
        <f>IFERROR(__xludf.DUMMYFUNCTION("""COMPUTED_VALUE"""),21.0)</f>
        <v>21</v>
      </c>
      <c r="D4260" s="24" t="str">
        <f>IFERROR(__xludf.DUMMYFUNCTION("""COMPUTED_VALUE"""),"Damage/expired/extra")</f>
        <v>Damage/expired/extra</v>
      </c>
      <c r="F4260" s="23">
        <f>IFERROR(__xludf.DUMMYFUNCTION("""COMPUTED_VALUE"""),44910.70001444445)</f>
        <v>44910.70001</v>
      </c>
      <c r="G4260" s="24" t="str">
        <f>IFERROR(__xludf.DUMMYFUNCTION("""COMPUTED_VALUE"""),"Jean")</f>
        <v>Jean</v>
      </c>
      <c r="H4260" s="24">
        <f>IFERROR(__xludf.DUMMYFUNCTION("""COMPUTED_VALUE"""),22.0)</f>
        <v>22</v>
      </c>
      <c r="I4260" s="24" t="str">
        <f>IFERROR(__xludf.DUMMYFUNCTION("""COMPUTED_VALUE"""),"Regular (up to 20lbs)")</f>
        <v>Regular (up to 20lbs)</v>
      </c>
    </row>
    <row r="4261">
      <c r="A4261" s="23">
        <f>IFERROR(__xludf.DUMMYFUNCTION("""COMPUTED_VALUE"""),44902.76201600694)</f>
        <v>44902.76202</v>
      </c>
      <c r="B4261" s="24" t="str">
        <f>IFERROR(__xludf.DUMMYFUNCTION("""COMPUTED_VALUE"""),"Lynnette c")</f>
        <v>Lynnette c</v>
      </c>
      <c r="C4261" s="24">
        <f>IFERROR(__xludf.DUMMYFUNCTION("""COMPUTED_VALUE"""),18.0)</f>
        <v>18</v>
      </c>
      <c r="D4261" s="24" t="str">
        <f>IFERROR(__xludf.DUMMYFUNCTION("""COMPUTED_VALUE"""),"Regular (up to 20lbs)")</f>
        <v>Regular (up to 20lbs)</v>
      </c>
      <c r="F4261" s="23">
        <f>IFERROR(__xludf.DUMMYFUNCTION("""COMPUTED_VALUE"""),44910.73173590278)</f>
        <v>44910.73174</v>
      </c>
      <c r="G4261" s="24" t="str">
        <f>IFERROR(__xludf.DUMMYFUNCTION("""COMPUTED_VALUE"""),"Jean")</f>
        <v>Jean</v>
      </c>
      <c r="H4261" s="24">
        <f>IFERROR(__xludf.DUMMYFUNCTION("""COMPUTED_VALUE"""),1.0)</f>
        <v>1</v>
      </c>
      <c r="I4261" s="24" t="str">
        <f>IFERROR(__xludf.DUMMYFUNCTION("""COMPUTED_VALUE"""),"Regular (up to 20lbs)")</f>
        <v>Regular (up to 20lbs)</v>
      </c>
    </row>
    <row r="4262">
      <c r="A4262" s="23">
        <f>IFERROR(__xludf.DUMMYFUNCTION("""COMPUTED_VALUE"""),44902.0)</f>
        <v>44902</v>
      </c>
      <c r="B4262" s="24" t="str">
        <f>IFERROR(__xludf.DUMMYFUNCTION("""COMPUTED_VALUE"""),"Dee Satterfield")</f>
        <v>Dee Satterfield</v>
      </c>
      <c r="C4262" s="24">
        <f>IFERROR(__xludf.DUMMYFUNCTION("""COMPUTED_VALUE"""),19.0)</f>
        <v>19</v>
      </c>
      <c r="D4262" s="24" t="str">
        <f>IFERROR(__xludf.DUMMYFUNCTION("""COMPUTED_VALUE"""),"Regular (up to 20lbs)")</f>
        <v>Regular (up to 20lbs)</v>
      </c>
      <c r="F4262" s="23">
        <f>IFERROR(__xludf.DUMMYFUNCTION("""COMPUTED_VALUE"""),44910.85426565972)</f>
        <v>44910.85427</v>
      </c>
      <c r="G4262" s="24" t="str">
        <f>IFERROR(__xludf.DUMMYFUNCTION("""COMPUTED_VALUE"""),"Nani")</f>
        <v>Nani</v>
      </c>
      <c r="H4262" s="24">
        <f>IFERROR(__xludf.DUMMYFUNCTION("""COMPUTED_VALUE"""),15.0)</f>
        <v>15</v>
      </c>
      <c r="I4262" s="24" t="str">
        <f>IFERROR(__xludf.DUMMYFUNCTION("""COMPUTED_VALUE"""),"Regular (up to 20lbs)")</f>
        <v>Regular (up to 20lbs)</v>
      </c>
    </row>
    <row r="4263">
      <c r="A4263" s="23">
        <f>IFERROR(__xludf.DUMMYFUNCTION("""COMPUTED_VALUE"""),44902.0)</f>
        <v>44902</v>
      </c>
      <c r="B4263" s="24" t="str">
        <f>IFERROR(__xludf.DUMMYFUNCTION("""COMPUTED_VALUE"""),"Dee Satterfield")</f>
        <v>Dee Satterfield</v>
      </c>
      <c r="C4263" s="24">
        <f>IFERROR(__xludf.DUMMYFUNCTION("""COMPUTED_VALUE"""),5.0)</f>
        <v>5</v>
      </c>
      <c r="D4263" s="24" t="str">
        <f>IFERROR(__xludf.DUMMYFUNCTION("""COMPUTED_VALUE"""),"Damage/expired/extra")</f>
        <v>Damage/expired/extra</v>
      </c>
      <c r="F4263" s="23">
        <f>IFERROR(__xludf.DUMMYFUNCTION("""COMPUTED_VALUE"""),44911.0)</f>
        <v>44911</v>
      </c>
      <c r="G4263" s="24" t="str">
        <f>IFERROR(__xludf.DUMMYFUNCTION("""COMPUTED_VALUE"""),"Juanita Chandler ")</f>
        <v>Juanita Chandler </v>
      </c>
      <c r="H4263" s="24">
        <f>IFERROR(__xludf.DUMMYFUNCTION("""COMPUTED_VALUE"""),8.0)</f>
        <v>8</v>
      </c>
      <c r="I4263" s="24" t="str">
        <f>IFERROR(__xludf.DUMMYFUNCTION("""COMPUTED_VALUE"""),"Damage/expired/extra")</f>
        <v>Damage/expired/extra</v>
      </c>
    </row>
    <row r="4264">
      <c r="A4264" s="23">
        <f>IFERROR(__xludf.DUMMYFUNCTION("""COMPUTED_VALUE"""),44902.84577112269)</f>
        <v>44902.84577</v>
      </c>
      <c r="B4264" s="24" t="str">
        <f>IFERROR(__xludf.DUMMYFUNCTION("""COMPUTED_VALUE"""),"Connor Gephart ")</f>
        <v>Connor Gephart </v>
      </c>
      <c r="C4264" s="24">
        <f>IFERROR(__xludf.DUMMYFUNCTION("""COMPUTED_VALUE"""),14.0)</f>
        <v>14</v>
      </c>
      <c r="D4264" s="24" t="str">
        <f>IFERROR(__xludf.DUMMYFUNCTION("""COMPUTED_VALUE"""),"Regular (up to 20lbs)")</f>
        <v>Regular (up to 20lbs)</v>
      </c>
      <c r="F4264" s="23">
        <f>IFERROR(__xludf.DUMMYFUNCTION("""COMPUTED_VALUE"""),44911.0)</f>
        <v>44911</v>
      </c>
      <c r="G4264" s="24" t="str">
        <f>IFERROR(__xludf.DUMMYFUNCTION("""COMPUTED_VALUE"""),"Theresa Columbus")</f>
        <v>Theresa Columbus</v>
      </c>
      <c r="H4264" s="24">
        <f>IFERROR(__xludf.DUMMYFUNCTION("""COMPUTED_VALUE"""),10.0)</f>
        <v>10</v>
      </c>
      <c r="I4264" s="24" t="str">
        <f>IFERROR(__xludf.DUMMYFUNCTION("""COMPUTED_VALUE"""),"Regular (up to 20lbs)")</f>
        <v>Regular (up to 20lbs)</v>
      </c>
    </row>
    <row r="4265">
      <c r="A4265" s="23">
        <f>IFERROR(__xludf.DUMMYFUNCTION("""COMPUTED_VALUE"""),44902.84591427084)</f>
        <v>44902.84591</v>
      </c>
      <c r="B4265" s="24" t="str">
        <f>IFERROR(__xludf.DUMMYFUNCTION("""COMPUTED_VALUE"""),"Connor Gephart ")</f>
        <v>Connor Gephart </v>
      </c>
      <c r="C4265" s="24">
        <f>IFERROR(__xludf.DUMMYFUNCTION("""COMPUTED_VALUE"""),2.0)</f>
        <v>2</v>
      </c>
      <c r="D4265" s="24" t="str">
        <f>IFERROR(__xludf.DUMMYFUNCTION("""COMPUTED_VALUE"""),"Damage/expired/extra")</f>
        <v>Damage/expired/extra</v>
      </c>
      <c r="F4265" s="23">
        <f>IFERROR(__xludf.DUMMYFUNCTION("""COMPUTED_VALUE"""),44911.0)</f>
        <v>44911</v>
      </c>
      <c r="G4265" s="24" t="str">
        <f>IFERROR(__xludf.DUMMYFUNCTION("""COMPUTED_VALUE"""),"Theresa Columbus")</f>
        <v>Theresa Columbus</v>
      </c>
      <c r="H4265" s="24">
        <f>IFERROR(__xludf.DUMMYFUNCTION("""COMPUTED_VALUE"""),5.0)</f>
        <v>5</v>
      </c>
      <c r="I4265" s="24" t="str">
        <f>IFERROR(__xludf.DUMMYFUNCTION("""COMPUTED_VALUE"""),"Damage/expired/extra")</f>
        <v>Damage/expired/extra</v>
      </c>
    </row>
    <row r="4266">
      <c r="A4266" s="23">
        <f>IFERROR(__xludf.DUMMYFUNCTION("""COMPUTED_VALUE"""),44903.70034311342)</f>
        <v>44903.70034</v>
      </c>
      <c r="B4266" s="24" t="str">
        <f>IFERROR(__xludf.DUMMYFUNCTION("""COMPUTED_VALUE"""),"Norrma")</f>
        <v>Norrma</v>
      </c>
      <c r="C4266" s="24">
        <f>IFERROR(__xludf.DUMMYFUNCTION("""COMPUTED_VALUE"""),11.0)</f>
        <v>11</v>
      </c>
      <c r="D4266" s="24" t="str">
        <f>IFERROR(__xludf.DUMMYFUNCTION("""COMPUTED_VALUE"""),"Regular (up to 20lbs)")</f>
        <v>Regular (up to 20lbs)</v>
      </c>
      <c r="F4266" s="23">
        <f>IFERROR(__xludf.DUMMYFUNCTION("""COMPUTED_VALUE"""),44911.57219407408)</f>
        <v>44911.57219</v>
      </c>
      <c r="G4266" s="24" t="str">
        <f>IFERROR(__xludf.DUMMYFUNCTION("""COMPUTED_VALUE"""),"JUANITA Chandler ")</f>
        <v>JUANITA Chandler </v>
      </c>
      <c r="H4266" s="24">
        <f>IFERROR(__xludf.DUMMYFUNCTION("""COMPUTED_VALUE"""),102.0)</f>
        <v>102</v>
      </c>
      <c r="I4266" s="24" t="str">
        <f>IFERROR(__xludf.DUMMYFUNCTION("""COMPUTED_VALUE"""),"COATS ")</f>
        <v>COATS </v>
      </c>
    </row>
    <row r="4267">
      <c r="A4267" s="23">
        <f>IFERROR(__xludf.DUMMYFUNCTION("""COMPUTED_VALUE"""),44903.0)</f>
        <v>44903</v>
      </c>
      <c r="B4267" s="24" t="str">
        <f>IFERROR(__xludf.DUMMYFUNCTION("""COMPUTED_VALUE"""),"Barbara Jordan")</f>
        <v>Barbara Jordan</v>
      </c>
      <c r="C4267" s="24">
        <f>IFERROR(__xludf.DUMMYFUNCTION("""COMPUTED_VALUE"""),12.0)</f>
        <v>12</v>
      </c>
      <c r="D4267" s="24" t="str">
        <f>IFERROR(__xludf.DUMMYFUNCTION("""COMPUTED_VALUE"""),"Regular (up to 20lbs)")</f>
        <v>Regular (up to 20lbs)</v>
      </c>
      <c r="F4267" s="23">
        <f>IFERROR(__xludf.DUMMYFUNCTION("""COMPUTED_VALUE"""),44911.57410351852)</f>
        <v>44911.5741</v>
      </c>
      <c r="G4267" s="24" t="str">
        <f>IFERROR(__xludf.DUMMYFUNCTION("""COMPUTED_VALUE"""),"JUANITA Chandler ")</f>
        <v>JUANITA Chandler </v>
      </c>
      <c r="H4267" s="24">
        <f>IFERROR(__xludf.DUMMYFUNCTION("""COMPUTED_VALUE"""),258.0)</f>
        <v>258</v>
      </c>
      <c r="I4267" s="24" t="str">
        <f>IFERROR(__xludf.DUMMYFUNCTION("""COMPUTED_VALUE"""),"Assorted item  BOXES ")</f>
        <v>Assorted item  BOXES </v>
      </c>
    </row>
    <row r="4268">
      <c r="A4268" s="23">
        <f>IFERROR(__xludf.DUMMYFUNCTION("""COMPUTED_VALUE"""),44903.70681685185)</f>
        <v>44903.70682</v>
      </c>
      <c r="B4268" s="24" t="str">
        <f>IFERROR(__xludf.DUMMYFUNCTION("""COMPUTED_VALUE"""),"Jean")</f>
        <v>Jean</v>
      </c>
      <c r="C4268" s="24">
        <f>IFERROR(__xludf.DUMMYFUNCTION("""COMPUTED_VALUE"""),1.0)</f>
        <v>1</v>
      </c>
      <c r="D4268" s="24" t="str">
        <f>IFERROR(__xludf.DUMMYFUNCTION("""COMPUTED_VALUE"""),"Damage/expired/extra")</f>
        <v>Damage/expired/extra</v>
      </c>
      <c r="F4268" s="23">
        <f>IFERROR(__xludf.DUMMYFUNCTION("""COMPUTED_VALUE"""),44911.575011076384)</f>
        <v>44911.57501</v>
      </c>
      <c r="G4268" s="24" t="str">
        <f>IFERROR(__xludf.DUMMYFUNCTION("""COMPUTED_VALUE"""),"JUANITA Chandler ")</f>
        <v>JUANITA Chandler </v>
      </c>
      <c r="H4268" s="24">
        <f>IFERROR(__xludf.DUMMYFUNCTION("""COMPUTED_VALUE"""),576.0)</f>
        <v>576</v>
      </c>
      <c r="I4268" s="24" t="str">
        <f>IFERROR(__xludf.DUMMYFUNCTION("""COMPUTED_VALUE"""),"Assorted item BOXES ")</f>
        <v>Assorted item BOXES </v>
      </c>
    </row>
    <row r="4269">
      <c r="A4269" s="23">
        <f>IFERROR(__xludf.DUMMYFUNCTION("""COMPUTED_VALUE"""),44903.70767736111)</f>
        <v>44903.70768</v>
      </c>
      <c r="B4269" s="24" t="str">
        <f>IFERROR(__xludf.DUMMYFUNCTION("""COMPUTED_VALUE"""),"Jean")</f>
        <v>Jean</v>
      </c>
      <c r="C4269" s="24">
        <f>IFERROR(__xludf.DUMMYFUNCTION("""COMPUTED_VALUE"""),33.0)</f>
        <v>33</v>
      </c>
      <c r="D4269" s="24" t="str">
        <f>IFERROR(__xludf.DUMMYFUNCTION("""COMPUTED_VALUE"""),"Regular (up to 20lbs)")</f>
        <v>Regular (up to 20lbs)</v>
      </c>
      <c r="F4269" s="23">
        <f>IFERROR(__xludf.DUMMYFUNCTION("""COMPUTED_VALUE"""),44911.575873298614)</f>
        <v>44911.57587</v>
      </c>
      <c r="G4269" s="24" t="str">
        <f>IFERROR(__xludf.DUMMYFUNCTION("""COMPUTED_VALUE"""),"JUANITA Chandler ")</f>
        <v>JUANITA Chandler </v>
      </c>
      <c r="H4269" s="24">
        <f>IFERROR(__xludf.DUMMYFUNCTION("""COMPUTED_VALUE"""),641.0)</f>
        <v>641</v>
      </c>
      <c r="I4269" s="24" t="str">
        <f>IFERROR(__xludf.DUMMYFUNCTION("""COMPUTED_VALUE"""),"Assorted item BOXES ")</f>
        <v>Assorted item BOXES </v>
      </c>
    </row>
    <row r="4270">
      <c r="A4270" s="23">
        <f>IFERROR(__xludf.DUMMYFUNCTION("""COMPUTED_VALUE"""),44903.0)</f>
        <v>44903</v>
      </c>
      <c r="B4270" s="24" t="str">
        <f>IFERROR(__xludf.DUMMYFUNCTION("""COMPUTED_VALUE"""),"Aziza Frank")</f>
        <v>Aziza Frank</v>
      </c>
      <c r="C4270" s="24">
        <f>IFERROR(__xludf.DUMMYFUNCTION("""COMPUTED_VALUE"""),20.0)</f>
        <v>20</v>
      </c>
      <c r="D4270" s="24" t="str">
        <f>IFERROR(__xludf.DUMMYFUNCTION("""COMPUTED_VALUE"""),"Regular (up to 20lbs)")</f>
        <v>Regular (up to 20lbs)</v>
      </c>
      <c r="F4270" s="23">
        <f>IFERROR(__xludf.DUMMYFUNCTION("""COMPUTED_VALUE"""),44911.57653737269)</f>
        <v>44911.57654</v>
      </c>
      <c r="G4270" s="24" t="str">
        <f>IFERROR(__xludf.DUMMYFUNCTION("""COMPUTED_VALUE"""),"JUANITA Chandler ")</f>
        <v>JUANITA Chandler </v>
      </c>
      <c r="H4270" s="24">
        <f>IFERROR(__xludf.DUMMYFUNCTION("""COMPUTED_VALUE"""),603.0)</f>
        <v>603</v>
      </c>
      <c r="I4270" s="24" t="str">
        <f>IFERROR(__xludf.DUMMYFUNCTION("""COMPUTED_VALUE"""),"Assorted item BOXES ")</f>
        <v>Assorted item BOXES </v>
      </c>
    </row>
    <row r="4271">
      <c r="A4271" s="23">
        <f>IFERROR(__xludf.DUMMYFUNCTION("""COMPUTED_VALUE"""),44903.0)</f>
        <v>44903</v>
      </c>
      <c r="B4271" s="24" t="str">
        <f>IFERROR(__xludf.DUMMYFUNCTION("""COMPUTED_VALUE"""),"Aziza Frank")</f>
        <v>Aziza Frank</v>
      </c>
      <c r="C4271" s="24">
        <f>IFERROR(__xludf.DUMMYFUNCTION("""COMPUTED_VALUE"""),3.0)</f>
        <v>3</v>
      </c>
      <c r="D4271" s="24" t="str">
        <f>IFERROR(__xludf.DUMMYFUNCTION("""COMPUTED_VALUE"""),"Damage/expired/extra")</f>
        <v>Damage/expired/extra</v>
      </c>
      <c r="F4271" s="23">
        <f>IFERROR(__xludf.DUMMYFUNCTION("""COMPUTED_VALUE"""),44911.578157974545)</f>
        <v>44911.57816</v>
      </c>
      <c r="G4271" s="24" t="str">
        <f>IFERROR(__xludf.DUMMYFUNCTION("""COMPUTED_VALUE"""),"JUANITA Chandler ")</f>
        <v>JUANITA Chandler </v>
      </c>
      <c r="H4271" s="24">
        <f>IFERROR(__xludf.DUMMYFUNCTION("""COMPUTED_VALUE"""),716.0)</f>
        <v>716</v>
      </c>
      <c r="I4271" s="24" t="str">
        <f>IFERROR(__xludf.DUMMYFUNCTION("""COMPUTED_VALUE"""),"Assorted item BOXES ")</f>
        <v>Assorted item BOXES </v>
      </c>
    </row>
    <row r="4272">
      <c r="A4272" s="23">
        <f>IFERROR(__xludf.DUMMYFUNCTION("""COMPUTED_VALUE"""),44903.0)</f>
        <v>44903</v>
      </c>
      <c r="B4272" s="24" t="str">
        <f>IFERROR(__xludf.DUMMYFUNCTION("""COMPUTED_VALUE"""),"Raquel Bailey")</f>
        <v>Raquel Bailey</v>
      </c>
      <c r="C4272" s="24">
        <f>IFERROR(__xludf.DUMMYFUNCTION("""COMPUTED_VALUE"""),20.0)</f>
        <v>20</v>
      </c>
      <c r="D4272" s="24" t="str">
        <f>IFERROR(__xludf.DUMMYFUNCTION("""COMPUTED_VALUE"""),"Regular (up to 20lbs)")</f>
        <v>Regular (up to 20lbs)</v>
      </c>
      <c r="F4272" s="23">
        <f>IFERROR(__xludf.DUMMYFUNCTION("""COMPUTED_VALUE"""),44911.57885952546)</f>
        <v>44911.57886</v>
      </c>
      <c r="G4272" s="24" t="str">
        <f>IFERROR(__xludf.DUMMYFUNCTION("""COMPUTED_VALUE"""),"JUANITA Chandler ")</f>
        <v>JUANITA Chandler </v>
      </c>
      <c r="H4272" s="24">
        <f>IFERROR(__xludf.DUMMYFUNCTION("""COMPUTED_VALUE"""),799.0)</f>
        <v>799</v>
      </c>
      <c r="I4272" s="24" t="str">
        <f>IFERROR(__xludf.DUMMYFUNCTION("""COMPUTED_VALUE"""),"DOLE Fruit Cup ")</f>
        <v>DOLE Fruit Cup </v>
      </c>
    </row>
    <row r="4273">
      <c r="A4273" s="23">
        <f>IFERROR(__xludf.DUMMYFUNCTION("""COMPUTED_VALUE"""),44903.0)</f>
        <v>44903</v>
      </c>
      <c r="B4273" s="24" t="str">
        <f>IFERROR(__xludf.DUMMYFUNCTION("""COMPUTED_VALUE"""),"Raquel Bailey")</f>
        <v>Raquel Bailey</v>
      </c>
      <c r="C4273" s="24">
        <f>IFERROR(__xludf.DUMMYFUNCTION("""COMPUTED_VALUE"""),5.0)</f>
        <v>5</v>
      </c>
      <c r="D4273" s="24" t="str">
        <f>IFERROR(__xludf.DUMMYFUNCTION("""COMPUTED_VALUE"""),"Damage/expired/extra")</f>
        <v>Damage/expired/extra</v>
      </c>
      <c r="F4273" s="23">
        <f>IFERROR(__xludf.DUMMYFUNCTION("""COMPUTED_VALUE"""),44911.57945538195)</f>
        <v>44911.57946</v>
      </c>
      <c r="G4273" s="24" t="str">
        <f>IFERROR(__xludf.DUMMYFUNCTION("""COMPUTED_VALUE"""),"JUANITA Chandler ")</f>
        <v>JUANITA Chandler </v>
      </c>
      <c r="H4273" s="24">
        <f>IFERROR(__xludf.DUMMYFUNCTION("""COMPUTED_VALUE"""),1056.0)</f>
        <v>1056</v>
      </c>
      <c r="I4273" s="24" t="str">
        <f>IFERROR(__xludf.DUMMYFUNCTION("""COMPUTED_VALUE"""),"DOLE Fruit Cup ")</f>
        <v>DOLE Fruit Cup </v>
      </c>
    </row>
    <row r="4274">
      <c r="A4274" s="23">
        <f>IFERROR(__xludf.DUMMYFUNCTION("""COMPUTED_VALUE"""),44903.0)</f>
        <v>44903</v>
      </c>
      <c r="B4274" s="24" t="str">
        <f>IFERROR(__xludf.DUMMYFUNCTION("""COMPUTED_VALUE"""),"Sheniel Black")</f>
        <v>Sheniel Black</v>
      </c>
      <c r="C4274" s="24">
        <f>IFERROR(__xludf.DUMMYFUNCTION("""COMPUTED_VALUE"""),20.0)</f>
        <v>20</v>
      </c>
      <c r="D4274" s="24" t="str">
        <f>IFERROR(__xludf.DUMMYFUNCTION("""COMPUTED_VALUE"""),"Regular (up to 20lbs)")</f>
        <v>Regular (up to 20lbs)</v>
      </c>
      <c r="F4274" s="23">
        <f>IFERROR(__xludf.DUMMYFUNCTION("""COMPUTED_VALUE"""),44911.630660925926)</f>
        <v>44911.63066</v>
      </c>
      <c r="G4274" s="24" t="str">
        <f>IFERROR(__xludf.DUMMYFUNCTION("""COMPUTED_VALUE"""),"JUANITA Chandler ")</f>
        <v>JUANITA Chandler </v>
      </c>
      <c r="H4274" s="24">
        <f>IFERROR(__xludf.DUMMYFUNCTION("""COMPUTED_VALUE"""),665.0)</f>
        <v>665</v>
      </c>
      <c r="I4274" s="24" t="str">
        <f>IFERROR(__xludf.DUMMYFUNCTION("""COMPUTED_VALUE"""),"Frozen [Not Meat]")</f>
        <v>Frozen [Not Meat]</v>
      </c>
    </row>
    <row r="4275">
      <c r="A4275" s="23">
        <f>IFERROR(__xludf.DUMMYFUNCTION("""COMPUTED_VALUE"""),44903.0)</f>
        <v>44903</v>
      </c>
      <c r="B4275" s="24" t="str">
        <f>IFERROR(__xludf.DUMMYFUNCTION("""COMPUTED_VALUE"""),"Nathaniel McClean")</f>
        <v>Nathaniel McClean</v>
      </c>
      <c r="C4275" s="24">
        <f>IFERROR(__xludf.DUMMYFUNCTION("""COMPUTED_VALUE"""),19.0)</f>
        <v>19</v>
      </c>
      <c r="D4275" s="24" t="str">
        <f>IFERROR(__xludf.DUMMYFUNCTION("""COMPUTED_VALUE"""),"Regular (up to 20lbs)")</f>
        <v>Regular (up to 20lbs)</v>
      </c>
      <c r="F4275" s="23">
        <f>IFERROR(__xludf.DUMMYFUNCTION("""COMPUTED_VALUE"""),44911.631339398155)</f>
        <v>44911.63134</v>
      </c>
      <c r="G4275" s="24" t="str">
        <f>IFERROR(__xludf.DUMMYFUNCTION("""COMPUTED_VALUE"""),"JUANITA Chandler ")</f>
        <v>JUANITA Chandler </v>
      </c>
      <c r="H4275" s="24">
        <f>IFERROR(__xludf.DUMMYFUNCTION("""COMPUTED_VALUE"""),367.0)</f>
        <v>367</v>
      </c>
      <c r="I4275" s="24" t="str">
        <f>IFERROR(__xludf.DUMMYFUNCTION("""COMPUTED_VALUE"""),"Frozen [Not Meat]")</f>
        <v>Frozen [Not Meat]</v>
      </c>
    </row>
    <row r="4276">
      <c r="A4276" s="23">
        <f>IFERROR(__xludf.DUMMYFUNCTION("""COMPUTED_VALUE"""),44903.0)</f>
        <v>44903</v>
      </c>
      <c r="B4276" s="24" t="str">
        <f>IFERROR(__xludf.DUMMYFUNCTION("""COMPUTED_VALUE"""),"Nathaniel McClean")</f>
        <v>Nathaniel McClean</v>
      </c>
      <c r="C4276" s="24">
        <f>IFERROR(__xludf.DUMMYFUNCTION("""COMPUTED_VALUE"""),15.0)</f>
        <v>15</v>
      </c>
      <c r="D4276" s="24" t="str">
        <f>IFERROR(__xludf.DUMMYFUNCTION("""COMPUTED_VALUE"""),"Damage/expired/extra")</f>
        <v>Damage/expired/extra</v>
      </c>
      <c r="F4276" s="23">
        <f>IFERROR(__xludf.DUMMYFUNCTION("""COMPUTED_VALUE"""),44911.632624826394)</f>
        <v>44911.63262</v>
      </c>
      <c r="G4276" s="24" t="str">
        <f>IFERROR(__xludf.DUMMYFUNCTION("""COMPUTED_VALUE"""),"JUANITA Chandler ")</f>
        <v>JUANITA Chandler </v>
      </c>
      <c r="H4276" s="24">
        <f>IFERROR(__xludf.DUMMYFUNCTION("""COMPUTED_VALUE"""),86.0)</f>
        <v>86</v>
      </c>
      <c r="I4276" s="24" t="str">
        <f>IFERROR(__xludf.DUMMYFUNCTION("""COMPUTED_VALUE"""),"Meat [Raw]")</f>
        <v>Meat [Raw]</v>
      </c>
    </row>
    <row r="4277">
      <c r="A4277" s="23">
        <f>IFERROR(__xludf.DUMMYFUNCTION("""COMPUTED_VALUE"""),44903.0)</f>
        <v>44903</v>
      </c>
      <c r="B4277" s="24" t="str">
        <f>IFERROR(__xludf.DUMMYFUNCTION("""COMPUTED_VALUE"""),"Kelly Evans")</f>
        <v>Kelly Evans</v>
      </c>
      <c r="C4277" s="24">
        <f>IFERROR(__xludf.DUMMYFUNCTION("""COMPUTED_VALUE"""),20.0)</f>
        <v>20</v>
      </c>
      <c r="D4277" s="24" t="str">
        <f>IFERROR(__xludf.DUMMYFUNCTION("""COMPUTED_VALUE"""),"Regular (up to 20lbs)")</f>
        <v>Regular (up to 20lbs)</v>
      </c>
      <c r="F4277" s="23">
        <f>IFERROR(__xludf.DUMMYFUNCTION("""COMPUTED_VALUE"""),44911.6346396412)</f>
        <v>44911.63464</v>
      </c>
      <c r="G4277" s="24" t="str">
        <f>IFERROR(__xludf.DUMMYFUNCTION("""COMPUTED_VALUE"""),"JUANITA Chandler ")</f>
        <v>JUANITA Chandler </v>
      </c>
      <c r="H4277" s="24">
        <f>IFERROR(__xludf.DUMMYFUNCTION("""COMPUTED_VALUE"""),954.0)</f>
        <v>954</v>
      </c>
      <c r="I4277" s="24" t="str">
        <f>IFERROR(__xludf.DUMMYFUNCTION("""COMPUTED_VALUE"""),"Assorted item BOXES ")</f>
        <v>Assorted item BOXES </v>
      </c>
    </row>
    <row r="4278">
      <c r="A4278" s="23">
        <f>IFERROR(__xludf.DUMMYFUNCTION("""COMPUTED_VALUE"""),44903.855942222224)</f>
        <v>44903.85594</v>
      </c>
      <c r="B4278" s="24" t="str">
        <f>IFERROR(__xludf.DUMMYFUNCTION("""COMPUTED_VALUE"""),"adeola sulaiman")</f>
        <v>adeola sulaiman</v>
      </c>
      <c r="C4278" s="24">
        <f>IFERROR(__xludf.DUMMYFUNCTION("""COMPUTED_VALUE"""),20.0)</f>
        <v>20</v>
      </c>
      <c r="D4278" s="24" t="str">
        <f>IFERROR(__xludf.DUMMYFUNCTION("""COMPUTED_VALUE"""),"Regular (up to 20lbs)")</f>
        <v>Regular (up to 20lbs)</v>
      </c>
      <c r="F4278" s="23">
        <f>IFERROR(__xludf.DUMMYFUNCTION("""COMPUTED_VALUE"""),44911.70311150463)</f>
        <v>44911.70311</v>
      </c>
      <c r="G4278" s="24" t="str">
        <f>IFERROR(__xludf.DUMMYFUNCTION("""COMPUTED_VALUE"""),"Beth Torres")</f>
        <v>Beth Torres</v>
      </c>
      <c r="H4278" s="24">
        <f>IFERROR(__xludf.DUMMYFUNCTION("""COMPUTED_VALUE"""),16.0)</f>
        <v>16</v>
      </c>
      <c r="I4278" s="24" t="str">
        <f>IFERROR(__xludf.DUMMYFUNCTION("""COMPUTED_VALUE"""),"Personal Care")</f>
        <v>Personal Care</v>
      </c>
    </row>
    <row r="4279">
      <c r="A4279" s="23">
        <f>IFERROR(__xludf.DUMMYFUNCTION("""COMPUTED_VALUE"""),44903.85605887732)</f>
        <v>44903.85606</v>
      </c>
      <c r="B4279" s="24" t="str">
        <f>IFERROR(__xludf.DUMMYFUNCTION("""COMPUTED_VALUE"""),"adeola sulaiman")</f>
        <v>adeola sulaiman</v>
      </c>
      <c r="C4279" s="24">
        <f>IFERROR(__xludf.DUMMYFUNCTION("""COMPUTED_VALUE"""),2.0)</f>
        <v>2</v>
      </c>
      <c r="D4279" s="24" t="str">
        <f>IFERROR(__xludf.DUMMYFUNCTION("""COMPUTED_VALUE"""),"Damage/expired/extra")</f>
        <v>Damage/expired/extra</v>
      </c>
      <c r="F4279" s="23">
        <f>IFERROR(__xludf.DUMMYFUNCTION("""COMPUTED_VALUE"""),44911.70959622685)</f>
        <v>44911.7096</v>
      </c>
      <c r="G4279" s="24" t="str">
        <f>IFERROR(__xludf.DUMMYFUNCTION("""COMPUTED_VALUE"""),"Sunita pathik ")</f>
        <v>Sunita pathik </v>
      </c>
      <c r="H4279" s="24">
        <f>IFERROR(__xludf.DUMMYFUNCTION("""COMPUTED_VALUE"""),8.0)</f>
        <v>8</v>
      </c>
      <c r="I4279" s="24" t="str">
        <f>IFERROR(__xludf.DUMMYFUNCTION("""COMPUTED_VALUE"""),"Regular (up to 20lbs)")</f>
        <v>Regular (up to 20lbs)</v>
      </c>
    </row>
    <row r="4280">
      <c r="A4280" s="23">
        <f>IFERROR(__xludf.DUMMYFUNCTION("""COMPUTED_VALUE"""),44903.85627962963)</f>
        <v>44903.85628</v>
      </c>
      <c r="B4280" s="24" t="str">
        <f>IFERROR(__xludf.DUMMYFUNCTION("""COMPUTED_VALUE"""),"Adriana ")</f>
        <v>Adriana </v>
      </c>
      <c r="C4280" s="24">
        <f>IFERROR(__xludf.DUMMYFUNCTION("""COMPUTED_VALUE"""),15.0)</f>
        <v>15</v>
      </c>
      <c r="D4280" s="24" t="str">
        <f>IFERROR(__xludf.DUMMYFUNCTION("""COMPUTED_VALUE"""),"Regular (up to 20lbs)")</f>
        <v>Regular (up to 20lbs)</v>
      </c>
      <c r="F4280" s="23">
        <f>IFERROR(__xludf.DUMMYFUNCTION("""COMPUTED_VALUE"""),44911.71032975694)</f>
        <v>44911.71033</v>
      </c>
      <c r="G4280" s="24" t="str">
        <f>IFERROR(__xludf.DUMMYFUNCTION("""COMPUTED_VALUE"""),"Sunita pathik")</f>
        <v>Sunita pathik</v>
      </c>
      <c r="H4280" s="24">
        <f>IFERROR(__xludf.DUMMYFUNCTION("""COMPUTED_VALUE"""),147.0)</f>
        <v>147</v>
      </c>
      <c r="I4280" s="24" t="str">
        <f>IFERROR(__xludf.DUMMYFUNCTION("""COMPUTED_VALUE"""),"Assorted Fridge")</f>
        <v>Assorted Fridge</v>
      </c>
    </row>
    <row r="4281">
      <c r="A4281" s="23">
        <f>IFERROR(__xludf.DUMMYFUNCTION("""COMPUTED_VALUE"""),44903.85657090278)</f>
        <v>44903.85657</v>
      </c>
      <c r="B4281" s="24" t="str">
        <f>IFERROR(__xludf.DUMMYFUNCTION("""COMPUTED_VALUE"""),"Adriana hill ")</f>
        <v>Adriana hill </v>
      </c>
      <c r="C4281" s="24">
        <f>IFERROR(__xludf.DUMMYFUNCTION("""COMPUTED_VALUE"""),6.0)</f>
        <v>6</v>
      </c>
      <c r="D4281" s="24" t="str">
        <f>IFERROR(__xludf.DUMMYFUNCTION("""COMPUTED_VALUE"""),"Damage/expired/extra")</f>
        <v>Damage/expired/extra</v>
      </c>
      <c r="F4281" s="23">
        <f>IFERROR(__xludf.DUMMYFUNCTION("""COMPUTED_VALUE"""),44911.712339618054)</f>
        <v>44911.71234</v>
      </c>
      <c r="G4281" s="24" t="str">
        <f>IFERROR(__xludf.DUMMYFUNCTION("""COMPUTED_VALUE"""),"Beth Torres")</f>
        <v>Beth Torres</v>
      </c>
      <c r="H4281" s="24">
        <f>IFERROR(__xludf.DUMMYFUNCTION("""COMPUTED_VALUE"""),6.0)</f>
        <v>6</v>
      </c>
      <c r="I4281" s="24" t="str">
        <f>IFERROR(__xludf.DUMMYFUNCTION("""COMPUTED_VALUE"""),"Regular (up to 20lbs)")</f>
        <v>Regular (up to 20lbs)</v>
      </c>
    </row>
    <row r="4282">
      <c r="A4282" s="23">
        <f>IFERROR(__xludf.DUMMYFUNCTION("""COMPUTED_VALUE"""),44903.85687047454)</f>
        <v>44903.85687</v>
      </c>
      <c r="B4282" s="24" t="str">
        <f>IFERROR(__xludf.DUMMYFUNCTION("""COMPUTED_VALUE"""),"Nani ")</f>
        <v>Nani </v>
      </c>
      <c r="C4282" s="24">
        <f>IFERROR(__xludf.DUMMYFUNCTION("""COMPUTED_VALUE"""),10.0)</f>
        <v>10</v>
      </c>
      <c r="D4282" s="24" t="str">
        <f>IFERROR(__xludf.DUMMYFUNCTION("""COMPUTED_VALUE"""),"Regular (up to 20lbs)")</f>
        <v>Regular (up to 20lbs)</v>
      </c>
      <c r="F4282" s="23">
        <f>IFERROR(__xludf.DUMMYFUNCTION("""COMPUTED_VALUE"""),44911.71250569444)</f>
        <v>44911.71251</v>
      </c>
      <c r="G4282" s="24" t="str">
        <f>IFERROR(__xludf.DUMMYFUNCTION("""COMPUTED_VALUE"""),"Beth Torres")</f>
        <v>Beth Torres</v>
      </c>
      <c r="H4282" s="24">
        <f>IFERROR(__xludf.DUMMYFUNCTION("""COMPUTED_VALUE"""),10.0)</f>
        <v>10</v>
      </c>
      <c r="I4282" s="24" t="str">
        <f>IFERROR(__xludf.DUMMYFUNCTION("""COMPUTED_VALUE"""),"Damage/expired/extra")</f>
        <v>Damage/expired/extra</v>
      </c>
    </row>
    <row r="4283">
      <c r="A4283" s="23">
        <f>IFERROR(__xludf.DUMMYFUNCTION("""COMPUTED_VALUE"""),44903.85696716435)</f>
        <v>44903.85697</v>
      </c>
      <c r="B4283" s="24" t="str">
        <f>IFERROR(__xludf.DUMMYFUNCTION("""COMPUTED_VALUE"""),"Nani")</f>
        <v>Nani</v>
      </c>
      <c r="C4283" s="24">
        <f>IFERROR(__xludf.DUMMYFUNCTION("""COMPUTED_VALUE"""),6.0)</f>
        <v>6</v>
      </c>
      <c r="D4283" s="24" t="str">
        <f>IFERROR(__xludf.DUMMYFUNCTION("""COMPUTED_VALUE"""),"Damage/expired/extra")</f>
        <v>Damage/expired/extra</v>
      </c>
      <c r="F4283" s="23">
        <f>IFERROR(__xludf.DUMMYFUNCTION("""COMPUTED_VALUE"""),44912.0)</f>
        <v>44912</v>
      </c>
      <c r="G4283" s="24" t="str">
        <f>IFERROR(__xludf.DUMMYFUNCTION("""COMPUTED_VALUE"""),"Juanita Chandler ")</f>
        <v>Juanita Chandler </v>
      </c>
      <c r="H4283" s="24">
        <f>IFERROR(__xludf.DUMMYFUNCTION("""COMPUTED_VALUE"""),6.0)</f>
        <v>6</v>
      </c>
      <c r="I4283" s="24" t="str">
        <f>IFERROR(__xludf.DUMMYFUNCTION("""COMPUTED_VALUE"""),"Regular (up to 20lbs)")</f>
        <v>Regular (up to 20lbs)</v>
      </c>
    </row>
    <row r="4284">
      <c r="A4284" s="23">
        <f>IFERROR(__xludf.DUMMYFUNCTION("""COMPUTED_VALUE"""),44903.85832662037)</f>
        <v>44903.85833</v>
      </c>
      <c r="B4284" s="24" t="str">
        <f>IFERROR(__xludf.DUMMYFUNCTION("""COMPUTED_VALUE"""),"Obinna Nwokoro")</f>
        <v>Obinna Nwokoro</v>
      </c>
      <c r="C4284" s="24">
        <f>IFERROR(__xludf.DUMMYFUNCTION("""COMPUTED_VALUE"""),20.0)</f>
        <v>20</v>
      </c>
      <c r="D4284" s="24" t="str">
        <f>IFERROR(__xludf.DUMMYFUNCTION("""COMPUTED_VALUE"""),"Regular (up to 20lbs)")</f>
        <v>Regular (up to 20lbs)</v>
      </c>
      <c r="F4284" s="23">
        <f>IFERROR(__xludf.DUMMYFUNCTION("""COMPUTED_VALUE"""),44912.0)</f>
        <v>44912</v>
      </c>
      <c r="G4284" s="24" t="str">
        <f>IFERROR(__xludf.DUMMYFUNCTION("""COMPUTED_VALUE"""),"Cheryl Utsey")</f>
        <v>Cheryl Utsey</v>
      </c>
      <c r="H4284" s="24">
        <f>IFERROR(__xludf.DUMMYFUNCTION("""COMPUTED_VALUE"""),9.0)</f>
        <v>9</v>
      </c>
      <c r="I4284" s="24" t="str">
        <f>IFERROR(__xludf.DUMMYFUNCTION("""COMPUTED_VALUE"""),"Regular (up to 20lbs)")</f>
        <v>Regular (up to 20lbs)</v>
      </c>
    </row>
    <row r="4285">
      <c r="A4285" s="23">
        <f>IFERROR(__xludf.DUMMYFUNCTION("""COMPUTED_VALUE"""),44903.0)</f>
        <v>44903</v>
      </c>
      <c r="B4285" s="24" t="str">
        <f>IFERROR(__xludf.DUMMYFUNCTION("""COMPUTED_VALUE"""),"Obinna Nwokoro")</f>
        <v>Obinna Nwokoro</v>
      </c>
      <c r="C4285" s="24">
        <f>IFERROR(__xludf.DUMMYFUNCTION("""COMPUTED_VALUE"""),1.0)</f>
        <v>1</v>
      </c>
      <c r="D4285" s="24" t="str">
        <f>IFERROR(__xludf.DUMMYFUNCTION("""COMPUTED_VALUE"""),"Damage/expired/extra")</f>
        <v>Damage/expired/extra</v>
      </c>
      <c r="F4285" s="23">
        <f>IFERROR(__xludf.DUMMYFUNCTION("""COMPUTED_VALUE"""),44912.0)</f>
        <v>44912</v>
      </c>
      <c r="G4285" s="24" t="str">
        <f>IFERROR(__xludf.DUMMYFUNCTION("""COMPUTED_VALUE"""),"Janet Lomax")</f>
        <v>Janet Lomax</v>
      </c>
      <c r="H4285" s="24">
        <f>IFERROR(__xludf.DUMMYFUNCTION("""COMPUTED_VALUE"""),3.0)</f>
        <v>3</v>
      </c>
      <c r="I4285" s="24" t="str">
        <f>IFERROR(__xludf.DUMMYFUNCTION("""COMPUTED_VALUE"""),"Regular (up to 20lbs)")</f>
        <v>Regular (up to 20lbs)</v>
      </c>
    </row>
    <row r="4286">
      <c r="A4286" s="23">
        <f>IFERROR(__xludf.DUMMYFUNCTION("""COMPUTED_VALUE"""),44904.0)</f>
        <v>44904</v>
      </c>
      <c r="B4286" s="24" t="str">
        <f>IFERROR(__xludf.DUMMYFUNCTION("""COMPUTED_VALUE"""),"Juanita Chandler ")</f>
        <v>Juanita Chandler </v>
      </c>
      <c r="C4286" s="24">
        <f>IFERROR(__xludf.DUMMYFUNCTION("""COMPUTED_VALUE"""),9.0)</f>
        <v>9</v>
      </c>
      <c r="D4286" s="24" t="str">
        <f>IFERROR(__xludf.DUMMYFUNCTION("""COMPUTED_VALUE"""),"Regular (up to 20lbs)")</f>
        <v>Regular (up to 20lbs)</v>
      </c>
      <c r="F4286" s="23">
        <f>IFERROR(__xludf.DUMMYFUNCTION("""COMPUTED_VALUE"""),44912.50739822917)</f>
        <v>44912.5074</v>
      </c>
      <c r="G4286" s="24" t="str">
        <f>IFERROR(__xludf.DUMMYFUNCTION("""COMPUTED_VALUE"""),"Bud Stracker-Sisson st dpw")</f>
        <v>Bud Stracker-Sisson st dpw</v>
      </c>
      <c r="H4286" s="24">
        <f>IFERROR(__xludf.DUMMYFUNCTION("""COMPUTED_VALUE"""),7.0)</f>
        <v>7</v>
      </c>
      <c r="I4286" s="24" t="str">
        <f>IFERROR(__xludf.DUMMYFUNCTION("""COMPUTED_VALUE"""),"Regular (up to 20lbs)")</f>
        <v>Regular (up to 20lbs)</v>
      </c>
    </row>
    <row r="4287">
      <c r="A4287" s="23">
        <f>IFERROR(__xludf.DUMMYFUNCTION("""COMPUTED_VALUE"""),44904.0)</f>
        <v>44904</v>
      </c>
      <c r="B4287" s="24" t="str">
        <f>IFERROR(__xludf.DUMMYFUNCTION("""COMPUTED_VALUE"""),"Juanita Chandler ")</f>
        <v>Juanita Chandler </v>
      </c>
      <c r="C4287" s="24">
        <f>IFERROR(__xludf.DUMMYFUNCTION("""COMPUTED_VALUE"""),19.0)</f>
        <v>19</v>
      </c>
      <c r="D4287" s="24" t="str">
        <f>IFERROR(__xludf.DUMMYFUNCTION("""COMPUTED_VALUE"""),"Damage/expired/extra")</f>
        <v>Damage/expired/extra</v>
      </c>
      <c r="F4287" s="23">
        <f>IFERROR(__xludf.DUMMYFUNCTION("""COMPUTED_VALUE"""),44912.70699127315)</f>
        <v>44912.70699</v>
      </c>
      <c r="G4287" s="24" t="str">
        <f>IFERROR(__xludf.DUMMYFUNCTION("""COMPUTED_VALUE"""),"Dean Chien")</f>
        <v>Dean Chien</v>
      </c>
      <c r="H4287" s="24">
        <f>IFERROR(__xludf.DUMMYFUNCTION("""COMPUTED_VALUE"""),15.0)</f>
        <v>15</v>
      </c>
      <c r="I4287" s="24" t="str">
        <f>IFERROR(__xludf.DUMMYFUNCTION("""COMPUTED_VALUE"""),"Regular (up to 20lbs)")</f>
        <v>Regular (up to 20lbs)</v>
      </c>
    </row>
    <row r="4288">
      <c r="A4288" s="23">
        <f>IFERROR(__xludf.DUMMYFUNCTION("""COMPUTED_VALUE"""),44904.0)</f>
        <v>44904</v>
      </c>
      <c r="B4288" s="24" t="str">
        <f>IFERROR(__xludf.DUMMYFUNCTION("""COMPUTED_VALUE"""),"Theresa Columbus")</f>
        <v>Theresa Columbus</v>
      </c>
      <c r="C4288" s="24">
        <f>IFERROR(__xludf.DUMMYFUNCTION("""COMPUTED_VALUE"""),18.0)</f>
        <v>18</v>
      </c>
      <c r="D4288" s="24" t="str">
        <f>IFERROR(__xludf.DUMMYFUNCTION("""COMPUTED_VALUE"""),"Regular (up to 20lbs)")</f>
        <v>Regular (up to 20lbs)</v>
      </c>
      <c r="F4288" s="23">
        <f>IFERROR(__xludf.DUMMYFUNCTION("""COMPUTED_VALUE"""),44912.711070046294)</f>
        <v>44912.71107</v>
      </c>
      <c r="G4288" s="24" t="str">
        <f>IFERROR(__xludf.DUMMYFUNCTION("""COMPUTED_VALUE"""),"Sara")</f>
        <v>Sara</v>
      </c>
      <c r="H4288" s="24">
        <f>IFERROR(__xludf.DUMMYFUNCTION("""COMPUTED_VALUE"""),10.0)</f>
        <v>10</v>
      </c>
      <c r="I4288" s="24" t="str">
        <f>IFERROR(__xludf.DUMMYFUNCTION("""COMPUTED_VALUE"""),"Regular (up to 20lbs)")</f>
        <v>Regular (up to 20lbs)</v>
      </c>
    </row>
    <row r="4289">
      <c r="A4289" s="23">
        <f>IFERROR(__xludf.DUMMYFUNCTION("""COMPUTED_VALUE"""),44904.0)</f>
        <v>44904</v>
      </c>
      <c r="B4289" s="24" t="str">
        <f>IFERROR(__xludf.DUMMYFUNCTION("""COMPUTED_VALUE"""),"Theresa Columbus")</f>
        <v>Theresa Columbus</v>
      </c>
      <c r="C4289" s="24">
        <f>IFERROR(__xludf.DUMMYFUNCTION("""COMPUTED_VALUE"""),9.0)</f>
        <v>9</v>
      </c>
      <c r="D4289" s="24" t="str">
        <f>IFERROR(__xludf.DUMMYFUNCTION("""COMPUTED_VALUE"""),"Damage/expired/extra")</f>
        <v>Damage/expired/extra</v>
      </c>
      <c r="F4289" s="23">
        <f>IFERROR(__xludf.DUMMYFUNCTION("""COMPUTED_VALUE"""),44913.0)</f>
        <v>44913</v>
      </c>
      <c r="G4289" s="24" t="str">
        <f>IFERROR(__xludf.DUMMYFUNCTION("""COMPUTED_VALUE"""),"Claire")</f>
        <v>Claire</v>
      </c>
      <c r="H4289" s="24">
        <f>IFERROR(__xludf.DUMMYFUNCTION("""COMPUTED_VALUE"""),18.0)</f>
        <v>18</v>
      </c>
      <c r="I4289" s="24" t="str">
        <f>IFERROR(__xludf.DUMMYFUNCTION("""COMPUTED_VALUE"""),"Gloves")</f>
        <v>Gloves</v>
      </c>
    </row>
    <row r="4290">
      <c r="A4290" s="23">
        <f>IFERROR(__xludf.DUMMYFUNCTION("""COMPUTED_VALUE"""),44904.58046402778)</f>
        <v>44904.58046</v>
      </c>
      <c r="B4290" s="24" t="str">
        <f>IFERROR(__xludf.DUMMYFUNCTION("""COMPUTED_VALUE"""),"Jean")</f>
        <v>Jean</v>
      </c>
      <c r="C4290" s="24">
        <f>IFERROR(__xludf.DUMMYFUNCTION("""COMPUTED_VALUE"""),24.0)</f>
        <v>24</v>
      </c>
      <c r="D4290" s="24" t="str">
        <f>IFERROR(__xludf.DUMMYFUNCTION("""COMPUTED_VALUE"""),"Damage/expired/extra")</f>
        <v>Damage/expired/extra</v>
      </c>
      <c r="F4290" s="23">
        <f>IFERROR(__xludf.DUMMYFUNCTION("""COMPUTED_VALUE"""),44913.0)</f>
        <v>44913</v>
      </c>
      <c r="G4290" s="24" t="str">
        <f>IFERROR(__xludf.DUMMYFUNCTION("""COMPUTED_VALUE"""),"Juanita Chandler ")</f>
        <v>Juanita Chandler </v>
      </c>
      <c r="H4290" s="24">
        <f>IFERROR(__xludf.DUMMYFUNCTION("""COMPUTED_VALUE"""),12.0)</f>
        <v>12</v>
      </c>
      <c r="I4290" s="24" t="str">
        <f>IFERROR(__xludf.DUMMYFUNCTION("""COMPUTED_VALUE"""),"Regular (up to 20lbs)")</f>
        <v>Regular (up to 20lbs)</v>
      </c>
    </row>
    <row r="4291">
      <c r="A4291" s="23">
        <f>IFERROR(__xludf.DUMMYFUNCTION("""COMPUTED_VALUE"""),44904.70137755787)</f>
        <v>44904.70138</v>
      </c>
      <c r="B4291" s="24" t="str">
        <f>IFERROR(__xludf.DUMMYFUNCTION("""COMPUTED_VALUE"""),"Beth Torres")</f>
        <v>Beth Torres</v>
      </c>
      <c r="C4291" s="24">
        <f>IFERROR(__xludf.DUMMYFUNCTION("""COMPUTED_VALUE"""),8.0)</f>
        <v>8</v>
      </c>
      <c r="D4291" s="24" t="str">
        <f>IFERROR(__xludf.DUMMYFUNCTION("""COMPUTED_VALUE"""),"Regular (up to 20lbs)")</f>
        <v>Regular (up to 20lbs)</v>
      </c>
      <c r="F4291" s="23">
        <f>IFERROR(__xludf.DUMMYFUNCTION("""COMPUTED_VALUE"""),44913.0)</f>
        <v>44913</v>
      </c>
      <c r="G4291" s="24" t="str">
        <f>IFERROR(__xludf.DUMMYFUNCTION("""COMPUTED_VALUE"""),"Juanita Chandler ")</f>
        <v>Juanita Chandler </v>
      </c>
      <c r="H4291" s="24">
        <f>IFERROR(__xludf.DUMMYFUNCTION("""COMPUTED_VALUE"""),25.0)</f>
        <v>25</v>
      </c>
      <c r="I4291" s="24" t="str">
        <f>IFERROR(__xludf.DUMMYFUNCTION("""COMPUTED_VALUE"""),"Damage/expired/extra")</f>
        <v>Damage/expired/extra</v>
      </c>
    </row>
    <row r="4292">
      <c r="A4292" s="23">
        <f>IFERROR(__xludf.DUMMYFUNCTION("""COMPUTED_VALUE"""),44904.701495995374)</f>
        <v>44904.7015</v>
      </c>
      <c r="B4292" s="24" t="str">
        <f>IFERROR(__xludf.DUMMYFUNCTION("""COMPUTED_VALUE"""),"Beth Torres")</f>
        <v>Beth Torres</v>
      </c>
      <c r="C4292" s="24">
        <f>IFERROR(__xludf.DUMMYFUNCTION("""COMPUTED_VALUE"""),9.0)</f>
        <v>9</v>
      </c>
      <c r="D4292" s="24" t="str">
        <f>IFERROR(__xludf.DUMMYFUNCTION("""COMPUTED_VALUE"""),"Damage/expired/extra")</f>
        <v>Damage/expired/extra</v>
      </c>
      <c r="F4292" s="23">
        <f>IFERROR(__xludf.DUMMYFUNCTION("""COMPUTED_VALUE"""),44913.60756612269)</f>
        <v>44913.60757</v>
      </c>
      <c r="G4292" s="24" t="str">
        <f>IFERROR(__xludf.DUMMYFUNCTION("""COMPUTED_VALUE"""),"JUANITA Chandler ")</f>
        <v>JUANITA Chandler </v>
      </c>
      <c r="H4292" s="24">
        <f>IFERROR(__xludf.DUMMYFUNCTION("""COMPUTED_VALUE"""),93.0)</f>
        <v>93</v>
      </c>
      <c r="I4292" s="24" t="str">
        <f>IFERROR(__xludf.DUMMYFUNCTION("""COMPUTED_VALUE"""),"Gift Boxes")</f>
        <v>Gift Boxes</v>
      </c>
    </row>
    <row r="4293">
      <c r="A4293" s="23">
        <f>IFERROR(__xludf.DUMMYFUNCTION("""COMPUTED_VALUE"""),44904.71116466435)</f>
        <v>44904.71116</v>
      </c>
      <c r="B4293" s="24" t="str">
        <f>IFERROR(__xludf.DUMMYFUNCTION("""COMPUTED_VALUE"""),"Sunita pathik")</f>
        <v>Sunita pathik</v>
      </c>
      <c r="C4293" s="24">
        <f>IFERROR(__xludf.DUMMYFUNCTION("""COMPUTED_VALUE"""),8.0)</f>
        <v>8</v>
      </c>
      <c r="D4293" s="24" t="str">
        <f>IFERROR(__xludf.DUMMYFUNCTION("""COMPUTED_VALUE"""),"Regular (up to 20lbs)")</f>
        <v>Regular (up to 20lbs)</v>
      </c>
      <c r="F4293" s="23">
        <f>IFERROR(__xludf.DUMMYFUNCTION("""COMPUTED_VALUE"""),44913.60807805556)</f>
        <v>44913.60808</v>
      </c>
      <c r="G4293" s="24" t="str">
        <f>IFERROR(__xludf.DUMMYFUNCTION("""COMPUTED_VALUE"""),"JUANITA Chandler ")</f>
        <v>JUANITA Chandler </v>
      </c>
      <c r="H4293" s="24">
        <f>IFERROR(__xludf.DUMMYFUNCTION("""COMPUTED_VALUE"""),281.0)</f>
        <v>281</v>
      </c>
      <c r="I4293" s="24" t="str">
        <f>IFERROR(__xludf.DUMMYFUNCTION("""COMPUTED_VALUE"""),"Dole Fruit Cup ")</f>
        <v>Dole Fruit Cup </v>
      </c>
    </row>
    <row r="4294">
      <c r="A4294" s="23">
        <f>IFERROR(__xludf.DUMMYFUNCTION("""COMPUTED_VALUE"""),44905.679077615736)</f>
        <v>44905.67908</v>
      </c>
      <c r="B4294" s="24" t="str">
        <f>IFERROR(__xludf.DUMMYFUNCTION("""COMPUTED_VALUE"""),"Ryan Kasraii")</f>
        <v>Ryan Kasraii</v>
      </c>
      <c r="C4294" s="24">
        <f>IFERROR(__xludf.DUMMYFUNCTION("""COMPUTED_VALUE"""),16.0)</f>
        <v>16</v>
      </c>
      <c r="D4294" s="24" t="str">
        <f>IFERROR(__xludf.DUMMYFUNCTION("""COMPUTED_VALUE"""),"Regular (up to 20lbs)")</f>
        <v>Regular (up to 20lbs)</v>
      </c>
      <c r="F4294" s="23">
        <f>IFERROR(__xludf.DUMMYFUNCTION("""COMPUTED_VALUE"""),44913.60904886574)</f>
        <v>44913.60905</v>
      </c>
      <c r="G4294" s="24" t="str">
        <f>IFERROR(__xludf.DUMMYFUNCTION("""COMPUTED_VALUE"""),"JUANITA Chandler ")</f>
        <v>JUANITA Chandler </v>
      </c>
      <c r="H4294" s="24">
        <f>IFERROR(__xludf.DUMMYFUNCTION("""COMPUTED_VALUE"""),188.0)</f>
        <v>188</v>
      </c>
      <c r="I4294" s="24" t="str">
        <f>IFERROR(__xludf.DUMMYFUNCTION("""COMPUTED_VALUE"""),"Frozen [Not Meat]")</f>
        <v>Frozen [Not Meat]</v>
      </c>
    </row>
    <row r="4295">
      <c r="A4295" s="23">
        <f>IFERROR(__xludf.DUMMYFUNCTION("""COMPUTED_VALUE"""),44905.0)</f>
        <v>44905</v>
      </c>
      <c r="B4295" s="24" t="str">
        <f>IFERROR(__xludf.DUMMYFUNCTION("""COMPUTED_VALUE"""),"Ryan Kasraii")</f>
        <v>Ryan Kasraii</v>
      </c>
      <c r="C4295" s="24">
        <f>IFERROR(__xludf.DUMMYFUNCTION("""COMPUTED_VALUE"""),2.0)</f>
        <v>2</v>
      </c>
      <c r="D4295" s="24" t="str">
        <f>IFERROR(__xludf.DUMMYFUNCTION("""COMPUTED_VALUE"""),"Damage/expired/extra")</f>
        <v>Damage/expired/extra</v>
      </c>
      <c r="F4295" s="23">
        <f>IFERROR(__xludf.DUMMYFUNCTION("""COMPUTED_VALUE"""),44913.61003118056)</f>
        <v>44913.61003</v>
      </c>
      <c r="G4295" s="24" t="str">
        <f>IFERROR(__xludf.DUMMYFUNCTION("""COMPUTED_VALUE"""),"JUANITA Chandler ")</f>
        <v>JUANITA Chandler </v>
      </c>
      <c r="H4295" s="24">
        <f>IFERROR(__xludf.DUMMYFUNCTION("""COMPUTED_VALUE"""),59.0)</f>
        <v>59</v>
      </c>
      <c r="I4295" s="24" t="str">
        <f>IFERROR(__xludf.DUMMYFUNCTION("""COMPUTED_VALUE"""),"Dog food Cat Litter ")</f>
        <v>Dog food Cat Litter </v>
      </c>
    </row>
    <row r="4296">
      <c r="A4296" s="23">
        <f>IFERROR(__xludf.DUMMYFUNCTION("""COMPUTED_VALUE"""),44905.0)</f>
        <v>44905</v>
      </c>
      <c r="B4296" s="24" t="str">
        <f>IFERROR(__xludf.DUMMYFUNCTION("""COMPUTED_VALUE"""),"Efrain Baca")</f>
        <v>Efrain Baca</v>
      </c>
      <c r="C4296" s="24">
        <f>IFERROR(__xludf.DUMMYFUNCTION("""COMPUTED_VALUE"""),6.0)</f>
        <v>6</v>
      </c>
      <c r="D4296" s="24" t="str">
        <f>IFERROR(__xludf.DUMMYFUNCTION("""COMPUTED_VALUE"""),"Damage/expired/extra")</f>
        <v>Damage/expired/extra</v>
      </c>
      <c r="F4296" s="23">
        <f>IFERROR(__xludf.DUMMYFUNCTION("""COMPUTED_VALUE"""),44913.61075379629)</f>
        <v>44913.61075</v>
      </c>
      <c r="G4296" s="24" t="str">
        <f>IFERROR(__xludf.DUMMYFUNCTION("""COMPUTED_VALUE"""),"JUANITA Chandler ")</f>
        <v>JUANITA Chandler </v>
      </c>
      <c r="H4296" s="24">
        <f>IFERROR(__xludf.DUMMYFUNCTION("""COMPUTED_VALUE"""),85.0)</f>
        <v>85</v>
      </c>
      <c r="I4296" s="24" t="str">
        <f>IFERROR(__xludf.DUMMYFUNCTION("""COMPUTED_VALUE"""),"Assorted Fridge")</f>
        <v>Assorted Fridge</v>
      </c>
    </row>
    <row r="4297">
      <c r="A4297" s="23">
        <f>IFERROR(__xludf.DUMMYFUNCTION("""COMPUTED_VALUE"""),44905.679145671296)</f>
        <v>44905.67915</v>
      </c>
      <c r="B4297" s="24" t="str">
        <f>IFERROR(__xludf.DUMMYFUNCTION("""COMPUTED_VALUE"""),"Efrain Baca")</f>
        <v>Efrain Baca</v>
      </c>
      <c r="C4297" s="24">
        <f>IFERROR(__xludf.DUMMYFUNCTION("""COMPUTED_VALUE"""),19.0)</f>
        <v>19</v>
      </c>
      <c r="D4297" s="24" t="str">
        <f>IFERROR(__xludf.DUMMYFUNCTION("""COMPUTED_VALUE"""),"Regular (up to 20lbs)")</f>
        <v>Regular (up to 20lbs)</v>
      </c>
      <c r="F4297" s="23">
        <f>IFERROR(__xludf.DUMMYFUNCTION("""COMPUTED_VALUE"""),44913.61161116898)</f>
        <v>44913.61161</v>
      </c>
      <c r="G4297" s="24" t="str">
        <f>IFERROR(__xludf.DUMMYFUNCTION("""COMPUTED_VALUE"""),"Juanita Chandler ")</f>
        <v>Juanita Chandler </v>
      </c>
      <c r="H4297" s="24">
        <f>IFERROR(__xludf.DUMMYFUNCTION("""COMPUTED_VALUE"""),692.0)</f>
        <v>692</v>
      </c>
      <c r="I4297" s="24" t="str">
        <f>IFERROR(__xludf.DUMMYFUNCTION("""COMPUTED_VALUE"""),"Assorted Fridge")</f>
        <v>Assorted Fridge</v>
      </c>
    </row>
    <row r="4298">
      <c r="A4298" s="23">
        <f>IFERROR(__xludf.DUMMYFUNCTION("""COMPUTED_VALUE"""),44905.68091471065)</f>
        <v>44905.68091</v>
      </c>
      <c r="B4298" s="24" t="str">
        <f>IFERROR(__xludf.DUMMYFUNCTION("""COMPUTED_VALUE"""),"Evelyn jiang")</f>
        <v>Evelyn jiang</v>
      </c>
      <c r="C4298" s="24">
        <f>IFERROR(__xludf.DUMMYFUNCTION("""COMPUTED_VALUE"""),15.0)</f>
        <v>15</v>
      </c>
      <c r="D4298" s="24" t="str">
        <f>IFERROR(__xludf.DUMMYFUNCTION("""COMPUTED_VALUE"""),"Regular (up to 20lbs)")</f>
        <v>Regular (up to 20lbs)</v>
      </c>
      <c r="F4298" s="23">
        <f>IFERROR(__xludf.DUMMYFUNCTION("""COMPUTED_VALUE"""),44913.61302975695)</f>
        <v>44913.61303</v>
      </c>
      <c r="G4298" s="24" t="str">
        <f>IFERROR(__xludf.DUMMYFUNCTION("""COMPUTED_VALUE"""),"JUANITA Chandler ")</f>
        <v>JUANITA Chandler </v>
      </c>
      <c r="H4298" s="24">
        <f>IFERROR(__xludf.DUMMYFUNCTION("""COMPUTED_VALUE"""),574.0)</f>
        <v>574</v>
      </c>
      <c r="I4298" s="24" t="str">
        <f>IFERROR(__xludf.DUMMYFUNCTION("""COMPUTED_VALUE"""),"Mix items")</f>
        <v>Mix items</v>
      </c>
    </row>
    <row r="4299">
      <c r="A4299" s="23">
        <f>IFERROR(__xludf.DUMMYFUNCTION("""COMPUTED_VALUE"""),44905.68109362268)</f>
        <v>44905.68109</v>
      </c>
      <c r="B4299" s="24" t="str">
        <f>IFERROR(__xludf.DUMMYFUNCTION("""COMPUTED_VALUE"""),"Nathan so")</f>
        <v>Nathan so</v>
      </c>
      <c r="C4299" s="24">
        <f>IFERROR(__xludf.DUMMYFUNCTION("""COMPUTED_VALUE"""),15.0)</f>
        <v>15</v>
      </c>
      <c r="D4299" s="24" t="str">
        <f>IFERROR(__xludf.DUMMYFUNCTION("""COMPUTED_VALUE"""),"Regular (up to 20lbs)")</f>
        <v>Regular (up to 20lbs)</v>
      </c>
      <c r="F4299" s="23">
        <f>IFERROR(__xludf.DUMMYFUNCTION("""COMPUTED_VALUE"""),44913.623786122684)</f>
        <v>44913.62379</v>
      </c>
      <c r="G4299" s="24" t="str">
        <f>IFERROR(__xludf.DUMMYFUNCTION("""COMPUTED_VALUE"""),"Juanita Chandler ")</f>
        <v>Juanita Chandler </v>
      </c>
      <c r="H4299" s="24">
        <f>IFERROR(__xludf.DUMMYFUNCTION("""COMPUTED_VALUE"""),771.0)</f>
        <v>771</v>
      </c>
      <c r="I4299" s="24" t="str">
        <f>IFERROR(__xludf.DUMMYFUNCTION("""COMPUTED_VALUE"""),"Amazon")</f>
        <v>Amazon</v>
      </c>
    </row>
    <row r="4300">
      <c r="A4300" s="23">
        <f>IFERROR(__xludf.DUMMYFUNCTION("""COMPUTED_VALUE"""),44905.68353787037)</f>
        <v>44905.68354</v>
      </c>
      <c r="B4300" s="24" t="str">
        <f>IFERROR(__xludf.DUMMYFUNCTION("""COMPUTED_VALUE"""),"Harris Malik")</f>
        <v>Harris Malik</v>
      </c>
      <c r="C4300" s="24">
        <f>IFERROR(__xludf.DUMMYFUNCTION("""COMPUTED_VALUE"""),16.0)</f>
        <v>16</v>
      </c>
      <c r="D4300" s="24" t="str">
        <f>IFERROR(__xludf.DUMMYFUNCTION("""COMPUTED_VALUE"""),"Regular (up to 20lbs)")</f>
        <v>Regular (up to 20lbs)</v>
      </c>
      <c r="F4300" s="23">
        <f>IFERROR(__xludf.DUMMYFUNCTION("""COMPUTED_VALUE"""),44913.62425783565)</f>
        <v>44913.62426</v>
      </c>
      <c r="G4300" s="24" t="str">
        <f>IFERROR(__xludf.DUMMYFUNCTION("""COMPUTED_VALUE"""),"JUANITA Chandler ")</f>
        <v>JUANITA Chandler </v>
      </c>
      <c r="H4300" s="24">
        <f>IFERROR(__xludf.DUMMYFUNCTION("""COMPUTED_VALUE"""),886.0)</f>
        <v>886</v>
      </c>
      <c r="I4300" s="24" t="str">
        <f>IFERROR(__xludf.DUMMYFUNCTION("""COMPUTED_VALUE"""),"Amazon")</f>
        <v>Amazon</v>
      </c>
    </row>
    <row r="4301">
      <c r="A4301" s="23">
        <f>IFERROR(__xludf.DUMMYFUNCTION("""COMPUTED_VALUE"""),44905.6840341088)</f>
        <v>44905.68403</v>
      </c>
      <c r="B4301" s="24" t="str">
        <f>IFERROR(__xludf.DUMMYFUNCTION("""COMPUTED_VALUE"""),"Brendan Montgomery")</f>
        <v>Brendan Montgomery</v>
      </c>
      <c r="C4301" s="24">
        <f>IFERROR(__xludf.DUMMYFUNCTION("""COMPUTED_VALUE"""),12.0)</f>
        <v>12</v>
      </c>
      <c r="D4301" s="24" t="str">
        <f>IFERROR(__xludf.DUMMYFUNCTION("""COMPUTED_VALUE"""),"Regular (up to 20lbs)")</f>
        <v>Regular (up to 20lbs)</v>
      </c>
      <c r="F4301" s="23">
        <f>IFERROR(__xludf.DUMMYFUNCTION("""COMPUTED_VALUE"""),44913.625832638885)</f>
        <v>44913.62583</v>
      </c>
      <c r="G4301" s="24" t="str">
        <f>IFERROR(__xludf.DUMMYFUNCTION("""COMPUTED_VALUE"""),"JUANITA Chandler ")</f>
        <v>JUANITA Chandler </v>
      </c>
      <c r="H4301" s="24">
        <f>IFERROR(__xludf.DUMMYFUNCTION("""COMPUTED_VALUE"""),1016.0)</f>
        <v>1016</v>
      </c>
      <c r="I4301" s="24" t="str">
        <f>IFERROR(__xludf.DUMMYFUNCTION("""COMPUTED_VALUE"""),"Amazon")</f>
        <v>Amazon</v>
      </c>
    </row>
    <row r="4302">
      <c r="A4302" s="23">
        <f>IFERROR(__xludf.DUMMYFUNCTION("""COMPUTED_VALUE"""),44905.685385)</f>
        <v>44905.68539</v>
      </c>
      <c r="B4302" s="24" t="str">
        <f>IFERROR(__xludf.DUMMYFUNCTION("""COMPUTED_VALUE"""),"Azel King")</f>
        <v>Azel King</v>
      </c>
      <c r="C4302" s="24">
        <f>IFERROR(__xludf.DUMMYFUNCTION("""COMPUTED_VALUE"""),20.0)</f>
        <v>20</v>
      </c>
      <c r="D4302" s="24" t="str">
        <f>IFERROR(__xludf.DUMMYFUNCTION("""COMPUTED_VALUE"""),"Regular (up to 20lbs)")</f>
        <v>Regular (up to 20lbs)</v>
      </c>
      <c r="F4302" s="23">
        <f>IFERROR(__xludf.DUMMYFUNCTION("""COMPUTED_VALUE"""),44913.626197673606)</f>
        <v>44913.6262</v>
      </c>
      <c r="G4302" s="24" t="str">
        <f>IFERROR(__xludf.DUMMYFUNCTION("""COMPUTED_VALUE"""),"JUANITA Chandler ")</f>
        <v>JUANITA Chandler </v>
      </c>
      <c r="H4302" s="24">
        <f>IFERROR(__xludf.DUMMYFUNCTION("""COMPUTED_VALUE"""),668.0)</f>
        <v>668</v>
      </c>
      <c r="I4302" s="24" t="str">
        <f>IFERROR(__xludf.DUMMYFUNCTION("""COMPUTED_VALUE"""),"Amazon")</f>
        <v>Amazon</v>
      </c>
    </row>
    <row r="4303">
      <c r="A4303" s="23">
        <f>IFERROR(__xludf.DUMMYFUNCTION("""COMPUTED_VALUE"""),44905.0)</f>
        <v>44905</v>
      </c>
      <c r="B4303" s="24" t="str">
        <f>IFERROR(__xludf.DUMMYFUNCTION("""COMPUTED_VALUE"""),"Azel King")</f>
        <v>Azel King</v>
      </c>
      <c r="C4303" s="24">
        <f>IFERROR(__xludf.DUMMYFUNCTION("""COMPUTED_VALUE"""),1.0)</f>
        <v>1</v>
      </c>
      <c r="D4303" s="24" t="str">
        <f>IFERROR(__xludf.DUMMYFUNCTION("""COMPUTED_VALUE"""),"Damage/expired/extra")</f>
        <v>Damage/expired/extra</v>
      </c>
      <c r="F4303" s="23">
        <f>IFERROR(__xludf.DUMMYFUNCTION("""COMPUTED_VALUE"""),44913.62678805555)</f>
        <v>44913.62679</v>
      </c>
      <c r="G4303" s="24" t="str">
        <f>IFERROR(__xludf.DUMMYFUNCTION("""COMPUTED_VALUE"""),"JUANITA Chandler ")</f>
        <v>JUANITA Chandler </v>
      </c>
      <c r="H4303" s="24">
        <f>IFERROR(__xludf.DUMMYFUNCTION("""COMPUTED_VALUE"""),1001.0)</f>
        <v>1001</v>
      </c>
      <c r="I4303" s="24" t="str">
        <f>IFERROR(__xludf.DUMMYFUNCTION("""COMPUTED_VALUE"""),"Amazon")</f>
        <v>Amazon</v>
      </c>
    </row>
    <row r="4304">
      <c r="A4304" s="23">
        <f>IFERROR(__xludf.DUMMYFUNCTION("""COMPUTED_VALUE"""),44905.69335983796)</f>
        <v>44905.69336</v>
      </c>
      <c r="B4304" s="24" t="str">
        <f>IFERROR(__xludf.DUMMYFUNCTION("""COMPUTED_VALUE"""),"Justin Maduka")</f>
        <v>Justin Maduka</v>
      </c>
      <c r="C4304" s="24">
        <f>IFERROR(__xludf.DUMMYFUNCTION("""COMPUTED_VALUE"""),20.0)</f>
        <v>20</v>
      </c>
      <c r="D4304" s="24" t="str">
        <f>IFERROR(__xludf.DUMMYFUNCTION("""COMPUTED_VALUE"""),"Regular (up to 20lbs)")</f>
        <v>Regular (up to 20lbs)</v>
      </c>
      <c r="F4304" s="23">
        <f>IFERROR(__xludf.DUMMYFUNCTION("""COMPUTED_VALUE"""),44913.62726018518)</f>
        <v>44913.62726</v>
      </c>
      <c r="G4304" s="24" t="str">
        <f>IFERROR(__xludf.DUMMYFUNCTION("""COMPUTED_VALUE"""),"JUANITA Chandler ")</f>
        <v>JUANITA Chandler </v>
      </c>
      <c r="H4304" s="24">
        <f>IFERROR(__xludf.DUMMYFUNCTION("""COMPUTED_VALUE"""),38.0)</f>
        <v>38</v>
      </c>
      <c r="I4304" s="24" t="str">
        <f>IFERROR(__xludf.DUMMYFUNCTION("""COMPUTED_VALUE"""),"Amazon")</f>
        <v>Amazon</v>
      </c>
    </row>
    <row r="4305">
      <c r="A4305" s="23">
        <f>IFERROR(__xludf.DUMMYFUNCTION("""COMPUTED_VALUE"""),44905.69350518519)</f>
        <v>44905.69351</v>
      </c>
      <c r="B4305" s="24" t="str">
        <f>IFERROR(__xludf.DUMMYFUNCTION("""COMPUTED_VALUE"""),"Justin")</f>
        <v>Justin</v>
      </c>
      <c r="C4305" s="24">
        <f>IFERROR(__xludf.DUMMYFUNCTION("""COMPUTED_VALUE"""),1.0)</f>
        <v>1</v>
      </c>
      <c r="D4305" s="24" t="str">
        <f>IFERROR(__xludf.DUMMYFUNCTION("""COMPUTED_VALUE"""),"Damage/expired/extra")</f>
        <v>Damage/expired/extra</v>
      </c>
      <c r="F4305" s="23">
        <f>IFERROR(__xludf.DUMMYFUNCTION("""COMPUTED_VALUE"""),44913.62833321759)</f>
        <v>44913.62833</v>
      </c>
      <c r="G4305" s="24" t="str">
        <f>IFERROR(__xludf.DUMMYFUNCTION("""COMPUTED_VALUE"""),"JUANITA Chandler ")</f>
        <v>JUANITA Chandler </v>
      </c>
      <c r="H4305" s="24">
        <f>IFERROR(__xludf.DUMMYFUNCTION("""COMPUTED_VALUE"""),96.0)</f>
        <v>96</v>
      </c>
      <c r="I4305" s="24" t="str">
        <f>IFERROR(__xludf.DUMMYFUNCTION("""COMPUTED_VALUE"""),"Homewood Friends and Meeting ")</f>
        <v>Homewood Friends and Meeting </v>
      </c>
    </row>
    <row r="4306">
      <c r="A4306" s="23">
        <f>IFERROR(__xludf.DUMMYFUNCTION("""COMPUTED_VALUE"""),44905.69404815972)</f>
        <v>44905.69405</v>
      </c>
      <c r="B4306" s="24" t="str">
        <f>IFERROR(__xludf.DUMMYFUNCTION("""COMPUTED_VALUE"""),"Juhi Dwivedi")</f>
        <v>Juhi Dwivedi</v>
      </c>
      <c r="C4306" s="24">
        <f>IFERROR(__xludf.DUMMYFUNCTION("""COMPUTED_VALUE"""),20.0)</f>
        <v>20</v>
      </c>
      <c r="D4306" s="24" t="str">
        <f>IFERROR(__xludf.DUMMYFUNCTION("""COMPUTED_VALUE"""),"Regular (up to 20lbs)")</f>
        <v>Regular (up to 20lbs)</v>
      </c>
      <c r="F4306" s="23">
        <f>IFERROR(__xludf.DUMMYFUNCTION("""COMPUTED_VALUE"""),44913.670850648145)</f>
        <v>44913.67085</v>
      </c>
      <c r="G4306" s="24"/>
      <c r="H4306" s="24">
        <f>IFERROR(__xludf.DUMMYFUNCTION("""COMPUTED_VALUE"""),1064.0)</f>
        <v>1064</v>
      </c>
      <c r="I4306" s="24" t="str">
        <f>IFERROR(__xludf.DUMMYFUNCTION("""COMPUTED_VALUE"""),"Assorted Dry")</f>
        <v>Assorted Dry</v>
      </c>
    </row>
    <row r="4307">
      <c r="A4307" s="23">
        <f>IFERROR(__xludf.DUMMYFUNCTION("""COMPUTED_VALUE"""),44905.69486649306)</f>
        <v>44905.69487</v>
      </c>
      <c r="B4307" s="24" t="str">
        <f>IFERROR(__xludf.DUMMYFUNCTION("""COMPUTED_VALUE"""),"Nicolle diaz ")</f>
        <v>Nicolle diaz </v>
      </c>
      <c r="C4307" s="24">
        <f>IFERROR(__xludf.DUMMYFUNCTION("""COMPUTED_VALUE"""),18.0)</f>
        <v>18</v>
      </c>
      <c r="D4307" s="24" t="str">
        <f>IFERROR(__xludf.DUMMYFUNCTION("""COMPUTED_VALUE"""),"Regular (up to 20lbs)")</f>
        <v>Regular (up to 20lbs)</v>
      </c>
      <c r="F4307" s="23">
        <f>IFERROR(__xludf.DUMMYFUNCTION("""COMPUTED_VALUE"""),44913.671695509256)</f>
        <v>44913.6717</v>
      </c>
      <c r="G4307" s="24" t="str">
        <f>IFERROR(__xludf.DUMMYFUNCTION("""COMPUTED_VALUE"""),"Jelani ")</f>
        <v>Jelani </v>
      </c>
      <c r="H4307" s="24">
        <f>IFERROR(__xludf.DUMMYFUNCTION("""COMPUTED_VALUE"""),9.0)</f>
        <v>9</v>
      </c>
      <c r="I4307" s="24" t="str">
        <f>IFERROR(__xludf.DUMMYFUNCTION("""COMPUTED_VALUE"""),"Regular (up to 20lbs)")</f>
        <v>Regular (up to 20lbs)</v>
      </c>
    </row>
    <row r="4308">
      <c r="A4308" s="23">
        <f>IFERROR(__xludf.DUMMYFUNCTION("""COMPUTED_VALUE"""),44905.694976238425)</f>
        <v>44905.69498</v>
      </c>
      <c r="B4308" s="24" t="str">
        <f>IFERROR(__xludf.DUMMYFUNCTION("""COMPUTED_VALUE"""),"Nicolle diaz ")</f>
        <v>Nicolle diaz </v>
      </c>
      <c r="C4308" s="24">
        <f>IFERROR(__xludf.DUMMYFUNCTION("""COMPUTED_VALUE"""),1.0)</f>
        <v>1</v>
      </c>
      <c r="D4308" s="24" t="str">
        <f>IFERROR(__xludf.DUMMYFUNCTION("""COMPUTED_VALUE"""),"Damage/expired/extra")</f>
        <v>Damage/expired/extra</v>
      </c>
      <c r="F4308" s="23">
        <f>IFERROR(__xludf.DUMMYFUNCTION("""COMPUTED_VALUE"""),44913.67341831019)</f>
        <v>44913.67342</v>
      </c>
      <c r="G4308" s="24" t="str">
        <f>IFERROR(__xludf.DUMMYFUNCTION("""COMPUTED_VALUE"""),"Kendal")</f>
        <v>Kendal</v>
      </c>
      <c r="H4308" s="24">
        <f>IFERROR(__xludf.DUMMYFUNCTION("""COMPUTED_VALUE"""),9.0)</f>
        <v>9</v>
      </c>
      <c r="I4308" s="24" t="str">
        <f>IFERROR(__xludf.DUMMYFUNCTION("""COMPUTED_VALUE"""),"Damage/expired/extra")</f>
        <v>Damage/expired/extra</v>
      </c>
    </row>
    <row r="4309">
      <c r="A4309" s="23">
        <f>IFERROR(__xludf.DUMMYFUNCTION("""COMPUTED_VALUE"""),44905.69623243056)</f>
        <v>44905.69623</v>
      </c>
      <c r="B4309" s="24" t="str">
        <f>IFERROR(__xludf.DUMMYFUNCTION("""COMPUTED_VALUE"""),"Sara B. ")</f>
        <v>Sara B. </v>
      </c>
      <c r="C4309" s="24">
        <f>IFERROR(__xludf.DUMMYFUNCTION("""COMPUTED_VALUE"""),14.0)</f>
        <v>14</v>
      </c>
      <c r="D4309" s="24" t="str">
        <f>IFERROR(__xludf.DUMMYFUNCTION("""COMPUTED_VALUE"""),"Regular (up to 20lbs)")</f>
        <v>Regular (up to 20lbs)</v>
      </c>
      <c r="F4309" s="23">
        <f>IFERROR(__xludf.DUMMYFUNCTION("""COMPUTED_VALUE"""),44913.67431125)</f>
        <v>44913.67431</v>
      </c>
      <c r="G4309" s="24" t="str">
        <f>IFERROR(__xludf.DUMMYFUNCTION("""COMPUTED_VALUE"""),"Kendal")</f>
        <v>Kendal</v>
      </c>
      <c r="H4309" s="24">
        <f>IFERROR(__xludf.DUMMYFUNCTION("""COMPUTED_VALUE"""),7.0)</f>
        <v>7</v>
      </c>
      <c r="I4309" s="24" t="str">
        <f>IFERROR(__xludf.DUMMYFUNCTION("""COMPUTED_VALUE"""),"Regular (up to 20lbs)")</f>
        <v>Regular (up to 20lbs)</v>
      </c>
    </row>
    <row r="4310">
      <c r="A4310" s="23">
        <f>IFERROR(__xludf.DUMMYFUNCTION("""COMPUTED_VALUE"""),44905.696816585645)</f>
        <v>44905.69682</v>
      </c>
      <c r="B4310" s="24" t="str">
        <f>IFERROR(__xludf.DUMMYFUNCTION("""COMPUTED_VALUE"""),"Mohamad Elghoul")</f>
        <v>Mohamad Elghoul</v>
      </c>
      <c r="C4310" s="24">
        <f>IFERROR(__xludf.DUMMYFUNCTION("""COMPUTED_VALUE"""),19.0)</f>
        <v>19</v>
      </c>
      <c r="D4310" s="24" t="str">
        <f>IFERROR(__xludf.DUMMYFUNCTION("""COMPUTED_VALUE"""),"Regular (up to 20lbs)")</f>
        <v>Regular (up to 20lbs)</v>
      </c>
      <c r="F4310" s="23">
        <f>IFERROR(__xludf.DUMMYFUNCTION("""COMPUTED_VALUE"""),44913.68499822917)</f>
        <v>44913.685</v>
      </c>
      <c r="G4310" s="24" t="str">
        <f>IFERROR(__xludf.DUMMYFUNCTION("""COMPUTED_VALUE"""),"Opeyemi ")</f>
        <v>Opeyemi </v>
      </c>
      <c r="H4310" s="24">
        <f>IFERROR(__xludf.DUMMYFUNCTION("""COMPUTED_VALUE"""),11.0)</f>
        <v>11</v>
      </c>
      <c r="I4310" s="24" t="str">
        <f>IFERROR(__xludf.DUMMYFUNCTION("""COMPUTED_VALUE"""),"Regular (up to 20lbs)")</f>
        <v>Regular (up to 20lbs)</v>
      </c>
    </row>
    <row r="4311">
      <c r="A4311" s="23">
        <f>IFERROR(__xludf.DUMMYFUNCTION("""COMPUTED_VALUE"""),44905.70308601852)</f>
        <v>44905.70309</v>
      </c>
      <c r="B4311" s="24" t="str">
        <f>IFERROR(__xludf.DUMMYFUNCTION("""COMPUTED_VALUE"""),"Arezou Esmaeeli")</f>
        <v>Arezou Esmaeeli</v>
      </c>
      <c r="C4311" s="24">
        <f>IFERROR(__xludf.DUMMYFUNCTION("""COMPUTED_VALUE"""),19.0)</f>
        <v>19</v>
      </c>
      <c r="D4311" s="24" t="str">
        <f>IFERROR(__xludf.DUMMYFUNCTION("""COMPUTED_VALUE"""),"Regular (up to 20lbs)")</f>
        <v>Regular (up to 20lbs)</v>
      </c>
      <c r="F4311" s="23">
        <f>IFERROR(__xludf.DUMMYFUNCTION("""COMPUTED_VALUE"""),44913.68549462962)</f>
        <v>44913.68549</v>
      </c>
      <c r="G4311" s="24" t="str">
        <f>IFERROR(__xludf.DUMMYFUNCTION("""COMPUTED_VALUE"""),"Zoe")</f>
        <v>Zoe</v>
      </c>
      <c r="H4311" s="24">
        <f>IFERROR(__xludf.DUMMYFUNCTION("""COMPUTED_VALUE"""),16.0)</f>
        <v>16</v>
      </c>
      <c r="I4311" s="24" t="str">
        <f>IFERROR(__xludf.DUMMYFUNCTION("""COMPUTED_VALUE"""),"Regular (up to 20lbs)")</f>
        <v>Regular (up to 20lbs)</v>
      </c>
    </row>
    <row r="4312">
      <c r="A4312" s="23">
        <f>IFERROR(__xludf.DUMMYFUNCTION("""COMPUTED_VALUE"""),44905.711189953705)</f>
        <v>44905.71119</v>
      </c>
      <c r="B4312" s="24" t="str">
        <f>IFERROR(__xludf.DUMMYFUNCTION("""COMPUTED_VALUE"""),"Dean Chien")</f>
        <v>Dean Chien</v>
      </c>
      <c r="C4312" s="24">
        <f>IFERROR(__xludf.DUMMYFUNCTION("""COMPUTED_VALUE"""),5.0)</f>
        <v>5</v>
      </c>
      <c r="D4312" s="24" t="str">
        <f>IFERROR(__xludf.DUMMYFUNCTION("""COMPUTED_VALUE"""),"Regular (up to 20lbs)")</f>
        <v>Regular (up to 20lbs)</v>
      </c>
      <c r="F4312" s="23">
        <f>IFERROR(__xludf.DUMMYFUNCTION("""COMPUTED_VALUE"""),44913.68740869213)</f>
        <v>44913.68741</v>
      </c>
      <c r="G4312" s="24" t="str">
        <f>IFERROR(__xludf.DUMMYFUNCTION("""COMPUTED_VALUE"""),"Kaneesha")</f>
        <v>Kaneesha</v>
      </c>
      <c r="H4312" s="24">
        <f>IFERROR(__xludf.DUMMYFUNCTION("""COMPUTED_VALUE"""),20.0)</f>
        <v>20</v>
      </c>
      <c r="I4312" s="24" t="str">
        <f>IFERROR(__xludf.DUMMYFUNCTION("""COMPUTED_VALUE"""),"Regular (up to 20lbs)")</f>
        <v>Regular (up to 20lbs)</v>
      </c>
    </row>
    <row r="4313">
      <c r="A4313" s="23">
        <f>IFERROR(__xludf.DUMMYFUNCTION("""COMPUTED_VALUE"""),44905.71126606482)</f>
        <v>44905.71127</v>
      </c>
      <c r="B4313" s="24" t="str">
        <f>IFERROR(__xludf.DUMMYFUNCTION("""COMPUTED_VALUE"""),"Dean Chien")</f>
        <v>Dean Chien</v>
      </c>
      <c r="C4313" s="24">
        <f>IFERROR(__xludf.DUMMYFUNCTION("""COMPUTED_VALUE"""),2.0)</f>
        <v>2</v>
      </c>
      <c r="D4313" s="24" t="str">
        <f>IFERROR(__xludf.DUMMYFUNCTION("""COMPUTED_VALUE"""),"Damage/expired/extra")</f>
        <v>Damage/expired/extra</v>
      </c>
      <c r="F4313" s="23">
        <f>IFERROR(__xludf.DUMMYFUNCTION("""COMPUTED_VALUE"""),44913.68758013889)</f>
        <v>44913.68758</v>
      </c>
      <c r="G4313" s="24" t="str">
        <f>IFERROR(__xludf.DUMMYFUNCTION("""COMPUTED_VALUE"""),"Kaneesha")</f>
        <v>Kaneesha</v>
      </c>
      <c r="H4313" s="24">
        <f>IFERROR(__xludf.DUMMYFUNCTION("""COMPUTED_VALUE"""),30.0)</f>
        <v>30</v>
      </c>
      <c r="I4313" s="24" t="str">
        <f>IFERROR(__xludf.DUMMYFUNCTION("""COMPUTED_VALUE"""),"Damage/expired/extra")</f>
        <v>Damage/expired/extra</v>
      </c>
    </row>
    <row r="4314">
      <c r="A4314" s="23">
        <f>IFERROR(__xludf.DUMMYFUNCTION("""COMPUTED_VALUE"""),44905.71263967593)</f>
        <v>44905.71264</v>
      </c>
      <c r="B4314" s="24" t="str">
        <f>IFERROR(__xludf.DUMMYFUNCTION("""COMPUTED_VALUE"""),"Nailah Bishop")</f>
        <v>Nailah Bishop</v>
      </c>
      <c r="C4314" s="24">
        <f>IFERROR(__xludf.DUMMYFUNCTION("""COMPUTED_VALUE"""),11.0)</f>
        <v>11</v>
      </c>
      <c r="D4314" s="24" t="str">
        <f>IFERROR(__xludf.DUMMYFUNCTION("""COMPUTED_VALUE"""),"Regular (up to 20lbs)")</f>
        <v>Regular (up to 20lbs)</v>
      </c>
      <c r="F4314" s="23">
        <f>IFERROR(__xludf.DUMMYFUNCTION("""COMPUTED_VALUE"""),44914.0)</f>
        <v>44914</v>
      </c>
      <c r="G4314" s="24" t="str">
        <f>IFERROR(__xludf.DUMMYFUNCTION("""COMPUTED_VALUE"""),"Claire")</f>
        <v>Claire</v>
      </c>
      <c r="H4314" s="24">
        <f>IFERROR(__xludf.DUMMYFUNCTION("""COMPUTED_VALUE"""),1195.0)</f>
        <v>1195</v>
      </c>
      <c r="I4314" s="24" t="str">
        <f>IFERROR(__xludf.DUMMYFUNCTION("""COMPUTED_VALUE"""),"Amazon")</f>
        <v>Amazon</v>
      </c>
    </row>
    <row r="4315">
      <c r="A4315" s="23">
        <f>IFERROR(__xludf.DUMMYFUNCTION("""COMPUTED_VALUE"""),44905.71304435185)</f>
        <v>44905.71304</v>
      </c>
      <c r="B4315" s="24" t="str">
        <f>IFERROR(__xludf.DUMMYFUNCTION("""COMPUTED_VALUE"""),"jonyce bland")</f>
        <v>jonyce bland</v>
      </c>
      <c r="C4315" s="24">
        <f>IFERROR(__xludf.DUMMYFUNCTION("""COMPUTED_VALUE"""),11.0)</f>
        <v>11</v>
      </c>
      <c r="D4315" s="24" t="str">
        <f>IFERROR(__xludf.DUMMYFUNCTION("""COMPUTED_VALUE"""),"Regular (up to 20lbs)")</f>
        <v>Regular (up to 20lbs)</v>
      </c>
      <c r="F4315" s="23">
        <f>IFERROR(__xludf.DUMMYFUNCTION("""COMPUTED_VALUE"""),44914.710115208334)</f>
        <v>44914.71012</v>
      </c>
      <c r="G4315" s="24" t="str">
        <f>IFERROR(__xludf.DUMMYFUNCTION("""COMPUTED_VALUE"""),"JC")</f>
        <v>JC</v>
      </c>
      <c r="H4315" s="24">
        <f>IFERROR(__xludf.DUMMYFUNCTION("""COMPUTED_VALUE"""),745.0)</f>
        <v>745</v>
      </c>
      <c r="I4315" s="24" t="str">
        <f>IFERROR(__xludf.DUMMYFUNCTION("""COMPUTED_VALUE"""),"Amazon")</f>
        <v>Amazon</v>
      </c>
    </row>
    <row r="4316">
      <c r="A4316" s="23">
        <f>IFERROR(__xludf.DUMMYFUNCTION("""COMPUTED_VALUE"""),44905.72250206019)</f>
        <v>44905.7225</v>
      </c>
      <c r="B4316" s="24" t="str">
        <f>IFERROR(__xludf.DUMMYFUNCTION("""COMPUTED_VALUE"""),"Lynn")</f>
        <v>Lynn</v>
      </c>
      <c r="C4316" s="24">
        <f>IFERROR(__xludf.DUMMYFUNCTION("""COMPUTED_VALUE"""),11.0)</f>
        <v>11</v>
      </c>
      <c r="D4316" s="24" t="str">
        <f>IFERROR(__xludf.DUMMYFUNCTION("""COMPUTED_VALUE"""),"Regular (up to 20lbs)")</f>
        <v>Regular (up to 20lbs)</v>
      </c>
      <c r="F4316" s="23">
        <f>IFERROR(__xludf.DUMMYFUNCTION("""COMPUTED_VALUE"""),44914.71038532408)</f>
        <v>44914.71039</v>
      </c>
      <c r="G4316" s="24" t="str">
        <f>IFERROR(__xludf.DUMMYFUNCTION("""COMPUTED_VALUE"""),"JC")</f>
        <v>JC</v>
      </c>
      <c r="H4316" s="24">
        <f>IFERROR(__xludf.DUMMYFUNCTION("""COMPUTED_VALUE"""),404.0)</f>
        <v>404</v>
      </c>
      <c r="I4316" s="24" t="str">
        <f>IFERROR(__xludf.DUMMYFUNCTION("""COMPUTED_VALUE"""),"Amazon")</f>
        <v>Amazon</v>
      </c>
    </row>
    <row r="4317">
      <c r="A4317" s="23">
        <f>IFERROR(__xludf.DUMMYFUNCTION("""COMPUTED_VALUE"""),44905.722645567126)</f>
        <v>44905.72265</v>
      </c>
      <c r="B4317" s="24" t="str">
        <f>IFERROR(__xludf.DUMMYFUNCTION("""COMPUTED_VALUE"""),"Lynnette ")</f>
        <v>Lynnette </v>
      </c>
      <c r="C4317" s="24">
        <f>IFERROR(__xludf.DUMMYFUNCTION("""COMPUTED_VALUE"""),8.0)</f>
        <v>8</v>
      </c>
      <c r="D4317" s="24" t="str">
        <f>IFERROR(__xludf.DUMMYFUNCTION("""COMPUTED_VALUE"""),"Damage/expired/extra")</f>
        <v>Damage/expired/extra</v>
      </c>
      <c r="F4317" s="23">
        <f>IFERROR(__xludf.DUMMYFUNCTION("""COMPUTED_VALUE"""),44914.71072282407)</f>
        <v>44914.71072</v>
      </c>
      <c r="G4317" s="24" t="str">
        <f>IFERROR(__xludf.DUMMYFUNCTION("""COMPUTED_VALUE"""),"JC")</f>
        <v>JC</v>
      </c>
      <c r="H4317" s="24">
        <f>IFERROR(__xludf.DUMMYFUNCTION("""COMPUTED_VALUE"""),1004.0)</f>
        <v>1004</v>
      </c>
      <c r="I4317" s="24" t="str">
        <f>IFERROR(__xludf.DUMMYFUNCTION("""COMPUTED_VALUE"""),"Amazon")</f>
        <v>Amazon</v>
      </c>
    </row>
    <row r="4318">
      <c r="A4318" s="23">
        <f>IFERROR(__xludf.DUMMYFUNCTION("""COMPUTED_VALUE"""),44905.72340013889)</f>
        <v>44905.7234</v>
      </c>
      <c r="B4318" s="24" t="str">
        <f>IFERROR(__xludf.DUMMYFUNCTION("""COMPUTED_VALUE"""),"Beverly Pinn")</f>
        <v>Beverly Pinn</v>
      </c>
      <c r="C4318" s="24">
        <f>IFERROR(__xludf.DUMMYFUNCTION("""COMPUTED_VALUE"""),20.0)</f>
        <v>20</v>
      </c>
      <c r="D4318" s="24" t="str">
        <f>IFERROR(__xludf.DUMMYFUNCTION("""COMPUTED_VALUE"""),"Regular (up to 20lbs)")</f>
        <v>Regular (up to 20lbs)</v>
      </c>
      <c r="F4318" s="23">
        <f>IFERROR(__xludf.DUMMYFUNCTION("""COMPUTED_VALUE"""),44914.71171751157)</f>
        <v>44914.71172</v>
      </c>
      <c r="G4318" s="24" t="str">
        <f>IFERROR(__xludf.DUMMYFUNCTION("""COMPUTED_VALUE"""),"JC")</f>
        <v>JC</v>
      </c>
      <c r="H4318" s="24">
        <f>IFERROR(__xludf.DUMMYFUNCTION("""COMPUTED_VALUE"""),893.0)</f>
        <v>893</v>
      </c>
      <c r="I4318" s="24" t="str">
        <f>IFERROR(__xludf.DUMMYFUNCTION("""COMPUTED_VALUE"""),"Amazon")</f>
        <v>Amazon</v>
      </c>
    </row>
    <row r="4319">
      <c r="A4319" s="23">
        <f>IFERROR(__xludf.DUMMYFUNCTION("""COMPUTED_VALUE"""),44905.72364039352)</f>
        <v>44905.72364</v>
      </c>
      <c r="B4319" s="24" t="str">
        <f>IFERROR(__xludf.DUMMYFUNCTION("""COMPUTED_VALUE"""),"Beverly Pinn")</f>
        <v>Beverly Pinn</v>
      </c>
      <c r="C4319" s="24">
        <f>IFERROR(__xludf.DUMMYFUNCTION("""COMPUTED_VALUE"""),2.0)</f>
        <v>2</v>
      </c>
      <c r="D4319" s="24" t="str">
        <f>IFERROR(__xludf.DUMMYFUNCTION("""COMPUTED_VALUE"""),"Damage/expired/extra")</f>
        <v>Damage/expired/extra</v>
      </c>
      <c r="F4319" s="23">
        <f>IFERROR(__xludf.DUMMYFUNCTION("""COMPUTED_VALUE"""),44914.71240336805)</f>
        <v>44914.7124</v>
      </c>
      <c r="G4319" s="24" t="str">
        <f>IFERROR(__xludf.DUMMYFUNCTION("""COMPUTED_VALUE"""),"JC")</f>
        <v>JC</v>
      </c>
      <c r="H4319" s="24">
        <f>IFERROR(__xludf.DUMMYFUNCTION("""COMPUTED_VALUE"""),906.0)</f>
        <v>906</v>
      </c>
      <c r="I4319" s="24" t="str">
        <f>IFERROR(__xludf.DUMMYFUNCTION("""COMPUTED_VALUE"""),"Amazon")</f>
        <v>Amazon</v>
      </c>
    </row>
    <row r="4320">
      <c r="A4320" s="23">
        <f>IFERROR(__xludf.DUMMYFUNCTION("""COMPUTED_VALUE"""),44905.0)</f>
        <v>44905</v>
      </c>
      <c r="B4320" s="24" t="str">
        <f>IFERROR(__xludf.DUMMYFUNCTION("""COMPUTED_VALUE"""),"Juanita Chandler ")</f>
        <v>Juanita Chandler </v>
      </c>
      <c r="C4320" s="24">
        <f>IFERROR(__xludf.DUMMYFUNCTION("""COMPUTED_VALUE"""),19.0)</f>
        <v>19</v>
      </c>
      <c r="D4320" s="24" t="str">
        <f>IFERROR(__xludf.DUMMYFUNCTION("""COMPUTED_VALUE"""),"Regular (up to 20lbs)")</f>
        <v>Regular (up to 20lbs)</v>
      </c>
      <c r="F4320" s="23">
        <f>IFERROR(__xludf.DUMMYFUNCTION("""COMPUTED_VALUE"""),44914.712907500005)</f>
        <v>44914.71291</v>
      </c>
      <c r="G4320" s="24" t="str">
        <f>IFERROR(__xludf.DUMMYFUNCTION("""COMPUTED_VALUE"""),"JC")</f>
        <v>JC</v>
      </c>
      <c r="H4320" s="24">
        <f>IFERROR(__xludf.DUMMYFUNCTION("""COMPUTED_VALUE"""),952.0)</f>
        <v>952</v>
      </c>
      <c r="I4320" s="24" t="str">
        <f>IFERROR(__xludf.DUMMYFUNCTION("""COMPUTED_VALUE"""),"Amazon")</f>
        <v>Amazon</v>
      </c>
    </row>
    <row r="4321">
      <c r="A4321" s="23">
        <f>IFERROR(__xludf.DUMMYFUNCTION("""COMPUTED_VALUE"""),44905.0)</f>
        <v>44905</v>
      </c>
      <c r="B4321" s="24" t="str">
        <f>IFERROR(__xludf.DUMMYFUNCTION("""COMPUTED_VALUE"""),"Evelyn jiang")</f>
        <v>Evelyn jiang</v>
      </c>
      <c r="C4321" s="24">
        <f>IFERROR(__xludf.DUMMYFUNCTION("""COMPUTED_VALUE"""),15.0)</f>
        <v>15</v>
      </c>
      <c r="D4321" s="24" t="str">
        <f>IFERROR(__xludf.DUMMYFUNCTION("""COMPUTED_VALUE"""),"Regular (up to 20lbs)")</f>
        <v>Regular (up to 20lbs)</v>
      </c>
      <c r="F4321" s="23">
        <f>IFERROR(__xludf.DUMMYFUNCTION("""COMPUTED_VALUE"""),44914.713532118054)</f>
        <v>44914.71353</v>
      </c>
      <c r="G4321" s="24" t="str">
        <f>IFERROR(__xludf.DUMMYFUNCTION("""COMPUTED_VALUE"""),"JC")</f>
        <v>JC</v>
      </c>
      <c r="H4321" s="24">
        <f>IFERROR(__xludf.DUMMYFUNCTION("""COMPUTED_VALUE"""),635.0)</f>
        <v>635</v>
      </c>
      <c r="I4321" s="24" t="str">
        <f>IFERROR(__xludf.DUMMYFUNCTION("""COMPUTED_VALUE"""),"Amazon")</f>
        <v>Amazon</v>
      </c>
    </row>
    <row r="4322">
      <c r="A4322" s="23">
        <f>IFERROR(__xludf.DUMMYFUNCTION("""COMPUTED_VALUE"""),44905.0)</f>
        <v>44905</v>
      </c>
      <c r="B4322" s="24" t="str">
        <f>IFERROR(__xludf.DUMMYFUNCTION("""COMPUTED_VALUE"""),"Angeles Cortes")</f>
        <v>Angeles Cortes</v>
      </c>
      <c r="C4322" s="24">
        <f>IFERROR(__xludf.DUMMYFUNCTION("""COMPUTED_VALUE"""),13.0)</f>
        <v>13</v>
      </c>
      <c r="D4322" s="24" t="str">
        <f>IFERROR(__xludf.DUMMYFUNCTION("""COMPUTED_VALUE"""),"Regular (up to 20lbs)")</f>
        <v>Regular (up to 20lbs)</v>
      </c>
      <c r="F4322" s="23">
        <f>IFERROR(__xludf.DUMMYFUNCTION("""COMPUTED_VALUE"""),44914.71399619213)</f>
        <v>44914.714</v>
      </c>
      <c r="G4322" s="24" t="str">
        <f>IFERROR(__xludf.DUMMYFUNCTION("""COMPUTED_VALUE"""),"JC")</f>
        <v>JC</v>
      </c>
      <c r="H4322" s="24">
        <f>IFERROR(__xludf.DUMMYFUNCTION("""COMPUTED_VALUE"""),1030.0)</f>
        <v>1030</v>
      </c>
      <c r="I4322" s="24" t="str">
        <f>IFERROR(__xludf.DUMMYFUNCTION("""COMPUTED_VALUE"""),"Amazon")</f>
        <v>Amazon</v>
      </c>
    </row>
    <row r="4323">
      <c r="A4323" s="23">
        <f>IFERROR(__xludf.DUMMYFUNCTION("""COMPUTED_VALUE"""),44905.0)</f>
        <v>44905</v>
      </c>
      <c r="B4323" s="24" t="str">
        <f>IFERROR(__xludf.DUMMYFUNCTION("""COMPUTED_VALUE"""),"Angeles Cortes")</f>
        <v>Angeles Cortes</v>
      </c>
      <c r="C4323" s="24">
        <f>IFERROR(__xludf.DUMMYFUNCTION("""COMPUTED_VALUE"""),6.0)</f>
        <v>6</v>
      </c>
      <c r="D4323" s="24" t="str">
        <f>IFERROR(__xludf.DUMMYFUNCTION("""COMPUTED_VALUE"""),"Damage/expired/extra")</f>
        <v>Damage/expired/extra</v>
      </c>
      <c r="F4323" s="23">
        <f>IFERROR(__xludf.DUMMYFUNCTION("""COMPUTED_VALUE"""),44914.714300555555)</f>
        <v>44914.7143</v>
      </c>
      <c r="G4323" s="24" t="str">
        <f>IFERROR(__xludf.DUMMYFUNCTION("""COMPUTED_VALUE"""),"JC")</f>
        <v>JC</v>
      </c>
      <c r="H4323" s="24">
        <f>IFERROR(__xludf.DUMMYFUNCTION("""COMPUTED_VALUE"""),434.0)</f>
        <v>434</v>
      </c>
      <c r="I4323" s="24" t="str">
        <f>IFERROR(__xludf.DUMMYFUNCTION("""COMPUTED_VALUE"""),"Amazon")</f>
        <v>Amazon</v>
      </c>
    </row>
    <row r="4324">
      <c r="A4324" s="23">
        <f>IFERROR(__xludf.DUMMYFUNCTION("""COMPUTED_VALUE"""),44905.0)</f>
        <v>44905</v>
      </c>
      <c r="B4324" s="24" t="str">
        <f>IFERROR(__xludf.DUMMYFUNCTION("""COMPUTED_VALUE"""),"Gilda Castillo")</f>
        <v>Gilda Castillo</v>
      </c>
      <c r="C4324" s="24">
        <f>IFERROR(__xludf.DUMMYFUNCTION("""COMPUTED_VALUE"""),6.0)</f>
        <v>6</v>
      </c>
      <c r="D4324" s="24" t="str">
        <f>IFERROR(__xludf.DUMMYFUNCTION("""COMPUTED_VALUE"""),"Damage/expired/extra")</f>
        <v>Damage/expired/extra</v>
      </c>
      <c r="F4324" s="23">
        <f>IFERROR(__xludf.DUMMYFUNCTION("""COMPUTED_VALUE"""),44915.0)</f>
        <v>44915</v>
      </c>
      <c r="G4324" s="24" t="str">
        <f>IFERROR(__xludf.DUMMYFUNCTION("""COMPUTED_VALUE"""),"Rosemary Hendricks")</f>
        <v>Rosemary Hendricks</v>
      </c>
      <c r="H4324" s="24">
        <f>IFERROR(__xludf.DUMMYFUNCTION("""COMPUTED_VALUE"""),14.0)</f>
        <v>14</v>
      </c>
      <c r="I4324" s="24" t="str">
        <f>IFERROR(__xludf.DUMMYFUNCTION("""COMPUTED_VALUE"""),"Regular (up to 20lbs)")</f>
        <v>Regular (up to 20lbs)</v>
      </c>
    </row>
    <row r="4325">
      <c r="A4325" s="23">
        <f>IFERROR(__xludf.DUMMYFUNCTION("""COMPUTED_VALUE"""),44905.0)</f>
        <v>44905</v>
      </c>
      <c r="B4325" s="24" t="str">
        <f>IFERROR(__xludf.DUMMYFUNCTION("""COMPUTED_VALUE"""),"Gilda Castillo")</f>
        <v>Gilda Castillo</v>
      </c>
      <c r="C4325" s="24">
        <f>IFERROR(__xludf.DUMMYFUNCTION("""COMPUTED_VALUE"""),15.0)</f>
        <v>15</v>
      </c>
      <c r="D4325" s="24" t="str">
        <f>IFERROR(__xludf.DUMMYFUNCTION("""COMPUTED_VALUE"""),"Regular (up to 20lbs)")</f>
        <v>Regular (up to 20lbs)</v>
      </c>
      <c r="F4325" s="23">
        <f>IFERROR(__xludf.DUMMYFUNCTION("""COMPUTED_VALUE"""),44915.0)</f>
        <v>44915</v>
      </c>
      <c r="G4325" s="24" t="str">
        <f>IFERROR(__xludf.DUMMYFUNCTION("""COMPUTED_VALUE"""),"Rosemary Hendricks")</f>
        <v>Rosemary Hendricks</v>
      </c>
      <c r="H4325" s="24">
        <f>IFERROR(__xludf.DUMMYFUNCTION("""COMPUTED_VALUE"""),2.0)</f>
        <v>2</v>
      </c>
      <c r="I4325" s="24" t="str">
        <f>IFERROR(__xludf.DUMMYFUNCTION("""COMPUTED_VALUE"""),"Damage/expired/extra")</f>
        <v>Damage/expired/extra</v>
      </c>
    </row>
    <row r="4326">
      <c r="A4326" s="23">
        <f>IFERROR(__xludf.DUMMYFUNCTION("""COMPUTED_VALUE"""),44905.0)</f>
        <v>44905</v>
      </c>
      <c r="B4326" s="24" t="str">
        <f>IFERROR(__xludf.DUMMYFUNCTION("""COMPUTED_VALUE"""),"Rewa Hazim")</f>
        <v>Rewa Hazim</v>
      </c>
      <c r="C4326" s="24">
        <f>IFERROR(__xludf.DUMMYFUNCTION("""COMPUTED_VALUE"""),20.0)</f>
        <v>20</v>
      </c>
      <c r="D4326" s="24" t="str">
        <f>IFERROR(__xludf.DUMMYFUNCTION("""COMPUTED_VALUE"""),"Regular (up to 20lbs)")</f>
        <v>Regular (up to 20lbs)</v>
      </c>
      <c r="F4326" s="23">
        <f>IFERROR(__xludf.DUMMYFUNCTION("""COMPUTED_VALUE"""),44915.0)</f>
        <v>44915</v>
      </c>
      <c r="G4326" s="24" t="str">
        <f>IFERROR(__xludf.DUMMYFUNCTION("""COMPUTED_VALUE"""),"Jean ")</f>
        <v>Jean </v>
      </c>
      <c r="H4326" s="24">
        <f>IFERROR(__xludf.DUMMYFUNCTION("""COMPUTED_VALUE"""),26.0)</f>
        <v>26</v>
      </c>
      <c r="I4326" s="24" t="str">
        <f>IFERROR(__xludf.DUMMYFUNCTION("""COMPUTED_VALUE"""),"Regular (up to 20lbs)")</f>
        <v>Regular (up to 20lbs)</v>
      </c>
    </row>
    <row r="4327">
      <c r="A4327" s="23">
        <f>IFERROR(__xludf.DUMMYFUNCTION("""COMPUTED_VALUE"""),44905.0)</f>
        <v>44905</v>
      </c>
      <c r="B4327" s="24" t="str">
        <f>IFERROR(__xludf.DUMMYFUNCTION("""COMPUTED_VALUE"""),"Hanna S")</f>
        <v>Hanna S</v>
      </c>
      <c r="C4327" s="24">
        <f>IFERROR(__xludf.DUMMYFUNCTION("""COMPUTED_VALUE"""),13.0)</f>
        <v>13</v>
      </c>
      <c r="D4327" s="24" t="str">
        <f>IFERROR(__xludf.DUMMYFUNCTION("""COMPUTED_VALUE"""),"Regular (up to 20lbs)")</f>
        <v>Regular (up to 20lbs)</v>
      </c>
      <c r="F4327" s="23">
        <f>IFERROR(__xludf.DUMMYFUNCTION("""COMPUTED_VALUE"""),44915.0)</f>
        <v>44915</v>
      </c>
      <c r="G4327" s="24" t="str">
        <f>IFERROR(__xludf.DUMMYFUNCTION("""COMPUTED_VALUE"""),"Jean")</f>
        <v>Jean</v>
      </c>
      <c r="H4327" s="24">
        <f>IFERROR(__xludf.DUMMYFUNCTION("""COMPUTED_VALUE"""),46.0)</f>
        <v>46</v>
      </c>
      <c r="I4327" s="24" t="str">
        <f>IFERROR(__xludf.DUMMYFUNCTION("""COMPUTED_VALUE"""),"Damage/expired/extra")</f>
        <v>Damage/expired/extra</v>
      </c>
    </row>
    <row r="4328">
      <c r="A4328" s="23">
        <f>IFERROR(__xludf.DUMMYFUNCTION("""COMPUTED_VALUE"""),44905.0)</f>
        <v>44905</v>
      </c>
      <c r="B4328" s="24" t="str">
        <f>IFERROR(__xludf.DUMMYFUNCTION("""COMPUTED_VALUE"""),"Amirabbas A")</f>
        <v>Amirabbas A</v>
      </c>
      <c r="C4328" s="24">
        <f>IFERROR(__xludf.DUMMYFUNCTION("""COMPUTED_VALUE"""),9.0)</f>
        <v>9</v>
      </c>
      <c r="D4328" s="24" t="str">
        <f>IFERROR(__xludf.DUMMYFUNCTION("""COMPUTED_VALUE"""),"Regular (up to 20lbs)")</f>
        <v>Regular (up to 20lbs)</v>
      </c>
      <c r="F4328" s="23">
        <f>IFERROR(__xludf.DUMMYFUNCTION("""COMPUTED_VALUE"""),44915.0)</f>
        <v>44915</v>
      </c>
      <c r="G4328" s="24" t="str">
        <f>IFERROR(__xludf.DUMMYFUNCTION("""COMPUTED_VALUE"""),"Kaneesha")</f>
        <v>Kaneesha</v>
      </c>
      <c r="H4328" s="24">
        <f>IFERROR(__xludf.DUMMYFUNCTION("""COMPUTED_VALUE"""),20.0)</f>
        <v>20</v>
      </c>
      <c r="I4328" s="24" t="str">
        <f>IFERROR(__xludf.DUMMYFUNCTION("""COMPUTED_VALUE"""),"Regular (up to 20lbs)")</f>
        <v>Regular (up to 20lbs)</v>
      </c>
    </row>
    <row r="4329">
      <c r="A4329" s="23">
        <f>IFERROR(__xludf.DUMMYFUNCTION("""COMPUTED_VALUE"""),44905.0)</f>
        <v>44905</v>
      </c>
      <c r="B4329" s="24" t="str">
        <f>IFERROR(__xludf.DUMMYFUNCTION("""COMPUTED_VALUE"""),"Ngozi")</f>
        <v>Ngozi</v>
      </c>
      <c r="C4329" s="24">
        <f>IFERROR(__xludf.DUMMYFUNCTION("""COMPUTED_VALUE"""),10.0)</f>
        <v>10</v>
      </c>
      <c r="D4329" s="24" t="str">
        <f>IFERROR(__xludf.DUMMYFUNCTION("""COMPUTED_VALUE"""),"Regular (up to 20lbs)")</f>
        <v>Regular (up to 20lbs)</v>
      </c>
      <c r="F4329" s="23">
        <f>IFERROR(__xludf.DUMMYFUNCTION("""COMPUTED_VALUE"""),44915.0)</f>
        <v>44915</v>
      </c>
      <c r="G4329" s="24" t="str">
        <f>IFERROR(__xludf.DUMMYFUNCTION("""COMPUTED_VALUE"""),"Kaneesha")</f>
        <v>Kaneesha</v>
      </c>
      <c r="H4329" s="24">
        <f>IFERROR(__xludf.DUMMYFUNCTION("""COMPUTED_VALUE"""),28.0)</f>
        <v>28</v>
      </c>
      <c r="I4329" s="24" t="str">
        <f>IFERROR(__xludf.DUMMYFUNCTION("""COMPUTED_VALUE"""),"Damage/expired/extra")</f>
        <v>Damage/expired/extra</v>
      </c>
    </row>
    <row r="4330">
      <c r="A4330" s="23">
        <f>IFERROR(__xludf.DUMMYFUNCTION("""COMPUTED_VALUE"""),44905.0)</f>
        <v>44905</v>
      </c>
      <c r="B4330" s="24" t="str">
        <f>IFERROR(__xludf.DUMMYFUNCTION("""COMPUTED_VALUE"""),"Saeid S")</f>
        <v>Saeid S</v>
      </c>
      <c r="C4330" s="24">
        <f>IFERROR(__xludf.DUMMYFUNCTION("""COMPUTED_VALUE"""),14.0)</f>
        <v>14</v>
      </c>
      <c r="D4330" s="24" t="str">
        <f>IFERROR(__xludf.DUMMYFUNCTION("""COMPUTED_VALUE"""),"Regular (up to 20lbs)")</f>
        <v>Regular (up to 20lbs)</v>
      </c>
      <c r="F4330" s="23">
        <f>IFERROR(__xludf.DUMMYFUNCTION("""COMPUTED_VALUE"""),44915.0)</f>
        <v>44915</v>
      </c>
      <c r="G4330" s="24" t="str">
        <f>IFERROR(__xludf.DUMMYFUNCTION("""COMPUTED_VALUE"""),"Marci")</f>
        <v>Marci</v>
      </c>
      <c r="H4330" s="24">
        <f>IFERROR(__xludf.DUMMYFUNCTION("""COMPUTED_VALUE"""),20.0)</f>
        <v>20</v>
      </c>
      <c r="I4330" s="24" t="str">
        <f>IFERROR(__xludf.DUMMYFUNCTION("""COMPUTED_VALUE"""),"Regular (up to 20lbs)")</f>
        <v>Regular (up to 20lbs)</v>
      </c>
    </row>
    <row r="4331">
      <c r="A4331" s="23">
        <f>IFERROR(__xludf.DUMMYFUNCTION("""COMPUTED_VALUE"""),44905.0)</f>
        <v>44905</v>
      </c>
      <c r="B4331" s="24" t="str">
        <f>IFERROR(__xludf.DUMMYFUNCTION("""COMPUTED_VALUE"""),"Evan S")</f>
        <v>Evan S</v>
      </c>
      <c r="C4331" s="24">
        <f>IFERROR(__xludf.DUMMYFUNCTION("""COMPUTED_VALUE"""),4.0)</f>
        <v>4</v>
      </c>
      <c r="D4331" s="24" t="str">
        <f>IFERROR(__xludf.DUMMYFUNCTION("""COMPUTED_VALUE"""),"Regular (up to 20lbs)")</f>
        <v>Regular (up to 20lbs)</v>
      </c>
      <c r="F4331" s="23">
        <f>IFERROR(__xludf.DUMMYFUNCTION("""COMPUTED_VALUE"""),44915.0)</f>
        <v>44915</v>
      </c>
      <c r="G4331" s="24" t="str">
        <f>IFERROR(__xludf.DUMMYFUNCTION("""COMPUTED_VALUE"""),"Marci")</f>
        <v>Marci</v>
      </c>
      <c r="H4331" s="24">
        <f>IFERROR(__xludf.DUMMYFUNCTION("""COMPUTED_VALUE"""),46.0)</f>
        <v>46</v>
      </c>
      <c r="I4331" s="24" t="str">
        <f>IFERROR(__xludf.DUMMYFUNCTION("""COMPUTED_VALUE"""),"Damage/expired/extra")</f>
        <v>Damage/expired/extra</v>
      </c>
    </row>
    <row r="4332">
      <c r="A4332" s="23">
        <f>IFERROR(__xludf.DUMMYFUNCTION("""COMPUTED_VALUE"""),44905.0)</f>
        <v>44905</v>
      </c>
      <c r="B4332" s="24" t="str">
        <f>IFERROR(__xludf.DUMMYFUNCTION("""COMPUTED_VALUE"""),"Karla")</f>
        <v>Karla</v>
      </c>
      <c r="C4332" s="24">
        <f>IFERROR(__xludf.DUMMYFUNCTION("""COMPUTED_VALUE"""),20.0)</f>
        <v>20</v>
      </c>
      <c r="D4332" s="24" t="str">
        <f>IFERROR(__xludf.DUMMYFUNCTION("""COMPUTED_VALUE"""),"Regular (up to 20lbs)")</f>
        <v>Regular (up to 20lbs)</v>
      </c>
      <c r="F4332" s="23">
        <f>IFERROR(__xludf.DUMMYFUNCTION("""COMPUTED_VALUE"""),44915.70686332176)</f>
        <v>44915.70686</v>
      </c>
      <c r="G4332" s="24" t="str">
        <f>IFERROR(__xludf.DUMMYFUNCTION("""COMPUTED_VALUE"""),"Romaine Bouldin ")</f>
        <v>Romaine Bouldin </v>
      </c>
      <c r="H4332" s="24">
        <f>IFERROR(__xludf.DUMMYFUNCTION("""COMPUTED_VALUE"""),10.0)</f>
        <v>10</v>
      </c>
      <c r="I4332" s="24" t="str">
        <f>IFERROR(__xludf.DUMMYFUNCTION("""COMPUTED_VALUE"""),"Regular (up to 20lbs)")</f>
        <v>Regular (up to 20lbs)</v>
      </c>
    </row>
    <row r="4333">
      <c r="A4333" s="23">
        <f>IFERROR(__xludf.DUMMYFUNCTION("""COMPUTED_VALUE"""),44905.0)</f>
        <v>44905</v>
      </c>
      <c r="B4333" s="24" t="str">
        <f>IFERROR(__xludf.DUMMYFUNCTION("""COMPUTED_VALUE"""),"Karla")</f>
        <v>Karla</v>
      </c>
      <c r="C4333" s="24">
        <f>IFERROR(__xludf.DUMMYFUNCTION("""COMPUTED_VALUE"""),1.0)</f>
        <v>1</v>
      </c>
      <c r="D4333" s="24" t="str">
        <f>IFERROR(__xludf.DUMMYFUNCTION("""COMPUTED_VALUE"""),"Damage/expired/extra")</f>
        <v>Damage/expired/extra</v>
      </c>
      <c r="F4333" s="23">
        <f>IFERROR(__xludf.DUMMYFUNCTION("""COMPUTED_VALUE"""),44915.707101701395)</f>
        <v>44915.7071</v>
      </c>
      <c r="G4333" s="24" t="str">
        <f>IFERROR(__xludf.DUMMYFUNCTION("""COMPUTED_VALUE"""),"Romaine Bouldin ")</f>
        <v>Romaine Bouldin </v>
      </c>
      <c r="H4333" s="24">
        <f>IFERROR(__xludf.DUMMYFUNCTION("""COMPUTED_VALUE"""),14.0)</f>
        <v>14</v>
      </c>
      <c r="I4333" s="24" t="str">
        <f>IFERROR(__xludf.DUMMYFUNCTION("""COMPUTED_VALUE"""),"Damage/expired/extra")</f>
        <v>Damage/expired/extra</v>
      </c>
    </row>
    <row r="4334">
      <c r="A4334" s="23">
        <f>IFERROR(__xludf.DUMMYFUNCTION("""COMPUTED_VALUE"""),44905.0)</f>
        <v>44905</v>
      </c>
      <c r="B4334" s="24" t="str">
        <f>IFERROR(__xludf.DUMMYFUNCTION("""COMPUTED_VALUE"""),"Kyrollos M")</f>
        <v>Kyrollos M</v>
      </c>
      <c r="C4334" s="24">
        <f>IFERROR(__xludf.DUMMYFUNCTION("""COMPUTED_VALUE"""),20.0)</f>
        <v>20</v>
      </c>
      <c r="D4334" s="24" t="str">
        <f>IFERROR(__xludf.DUMMYFUNCTION("""COMPUTED_VALUE"""),"Regular (up to 20lbs)")</f>
        <v>Regular (up to 20lbs)</v>
      </c>
      <c r="F4334" s="23">
        <f>IFERROR(__xludf.DUMMYFUNCTION("""COMPUTED_VALUE"""),44915.70775480325)</f>
        <v>44915.70775</v>
      </c>
      <c r="G4334" s="24" t="str">
        <f>IFERROR(__xludf.DUMMYFUNCTION("""COMPUTED_VALUE"""),"Beverly Graham ")</f>
        <v>Beverly Graham </v>
      </c>
      <c r="H4334" s="24">
        <f>IFERROR(__xludf.DUMMYFUNCTION("""COMPUTED_VALUE"""),9.0)</f>
        <v>9</v>
      </c>
      <c r="I4334" s="24" t="str">
        <f>IFERROR(__xludf.DUMMYFUNCTION("""COMPUTED_VALUE"""),"Regular (up to 20lbs)")</f>
        <v>Regular (up to 20lbs)</v>
      </c>
    </row>
    <row r="4335">
      <c r="A4335" s="23">
        <f>IFERROR(__xludf.DUMMYFUNCTION("""COMPUTED_VALUE"""),44905.0)</f>
        <v>44905</v>
      </c>
      <c r="B4335" s="24" t="str">
        <f>IFERROR(__xludf.DUMMYFUNCTION("""COMPUTED_VALUE"""),"Safeer")</f>
        <v>Safeer</v>
      </c>
      <c r="C4335" s="24">
        <f>IFERROR(__xludf.DUMMYFUNCTION("""COMPUTED_VALUE"""),14.0)</f>
        <v>14</v>
      </c>
      <c r="D4335" s="24" t="str">
        <f>IFERROR(__xludf.DUMMYFUNCTION("""COMPUTED_VALUE"""),"Regular (up to 20lbs)")</f>
        <v>Regular (up to 20lbs)</v>
      </c>
      <c r="F4335" s="23">
        <f>IFERROR(__xludf.DUMMYFUNCTION("""COMPUTED_VALUE"""),44915.708191851845)</f>
        <v>44915.70819</v>
      </c>
      <c r="G4335" s="24" t="str">
        <f>IFERROR(__xludf.DUMMYFUNCTION("""COMPUTED_VALUE"""),"Beverly Graham ")</f>
        <v>Beverly Graham </v>
      </c>
      <c r="H4335" s="24">
        <f>IFERROR(__xludf.DUMMYFUNCTION("""COMPUTED_VALUE"""),9.0)</f>
        <v>9</v>
      </c>
      <c r="I4335" s="24" t="str">
        <f>IFERROR(__xludf.DUMMYFUNCTION("""COMPUTED_VALUE"""),"Damage/expired/extra")</f>
        <v>Damage/expired/extra</v>
      </c>
    </row>
    <row r="4336">
      <c r="A4336" s="23">
        <f>IFERROR(__xludf.DUMMYFUNCTION("""COMPUTED_VALUE"""),44905.0)</f>
        <v>44905</v>
      </c>
      <c r="B4336" s="24" t="str">
        <f>IFERROR(__xludf.DUMMYFUNCTION("""COMPUTED_VALUE"""),"Arsa H")</f>
        <v>Arsa H</v>
      </c>
      <c r="C4336" s="24">
        <f>IFERROR(__xludf.DUMMYFUNCTION("""COMPUTED_VALUE"""),20.0)</f>
        <v>20</v>
      </c>
      <c r="D4336" s="24" t="str">
        <f>IFERROR(__xludf.DUMMYFUNCTION("""COMPUTED_VALUE"""),"Regular (up to 20lbs)")</f>
        <v>Regular (up to 20lbs)</v>
      </c>
      <c r="F4336" s="23">
        <f>IFERROR(__xludf.DUMMYFUNCTION("""COMPUTED_VALUE"""),44915.70901153935)</f>
        <v>44915.70901</v>
      </c>
      <c r="G4336" s="24" t="str">
        <f>IFERROR(__xludf.DUMMYFUNCTION("""COMPUTED_VALUE"""),"Susan larson")</f>
        <v>Susan larson</v>
      </c>
      <c r="H4336" s="24">
        <f>IFERROR(__xludf.DUMMYFUNCTION("""COMPUTED_VALUE"""),13.0)</f>
        <v>13</v>
      </c>
      <c r="I4336" s="24" t="str">
        <f>IFERROR(__xludf.DUMMYFUNCTION("""COMPUTED_VALUE"""),"Regular (up to 20lbs)")</f>
        <v>Regular (up to 20lbs)</v>
      </c>
    </row>
    <row r="4337">
      <c r="A4337" s="23">
        <f>IFERROR(__xludf.DUMMYFUNCTION("""COMPUTED_VALUE"""),44905.0)</f>
        <v>44905</v>
      </c>
      <c r="B4337" s="24" t="str">
        <f>IFERROR(__xludf.DUMMYFUNCTION("""COMPUTED_VALUE"""),"Heera R")</f>
        <v>Heera R</v>
      </c>
      <c r="C4337" s="24">
        <f>IFERROR(__xludf.DUMMYFUNCTION("""COMPUTED_VALUE"""),18.0)</f>
        <v>18</v>
      </c>
      <c r="D4337" s="24" t="str">
        <f>IFERROR(__xludf.DUMMYFUNCTION("""COMPUTED_VALUE"""),"Regular (up to 20lbs)")</f>
        <v>Regular (up to 20lbs)</v>
      </c>
      <c r="F4337" s="23">
        <f>IFERROR(__xludf.DUMMYFUNCTION("""COMPUTED_VALUE"""),44915.709277245376)</f>
        <v>44915.70928</v>
      </c>
      <c r="G4337" s="24" t="str">
        <f>IFERROR(__xludf.DUMMYFUNCTION("""COMPUTED_VALUE"""),"Susan larson")</f>
        <v>Susan larson</v>
      </c>
      <c r="H4337" s="24">
        <f>IFERROR(__xludf.DUMMYFUNCTION("""COMPUTED_VALUE"""),8.0)</f>
        <v>8</v>
      </c>
      <c r="I4337" s="24" t="str">
        <f>IFERROR(__xludf.DUMMYFUNCTION("""COMPUTED_VALUE"""),"Damage/expired/extra")</f>
        <v>Damage/expired/extra</v>
      </c>
    </row>
    <row r="4338">
      <c r="A4338" s="23">
        <f>IFERROR(__xludf.DUMMYFUNCTION("""COMPUTED_VALUE"""),44905.0)</f>
        <v>44905</v>
      </c>
      <c r="B4338" s="24" t="str">
        <f>IFERROR(__xludf.DUMMYFUNCTION("""COMPUTED_VALUE"""),"Isabel Z")</f>
        <v>Isabel Z</v>
      </c>
      <c r="C4338" s="24">
        <f>IFERROR(__xludf.DUMMYFUNCTION("""COMPUTED_VALUE"""),19.0)</f>
        <v>19</v>
      </c>
      <c r="D4338" s="24" t="str">
        <f>IFERROR(__xludf.DUMMYFUNCTION("""COMPUTED_VALUE"""),"Regular (up to 20lbs)")</f>
        <v>Regular (up to 20lbs)</v>
      </c>
      <c r="F4338" s="23">
        <f>IFERROR(__xludf.DUMMYFUNCTION("""COMPUTED_VALUE"""),44915.714434814814)</f>
        <v>44915.71443</v>
      </c>
      <c r="G4338" s="24" t="str">
        <f>IFERROR(__xludf.DUMMYFUNCTION("""COMPUTED_VALUE"""),"Anna West")</f>
        <v>Anna West</v>
      </c>
      <c r="H4338" s="24">
        <f>IFERROR(__xludf.DUMMYFUNCTION("""COMPUTED_VALUE"""),20.0)</f>
        <v>20</v>
      </c>
      <c r="I4338" s="24" t="str">
        <f>IFERROR(__xludf.DUMMYFUNCTION("""COMPUTED_VALUE"""),"Regular (up to 20lbs)")</f>
        <v>Regular (up to 20lbs)</v>
      </c>
    </row>
    <row r="4339">
      <c r="A4339" s="23">
        <f>IFERROR(__xludf.DUMMYFUNCTION("""COMPUTED_VALUE"""),44905.0)</f>
        <v>44905</v>
      </c>
      <c r="B4339" s="24" t="str">
        <f>IFERROR(__xludf.DUMMYFUNCTION("""COMPUTED_VALUE"""),"Isabel Z")</f>
        <v>Isabel Z</v>
      </c>
      <c r="C4339" s="24">
        <f>IFERROR(__xludf.DUMMYFUNCTION("""COMPUTED_VALUE"""),1.0)</f>
        <v>1</v>
      </c>
      <c r="D4339" s="24" t="str">
        <f>IFERROR(__xludf.DUMMYFUNCTION("""COMPUTED_VALUE"""),"Damage/expired/extra")</f>
        <v>Damage/expired/extra</v>
      </c>
      <c r="F4339" s="23">
        <f>IFERROR(__xludf.DUMMYFUNCTION("""COMPUTED_VALUE"""),44915.71458959491)</f>
        <v>44915.71459</v>
      </c>
      <c r="G4339" s="24" t="str">
        <f>IFERROR(__xludf.DUMMYFUNCTION("""COMPUTED_VALUE"""),"Anna West")</f>
        <v>Anna West</v>
      </c>
      <c r="H4339" s="24">
        <f>IFERROR(__xludf.DUMMYFUNCTION("""COMPUTED_VALUE"""),33.0)</f>
        <v>33</v>
      </c>
      <c r="I4339" s="24" t="str">
        <f>IFERROR(__xludf.DUMMYFUNCTION("""COMPUTED_VALUE"""),"Damage/expired/extra")</f>
        <v>Damage/expired/extra</v>
      </c>
    </row>
    <row r="4340">
      <c r="A4340" s="23">
        <f>IFERROR(__xludf.DUMMYFUNCTION("""COMPUTED_VALUE"""),44905.0)</f>
        <v>44905</v>
      </c>
      <c r="B4340" s="24" t="str">
        <f>IFERROR(__xludf.DUMMYFUNCTION("""COMPUTED_VALUE"""),"Jade W")</f>
        <v>Jade W</v>
      </c>
      <c r="C4340" s="24">
        <f>IFERROR(__xludf.DUMMYFUNCTION("""COMPUTED_VALUE"""),13.0)</f>
        <v>13</v>
      </c>
      <c r="D4340" s="24" t="str">
        <f>IFERROR(__xludf.DUMMYFUNCTION("""COMPUTED_VALUE"""),"Regular (up to 20lbs)")</f>
        <v>Regular (up to 20lbs)</v>
      </c>
      <c r="F4340" s="23">
        <f>IFERROR(__xludf.DUMMYFUNCTION("""COMPUTED_VALUE"""),44915.71871439815)</f>
        <v>44915.71871</v>
      </c>
      <c r="G4340" s="24" t="str">
        <f>IFERROR(__xludf.DUMMYFUNCTION("""COMPUTED_VALUE"""),"Beverly Pinn")</f>
        <v>Beverly Pinn</v>
      </c>
      <c r="H4340" s="24">
        <f>IFERROR(__xludf.DUMMYFUNCTION("""COMPUTED_VALUE"""),20.0)</f>
        <v>20</v>
      </c>
      <c r="I4340" s="24" t="str">
        <f>IFERROR(__xludf.DUMMYFUNCTION("""COMPUTED_VALUE"""),"Regular (up to 20lbs)")</f>
        <v>Regular (up to 20lbs)</v>
      </c>
    </row>
    <row r="4341">
      <c r="A4341" s="23">
        <f>IFERROR(__xludf.DUMMYFUNCTION("""COMPUTED_VALUE"""),44906.63010890046)</f>
        <v>44906.63011</v>
      </c>
      <c r="B4341" s="24" t="str">
        <f>IFERROR(__xludf.DUMMYFUNCTION("""COMPUTED_VALUE"""),"Carla")</f>
        <v>Carla</v>
      </c>
      <c r="C4341" s="24">
        <f>IFERROR(__xludf.DUMMYFUNCTION("""COMPUTED_VALUE"""),16.0)</f>
        <v>16</v>
      </c>
      <c r="D4341" s="24" t="str">
        <f>IFERROR(__xludf.DUMMYFUNCTION("""COMPUTED_VALUE"""),"Regular (up to 20lbs)")</f>
        <v>Regular (up to 20lbs)</v>
      </c>
      <c r="F4341" s="23">
        <f>IFERROR(__xludf.DUMMYFUNCTION("""COMPUTED_VALUE"""),44915.71906186343)</f>
        <v>44915.71906</v>
      </c>
      <c r="G4341" s="24" t="str">
        <f>IFERROR(__xludf.DUMMYFUNCTION("""COMPUTED_VALUE"""),"Beverly Pinn")</f>
        <v>Beverly Pinn</v>
      </c>
      <c r="H4341" s="24">
        <f>IFERROR(__xludf.DUMMYFUNCTION("""COMPUTED_VALUE"""),40.0)</f>
        <v>40</v>
      </c>
      <c r="I4341" s="24" t="str">
        <f>IFERROR(__xludf.DUMMYFUNCTION("""COMPUTED_VALUE"""),"Damage/expired/extra")</f>
        <v>Damage/expired/extra</v>
      </c>
    </row>
    <row r="4342">
      <c r="A4342" s="23">
        <f>IFERROR(__xludf.DUMMYFUNCTION("""COMPUTED_VALUE"""),44906.654959259264)</f>
        <v>44906.65496</v>
      </c>
      <c r="B4342" s="24" t="str">
        <f>IFERROR(__xludf.DUMMYFUNCTION("""COMPUTED_VALUE"""),"Alex")</f>
        <v>Alex</v>
      </c>
      <c r="C4342" s="24">
        <f>IFERROR(__xludf.DUMMYFUNCTION("""COMPUTED_VALUE"""),20.0)</f>
        <v>20</v>
      </c>
      <c r="D4342" s="24" t="str">
        <f>IFERROR(__xludf.DUMMYFUNCTION("""COMPUTED_VALUE"""),"Regular (up to 20lbs)")</f>
        <v>Regular (up to 20lbs)</v>
      </c>
      <c r="F4342" s="23">
        <f>IFERROR(__xludf.DUMMYFUNCTION("""COMPUTED_VALUE"""),44916.0)</f>
        <v>44916</v>
      </c>
      <c r="G4342" s="24" t="str">
        <f>IFERROR(__xludf.DUMMYFUNCTION("""COMPUTED_VALUE"""),"Juanita Chandler ")</f>
        <v>Juanita Chandler </v>
      </c>
      <c r="H4342" s="24">
        <f>IFERROR(__xludf.DUMMYFUNCTION("""COMPUTED_VALUE"""),7.0)</f>
        <v>7</v>
      </c>
      <c r="I4342" s="24" t="str">
        <f>IFERROR(__xludf.DUMMYFUNCTION("""COMPUTED_VALUE"""),"Regular (up to 20lbs)")</f>
        <v>Regular (up to 20lbs)</v>
      </c>
    </row>
    <row r="4343">
      <c r="A4343" s="23">
        <f>IFERROR(__xludf.DUMMYFUNCTION("""COMPUTED_VALUE"""),44906.66182414352)</f>
        <v>44906.66182</v>
      </c>
      <c r="B4343" s="24" t="str">
        <f>IFERROR(__xludf.DUMMYFUNCTION("""COMPUTED_VALUE"""),"Denise Rivers")</f>
        <v>Denise Rivers</v>
      </c>
      <c r="C4343" s="24">
        <f>IFERROR(__xludf.DUMMYFUNCTION("""COMPUTED_VALUE"""),20.0)</f>
        <v>20</v>
      </c>
      <c r="D4343" s="24" t="str">
        <f>IFERROR(__xludf.DUMMYFUNCTION("""COMPUTED_VALUE"""),"Regular (up to 20lbs)")</f>
        <v>Regular (up to 20lbs)</v>
      </c>
      <c r="F4343" s="23">
        <f>IFERROR(__xludf.DUMMYFUNCTION("""COMPUTED_VALUE"""),44916.0)</f>
        <v>44916</v>
      </c>
      <c r="G4343" s="24" t="str">
        <f>IFERROR(__xludf.DUMMYFUNCTION("""COMPUTED_VALUE"""),"Juanita Chandler ")</f>
        <v>Juanita Chandler </v>
      </c>
      <c r="H4343" s="24">
        <f>IFERROR(__xludf.DUMMYFUNCTION("""COMPUTED_VALUE"""),13.0)</f>
        <v>13</v>
      </c>
      <c r="I4343" s="24" t="str">
        <f>IFERROR(__xludf.DUMMYFUNCTION("""COMPUTED_VALUE"""),"Damage/expired/extra")</f>
        <v>Damage/expired/extra</v>
      </c>
    </row>
    <row r="4344">
      <c r="A4344" s="23">
        <f>IFERROR(__xludf.DUMMYFUNCTION("""COMPUTED_VALUE"""),44906.66209415509)</f>
        <v>44906.66209</v>
      </c>
      <c r="B4344" s="24" t="str">
        <f>IFERROR(__xludf.DUMMYFUNCTION("""COMPUTED_VALUE"""),"Denise Rivers")</f>
        <v>Denise Rivers</v>
      </c>
      <c r="C4344" s="24">
        <f>IFERROR(__xludf.DUMMYFUNCTION("""COMPUTED_VALUE"""),44.0)</f>
        <v>44</v>
      </c>
      <c r="D4344" s="24" t="str">
        <f>IFERROR(__xludf.DUMMYFUNCTION("""COMPUTED_VALUE"""),"Damage/expired/extra")</f>
        <v>Damage/expired/extra</v>
      </c>
      <c r="F4344" s="23">
        <f>IFERROR(__xludf.DUMMYFUNCTION("""COMPUTED_VALUE"""),44916.0)</f>
        <v>44916</v>
      </c>
      <c r="G4344" s="24" t="str">
        <f>IFERROR(__xludf.DUMMYFUNCTION("""COMPUTED_VALUE"""),"Sarah K")</f>
        <v>Sarah K</v>
      </c>
      <c r="H4344" s="24">
        <f>IFERROR(__xludf.DUMMYFUNCTION("""COMPUTED_VALUE"""),13.0)</f>
        <v>13</v>
      </c>
      <c r="I4344" s="24" t="str">
        <f>IFERROR(__xludf.DUMMYFUNCTION("""COMPUTED_VALUE"""),"Regular (up to 20lbs)")</f>
        <v>Regular (up to 20lbs)</v>
      </c>
    </row>
    <row r="4345">
      <c r="A4345" s="23">
        <f>IFERROR(__xludf.DUMMYFUNCTION("""COMPUTED_VALUE"""),44906.66503967593)</f>
        <v>44906.66504</v>
      </c>
      <c r="B4345" s="24" t="str">
        <f>IFERROR(__xludf.DUMMYFUNCTION("""COMPUTED_VALUE"""),"Kate Weeks")</f>
        <v>Kate Weeks</v>
      </c>
      <c r="C4345" s="24">
        <f>IFERROR(__xludf.DUMMYFUNCTION("""COMPUTED_VALUE"""),20.0)</f>
        <v>20</v>
      </c>
      <c r="D4345" s="24" t="str">
        <f>IFERROR(__xludf.DUMMYFUNCTION("""COMPUTED_VALUE"""),"Regular (up to 20lbs)")</f>
        <v>Regular (up to 20lbs)</v>
      </c>
      <c r="F4345" s="23">
        <f>IFERROR(__xludf.DUMMYFUNCTION("""COMPUTED_VALUE"""),44916.0)</f>
        <v>44916</v>
      </c>
      <c r="G4345" s="24" t="str">
        <f>IFERROR(__xludf.DUMMYFUNCTION("""COMPUTED_VALUE"""),"Tina P")</f>
        <v>Tina P</v>
      </c>
      <c r="H4345" s="24">
        <f>IFERROR(__xludf.DUMMYFUNCTION("""COMPUTED_VALUE"""),14.0)</f>
        <v>14</v>
      </c>
      <c r="I4345" s="24" t="str">
        <f>IFERROR(__xludf.DUMMYFUNCTION("""COMPUTED_VALUE"""),"Regular (up to 20lbs)")</f>
        <v>Regular (up to 20lbs)</v>
      </c>
    </row>
    <row r="4346">
      <c r="A4346" s="23">
        <f>IFERROR(__xludf.DUMMYFUNCTION("""COMPUTED_VALUE"""),44906.6651984838)</f>
        <v>44906.6652</v>
      </c>
      <c r="B4346" s="24" t="str">
        <f>IFERROR(__xludf.DUMMYFUNCTION("""COMPUTED_VALUE"""),"Kate Weeks")</f>
        <v>Kate Weeks</v>
      </c>
      <c r="C4346" s="24">
        <f>IFERROR(__xludf.DUMMYFUNCTION("""COMPUTED_VALUE"""),35.0)</f>
        <v>35</v>
      </c>
      <c r="D4346" s="24" t="str">
        <f>IFERROR(__xludf.DUMMYFUNCTION("""COMPUTED_VALUE"""),"Damage/expired/extra")</f>
        <v>Damage/expired/extra</v>
      </c>
      <c r="F4346" s="23">
        <f>IFERROR(__xludf.DUMMYFUNCTION("""COMPUTED_VALUE"""),44916.0)</f>
        <v>44916</v>
      </c>
      <c r="G4346" s="24" t="str">
        <f>IFERROR(__xludf.DUMMYFUNCTION("""COMPUTED_VALUE"""),"Janet Lomax")</f>
        <v>Janet Lomax</v>
      </c>
      <c r="H4346" s="24">
        <f>IFERROR(__xludf.DUMMYFUNCTION("""COMPUTED_VALUE"""),20.0)</f>
        <v>20</v>
      </c>
      <c r="I4346" s="24" t="str">
        <f>IFERROR(__xludf.DUMMYFUNCTION("""COMPUTED_VALUE"""),"Regular (up to 20lbs)")</f>
        <v>Regular (up to 20lbs)</v>
      </c>
    </row>
    <row r="4347">
      <c r="A4347" s="23">
        <f>IFERROR(__xludf.DUMMYFUNCTION("""COMPUTED_VALUE"""),44906.6651991551)</f>
        <v>44906.6652</v>
      </c>
      <c r="B4347" s="24" t="str">
        <f>IFERROR(__xludf.DUMMYFUNCTION("""COMPUTED_VALUE"""),"Anita Bryant")</f>
        <v>Anita Bryant</v>
      </c>
      <c r="C4347" s="24">
        <f>IFERROR(__xludf.DUMMYFUNCTION("""COMPUTED_VALUE"""),17.0)</f>
        <v>17</v>
      </c>
      <c r="D4347" s="24" t="str">
        <f>IFERROR(__xludf.DUMMYFUNCTION("""COMPUTED_VALUE"""),"Regular (up to 20lbs)")</f>
        <v>Regular (up to 20lbs)</v>
      </c>
      <c r="F4347" s="23">
        <f>IFERROR(__xludf.DUMMYFUNCTION("""COMPUTED_VALUE"""),44916.0)</f>
        <v>44916</v>
      </c>
      <c r="G4347" s="24" t="str">
        <f>IFERROR(__xludf.DUMMYFUNCTION("""COMPUTED_VALUE"""),"Janet Lomax")</f>
        <v>Janet Lomax</v>
      </c>
      <c r="H4347" s="24">
        <f>IFERROR(__xludf.DUMMYFUNCTION("""COMPUTED_VALUE"""),4.0)</f>
        <v>4</v>
      </c>
      <c r="I4347" s="24" t="str">
        <f>IFERROR(__xludf.DUMMYFUNCTION("""COMPUTED_VALUE"""),"Damage/expired/extra")</f>
        <v>Damage/expired/extra</v>
      </c>
    </row>
    <row r="4348">
      <c r="A4348" s="23">
        <f>IFERROR(__xludf.DUMMYFUNCTION("""COMPUTED_VALUE"""),44906.0)</f>
        <v>44906</v>
      </c>
      <c r="B4348" s="24" t="str">
        <f>IFERROR(__xludf.DUMMYFUNCTION("""COMPUTED_VALUE"""),"Anita Bryant")</f>
        <v>Anita Bryant</v>
      </c>
      <c r="C4348" s="24">
        <f>IFERROR(__xludf.DUMMYFUNCTION("""COMPUTED_VALUE"""),16.0)</f>
        <v>16</v>
      </c>
      <c r="D4348" s="24" t="str">
        <f>IFERROR(__xludf.DUMMYFUNCTION("""COMPUTED_VALUE"""),"Damage/expired/extra")</f>
        <v>Damage/expired/extra</v>
      </c>
      <c r="F4348" s="23">
        <f>IFERROR(__xludf.DUMMYFUNCTION("""COMPUTED_VALUE"""),44916.0)</f>
        <v>44916</v>
      </c>
      <c r="G4348" s="24" t="str">
        <f>IFERROR(__xludf.DUMMYFUNCTION("""COMPUTED_VALUE"""),"Melissa Thomas")</f>
        <v>Melissa Thomas</v>
      </c>
      <c r="H4348" s="24">
        <f>IFERROR(__xludf.DUMMYFUNCTION("""COMPUTED_VALUE"""),20.0)</f>
        <v>20</v>
      </c>
      <c r="I4348" s="24" t="str">
        <f>IFERROR(__xludf.DUMMYFUNCTION("""COMPUTED_VALUE"""),"Regular (up to 20lbs)")</f>
        <v>Regular (up to 20lbs)</v>
      </c>
    </row>
    <row r="4349">
      <c r="A4349" s="23">
        <f>IFERROR(__xludf.DUMMYFUNCTION("""COMPUTED_VALUE"""),44906.66748589121)</f>
        <v>44906.66749</v>
      </c>
      <c r="B4349" s="24" t="str">
        <f>IFERROR(__xludf.DUMMYFUNCTION("""COMPUTED_VALUE"""),"Zoe")</f>
        <v>Zoe</v>
      </c>
      <c r="C4349" s="24">
        <f>IFERROR(__xludf.DUMMYFUNCTION("""COMPUTED_VALUE"""),8.0)</f>
        <v>8</v>
      </c>
      <c r="D4349" s="24" t="str">
        <f>IFERROR(__xludf.DUMMYFUNCTION("""COMPUTED_VALUE"""),"Regular (up to 20lbs)")</f>
        <v>Regular (up to 20lbs)</v>
      </c>
      <c r="F4349" s="23">
        <f>IFERROR(__xludf.DUMMYFUNCTION("""COMPUTED_VALUE"""),44916.0)</f>
        <v>44916</v>
      </c>
      <c r="G4349" s="24" t="str">
        <f>IFERROR(__xludf.DUMMYFUNCTION("""COMPUTED_VALUE"""),"Melissa Thomas")</f>
        <v>Melissa Thomas</v>
      </c>
      <c r="H4349" s="24">
        <f>IFERROR(__xludf.DUMMYFUNCTION("""COMPUTED_VALUE"""),11.0)</f>
        <v>11</v>
      </c>
      <c r="I4349" s="24" t="str">
        <f>IFERROR(__xludf.DUMMYFUNCTION("""COMPUTED_VALUE"""),"Damage/expired/extra")</f>
        <v>Damage/expired/extra</v>
      </c>
    </row>
    <row r="4350">
      <c r="A4350" s="23">
        <f>IFERROR(__xludf.DUMMYFUNCTION("""COMPUTED_VALUE"""),44906.66798931713)</f>
        <v>44906.66799</v>
      </c>
      <c r="B4350" s="24" t="str">
        <f>IFERROR(__xludf.DUMMYFUNCTION("""COMPUTED_VALUE"""),"Kaneesha ")</f>
        <v>Kaneesha </v>
      </c>
      <c r="C4350" s="24">
        <f>IFERROR(__xludf.DUMMYFUNCTION("""COMPUTED_VALUE"""),20.0)</f>
        <v>20</v>
      </c>
      <c r="D4350" s="24" t="str">
        <f>IFERROR(__xludf.DUMMYFUNCTION("""COMPUTED_VALUE"""),"Regular (up to 20lbs)")</f>
        <v>Regular (up to 20lbs)</v>
      </c>
      <c r="F4350" s="23">
        <f>IFERROR(__xludf.DUMMYFUNCTION("""COMPUTED_VALUE"""),44916.0)</f>
        <v>44916</v>
      </c>
      <c r="G4350" s="24" t="str">
        <f>IFERROR(__xludf.DUMMYFUNCTION("""COMPUTED_VALUE"""),"Deidre")</f>
        <v>Deidre</v>
      </c>
      <c r="H4350" s="24">
        <f>IFERROR(__xludf.DUMMYFUNCTION("""COMPUTED_VALUE"""),8.0)</f>
        <v>8</v>
      </c>
      <c r="I4350" s="24" t="str">
        <f>IFERROR(__xludf.DUMMYFUNCTION("""COMPUTED_VALUE"""),"Regular (up to 20lbs)")</f>
        <v>Regular (up to 20lbs)</v>
      </c>
    </row>
    <row r="4351">
      <c r="A4351" s="23">
        <f>IFERROR(__xludf.DUMMYFUNCTION("""COMPUTED_VALUE"""),44906.66814819445)</f>
        <v>44906.66815</v>
      </c>
      <c r="B4351" s="24" t="str">
        <f>IFERROR(__xludf.DUMMYFUNCTION("""COMPUTED_VALUE"""),"Kaneesha ")</f>
        <v>Kaneesha </v>
      </c>
      <c r="C4351" s="24">
        <f>IFERROR(__xludf.DUMMYFUNCTION("""COMPUTED_VALUE"""),16.0)</f>
        <v>16</v>
      </c>
      <c r="D4351" s="24" t="str">
        <f>IFERROR(__xludf.DUMMYFUNCTION("""COMPUTED_VALUE"""),"Damage/expired/extra")</f>
        <v>Damage/expired/extra</v>
      </c>
      <c r="F4351" s="23">
        <f>IFERROR(__xludf.DUMMYFUNCTION("""COMPUTED_VALUE"""),44916.0)</f>
        <v>44916</v>
      </c>
      <c r="G4351" s="24" t="str">
        <f>IFERROR(__xludf.DUMMYFUNCTION("""COMPUTED_VALUE"""),"Deidre")</f>
        <v>Deidre</v>
      </c>
      <c r="H4351" s="24">
        <f>IFERROR(__xludf.DUMMYFUNCTION("""COMPUTED_VALUE"""),7.0)</f>
        <v>7</v>
      </c>
      <c r="I4351" s="24" t="str">
        <f>IFERROR(__xludf.DUMMYFUNCTION("""COMPUTED_VALUE"""),"Damage/expired/extra")</f>
        <v>Damage/expired/extra</v>
      </c>
    </row>
    <row r="4352">
      <c r="A4352" s="23">
        <f>IFERROR(__xludf.DUMMYFUNCTION("""COMPUTED_VALUE"""),44906.66881806713)</f>
        <v>44906.66882</v>
      </c>
      <c r="B4352" s="24" t="str">
        <f>IFERROR(__xludf.DUMMYFUNCTION("""COMPUTED_VALUE"""),"Dorja ")</f>
        <v>Dorja </v>
      </c>
      <c r="C4352" s="24">
        <f>IFERROR(__xludf.DUMMYFUNCTION("""COMPUTED_VALUE"""),36.0)</f>
        <v>36</v>
      </c>
      <c r="D4352" s="24" t="str">
        <f>IFERROR(__xludf.DUMMYFUNCTION("""COMPUTED_VALUE"""),"Damage/expired/extra")</f>
        <v>Damage/expired/extra</v>
      </c>
      <c r="F4352" s="23">
        <f>IFERROR(__xludf.DUMMYFUNCTION("""COMPUTED_VALUE"""),44916.0)</f>
        <v>44916</v>
      </c>
      <c r="G4352" s="24" t="str">
        <f>IFERROR(__xludf.DUMMYFUNCTION("""COMPUTED_VALUE"""),"Tracey Wilkins")</f>
        <v>Tracey Wilkins</v>
      </c>
      <c r="H4352" s="24">
        <f>IFERROR(__xludf.DUMMYFUNCTION("""COMPUTED_VALUE"""),14.0)</f>
        <v>14</v>
      </c>
      <c r="I4352" s="24" t="str">
        <f>IFERROR(__xludf.DUMMYFUNCTION("""COMPUTED_VALUE"""),"Regular (up to 20lbs)")</f>
        <v>Regular (up to 20lbs)</v>
      </c>
    </row>
    <row r="4353">
      <c r="A4353" s="23">
        <f>IFERROR(__xludf.DUMMYFUNCTION("""COMPUTED_VALUE"""),44906.675160115745)</f>
        <v>44906.67516</v>
      </c>
      <c r="B4353" s="24" t="str">
        <f>IFERROR(__xludf.DUMMYFUNCTION("""COMPUTED_VALUE"""),"James williams")</f>
        <v>James williams</v>
      </c>
      <c r="C4353" s="24">
        <f>IFERROR(__xludf.DUMMYFUNCTION("""COMPUTED_VALUE"""),20.0)</f>
        <v>20</v>
      </c>
      <c r="D4353" s="24" t="str">
        <f>IFERROR(__xludf.DUMMYFUNCTION("""COMPUTED_VALUE"""),"Regular (up to 20lbs)")</f>
        <v>Regular (up to 20lbs)</v>
      </c>
      <c r="F4353" s="23">
        <f>IFERROR(__xludf.DUMMYFUNCTION("""COMPUTED_VALUE"""),44916.0)</f>
        <v>44916</v>
      </c>
      <c r="G4353" s="24" t="str">
        <f>IFERROR(__xludf.DUMMYFUNCTION("""COMPUTED_VALUE"""),"Tracey Wilkins")</f>
        <v>Tracey Wilkins</v>
      </c>
      <c r="H4353" s="24">
        <f>IFERROR(__xludf.DUMMYFUNCTION("""COMPUTED_VALUE"""),28.0)</f>
        <v>28</v>
      </c>
      <c r="I4353" s="24" t="str">
        <f>IFERROR(__xludf.DUMMYFUNCTION("""COMPUTED_VALUE"""),"Damage/expired/extra")</f>
        <v>Damage/expired/extra</v>
      </c>
    </row>
    <row r="4354">
      <c r="A4354" s="23">
        <f>IFERROR(__xludf.DUMMYFUNCTION("""COMPUTED_VALUE"""),44906.68126402778)</f>
        <v>44906.68126</v>
      </c>
      <c r="B4354" s="24" t="str">
        <f>IFERROR(__xludf.DUMMYFUNCTION("""COMPUTED_VALUE"""),"Opey")</f>
        <v>Opey</v>
      </c>
      <c r="C4354" s="24">
        <f>IFERROR(__xludf.DUMMYFUNCTION("""COMPUTED_VALUE"""),16.0)</f>
        <v>16</v>
      </c>
      <c r="D4354" s="24" t="str">
        <f>IFERROR(__xludf.DUMMYFUNCTION("""COMPUTED_VALUE"""),"Regular (up to 20lbs)")</f>
        <v>Regular (up to 20lbs)</v>
      </c>
      <c r="F4354" s="23">
        <f>IFERROR(__xludf.DUMMYFUNCTION("""COMPUTED_VALUE"""),44916.0)</f>
        <v>44916</v>
      </c>
      <c r="G4354" s="24" t="str">
        <f>IFERROR(__xludf.DUMMYFUNCTION("""COMPUTED_VALUE"""),"Gilda Castillo")</f>
        <v>Gilda Castillo</v>
      </c>
      <c r="H4354" s="24">
        <f>IFERROR(__xludf.DUMMYFUNCTION("""COMPUTED_VALUE"""),14.0)</f>
        <v>14</v>
      </c>
      <c r="I4354" s="24" t="str">
        <f>IFERROR(__xludf.DUMMYFUNCTION("""COMPUTED_VALUE"""),"Regular (up to 20lbs)")</f>
        <v>Regular (up to 20lbs)</v>
      </c>
    </row>
    <row r="4355">
      <c r="A4355" s="23">
        <f>IFERROR(__xludf.DUMMYFUNCTION("""COMPUTED_VALUE"""),44906.0)</f>
        <v>44906</v>
      </c>
      <c r="B4355" s="24" t="str">
        <f>IFERROR(__xludf.DUMMYFUNCTION("""COMPUTED_VALUE"""),"Juanita Chandler ")</f>
        <v>Juanita Chandler </v>
      </c>
      <c r="C4355" s="24">
        <f>IFERROR(__xludf.DUMMYFUNCTION("""COMPUTED_VALUE"""),20.0)</f>
        <v>20</v>
      </c>
      <c r="D4355" s="24" t="str">
        <f>IFERROR(__xludf.DUMMYFUNCTION("""COMPUTED_VALUE"""),"Regular (up to 20lbs)")</f>
        <v>Regular (up to 20lbs)</v>
      </c>
      <c r="F4355" s="23">
        <f>IFERROR(__xludf.DUMMYFUNCTION("""COMPUTED_VALUE"""),44916.0)</f>
        <v>44916</v>
      </c>
      <c r="G4355" s="24" t="str">
        <f>IFERROR(__xludf.DUMMYFUNCTION("""COMPUTED_VALUE"""),"Gilda Castillo")</f>
        <v>Gilda Castillo</v>
      </c>
      <c r="H4355" s="24">
        <f>IFERROR(__xludf.DUMMYFUNCTION("""COMPUTED_VALUE"""),5.0)</f>
        <v>5</v>
      </c>
      <c r="I4355" s="24" t="str">
        <f>IFERROR(__xludf.DUMMYFUNCTION("""COMPUTED_VALUE"""),"Damage/expired/extra")</f>
        <v>Damage/expired/extra</v>
      </c>
    </row>
    <row r="4356">
      <c r="A4356" s="23">
        <f>IFERROR(__xludf.DUMMYFUNCTION("""COMPUTED_VALUE"""),44906.0)</f>
        <v>44906</v>
      </c>
      <c r="B4356" s="24" t="str">
        <f>IFERROR(__xludf.DUMMYFUNCTION("""COMPUTED_VALUE"""),"Juanita Chandler ")</f>
        <v>Juanita Chandler </v>
      </c>
      <c r="C4356" s="24">
        <f>IFERROR(__xludf.DUMMYFUNCTION("""COMPUTED_VALUE"""),19.0)</f>
        <v>19</v>
      </c>
      <c r="D4356" s="24" t="str">
        <f>IFERROR(__xludf.DUMMYFUNCTION("""COMPUTED_VALUE"""),"Damage/expired/extra")</f>
        <v>Damage/expired/extra</v>
      </c>
      <c r="F4356" s="23">
        <f>IFERROR(__xludf.DUMMYFUNCTION("""COMPUTED_VALUE"""),44916.0)</f>
        <v>44916</v>
      </c>
      <c r="G4356" s="24" t="str">
        <f>IFERROR(__xludf.DUMMYFUNCTION("""COMPUTED_VALUE"""),"Angeles Cortes")</f>
        <v>Angeles Cortes</v>
      </c>
      <c r="H4356" s="24">
        <f>IFERROR(__xludf.DUMMYFUNCTION("""COMPUTED_VALUE"""),17.0)</f>
        <v>17</v>
      </c>
      <c r="I4356" s="24" t="str">
        <f>IFERROR(__xludf.DUMMYFUNCTION("""COMPUTED_VALUE"""),"Regular (up to 20lbs)")</f>
        <v>Regular (up to 20lbs)</v>
      </c>
    </row>
    <row r="4357">
      <c r="A4357" s="23">
        <f>IFERROR(__xludf.DUMMYFUNCTION("""COMPUTED_VALUE"""),44906.68155318287)</f>
        <v>44906.68155</v>
      </c>
      <c r="B4357" s="24" t="str">
        <f>IFERROR(__xludf.DUMMYFUNCTION("""COMPUTED_VALUE"""),"Dorja ")</f>
        <v>Dorja </v>
      </c>
      <c r="C4357" s="24">
        <f>IFERROR(__xludf.DUMMYFUNCTION("""COMPUTED_VALUE"""),26.0)</f>
        <v>26</v>
      </c>
      <c r="D4357" s="24" t="str">
        <f>IFERROR(__xludf.DUMMYFUNCTION("""COMPUTED_VALUE"""),"Regular (up to 20lbs)")</f>
        <v>Regular (up to 20lbs)</v>
      </c>
      <c r="F4357" s="23">
        <f>IFERROR(__xludf.DUMMYFUNCTION("""COMPUTED_VALUE"""),44916.0)</f>
        <v>44916</v>
      </c>
      <c r="G4357" s="24" t="str">
        <f>IFERROR(__xludf.DUMMYFUNCTION("""COMPUTED_VALUE"""),"Angeles Cortes")</f>
        <v>Angeles Cortes</v>
      </c>
      <c r="H4357" s="24">
        <f>IFERROR(__xludf.DUMMYFUNCTION("""COMPUTED_VALUE"""),12.0)</f>
        <v>12</v>
      </c>
      <c r="I4357" s="24" t="str">
        <f>IFERROR(__xludf.DUMMYFUNCTION("""COMPUTED_VALUE"""),"Damage/expired/extra")</f>
        <v>Damage/expired/extra</v>
      </c>
    </row>
    <row r="4358">
      <c r="A4358" s="23">
        <f>IFERROR(__xludf.DUMMYFUNCTION("""COMPUTED_VALUE"""),44908.0)</f>
        <v>44908</v>
      </c>
      <c r="B4358" s="24" t="str">
        <f>IFERROR(__xludf.DUMMYFUNCTION("""COMPUTED_VALUE"""),"Marci")</f>
        <v>Marci</v>
      </c>
      <c r="C4358" s="24">
        <f>IFERROR(__xludf.DUMMYFUNCTION("""COMPUTED_VALUE"""),20.0)</f>
        <v>20</v>
      </c>
      <c r="D4358" s="24" t="str">
        <f>IFERROR(__xludf.DUMMYFUNCTION("""COMPUTED_VALUE"""),"Regular (up to 20lbs)")</f>
        <v>Regular (up to 20lbs)</v>
      </c>
      <c r="F4358" s="23">
        <f>IFERROR(__xludf.DUMMYFUNCTION("""COMPUTED_VALUE"""),44916.57209730324)</f>
        <v>44916.5721</v>
      </c>
      <c r="G4358" s="24" t="str">
        <f>IFERROR(__xludf.DUMMYFUNCTION("""COMPUTED_VALUE"""),"Bud Stracker")</f>
        <v>Bud Stracker</v>
      </c>
      <c r="H4358" s="24">
        <f>IFERROR(__xludf.DUMMYFUNCTION("""COMPUTED_VALUE"""),2.0)</f>
        <v>2</v>
      </c>
      <c r="I4358" s="24" t="str">
        <f>IFERROR(__xludf.DUMMYFUNCTION("""COMPUTED_VALUE"""),"Regular (up to 20lbs)")</f>
        <v>Regular (up to 20lbs)</v>
      </c>
    </row>
    <row r="4359">
      <c r="A4359" s="23">
        <f>IFERROR(__xludf.DUMMYFUNCTION("""COMPUTED_VALUE"""),44908.0)</f>
        <v>44908</v>
      </c>
      <c r="B4359" s="24" t="str">
        <f>IFERROR(__xludf.DUMMYFUNCTION("""COMPUTED_VALUE"""),"Marci")</f>
        <v>Marci</v>
      </c>
      <c r="C4359" s="24">
        <f>IFERROR(__xludf.DUMMYFUNCTION("""COMPUTED_VALUE"""),28.0)</f>
        <v>28</v>
      </c>
      <c r="D4359" s="24" t="str">
        <f>IFERROR(__xludf.DUMMYFUNCTION("""COMPUTED_VALUE"""),"Damage/expired/extra")</f>
        <v>Damage/expired/extra</v>
      </c>
      <c r="F4359" s="23">
        <f>IFERROR(__xludf.DUMMYFUNCTION("""COMPUTED_VALUE"""),44916.60925162037)</f>
        <v>44916.60925</v>
      </c>
      <c r="G4359" s="24" t="str">
        <f>IFERROR(__xludf.DUMMYFUNCTION("""COMPUTED_VALUE"""),"Claire")</f>
        <v>Claire</v>
      </c>
      <c r="H4359" s="24">
        <f>IFERROR(__xludf.DUMMYFUNCTION("""COMPUTED_VALUE"""),13.0)</f>
        <v>13</v>
      </c>
      <c r="I4359" s="24" t="str">
        <f>IFERROR(__xludf.DUMMYFUNCTION("""COMPUTED_VALUE"""),"Donation")</f>
        <v>Donation</v>
      </c>
    </row>
    <row r="4360">
      <c r="A4360" s="23">
        <f>IFERROR(__xludf.DUMMYFUNCTION("""COMPUTED_VALUE"""),44908.0)</f>
        <v>44908</v>
      </c>
      <c r="B4360" s="24" t="str">
        <f>IFERROR(__xludf.DUMMYFUNCTION("""COMPUTED_VALUE"""),"Kaneesha")</f>
        <v>Kaneesha</v>
      </c>
      <c r="C4360" s="24">
        <f>IFERROR(__xludf.DUMMYFUNCTION("""COMPUTED_VALUE"""),20.0)</f>
        <v>20</v>
      </c>
      <c r="D4360" s="24" t="str">
        <f>IFERROR(__xludf.DUMMYFUNCTION("""COMPUTED_VALUE"""),"Regular (up to 20lbs)")</f>
        <v>Regular (up to 20lbs)</v>
      </c>
      <c r="F4360" s="23">
        <f>IFERROR(__xludf.DUMMYFUNCTION("""COMPUTED_VALUE"""),44916.609660601855)</f>
        <v>44916.60966</v>
      </c>
      <c r="G4360" s="24" t="str">
        <f>IFERROR(__xludf.DUMMYFUNCTION("""COMPUTED_VALUE"""),"Claire")</f>
        <v>Claire</v>
      </c>
      <c r="H4360" s="24">
        <f>IFERROR(__xludf.DUMMYFUNCTION("""COMPUTED_VALUE"""),84.0)</f>
        <v>84</v>
      </c>
      <c r="I4360" s="24" t="str">
        <f>IFERROR(__xludf.DUMMYFUNCTION("""COMPUTED_VALUE"""),"Assorted Dry")</f>
        <v>Assorted Dry</v>
      </c>
    </row>
    <row r="4361">
      <c r="A4361" s="23">
        <f>IFERROR(__xludf.DUMMYFUNCTION("""COMPUTED_VALUE"""),44908.0)</f>
        <v>44908</v>
      </c>
      <c r="B4361" s="24" t="str">
        <f>IFERROR(__xludf.DUMMYFUNCTION("""COMPUTED_VALUE"""),"Kaneesha")</f>
        <v>Kaneesha</v>
      </c>
      <c r="C4361" s="24">
        <f>IFERROR(__xludf.DUMMYFUNCTION("""COMPUTED_VALUE"""),15.0)</f>
        <v>15</v>
      </c>
      <c r="D4361" s="24" t="str">
        <f>IFERROR(__xludf.DUMMYFUNCTION("""COMPUTED_VALUE"""),"Damage/expired/extra")</f>
        <v>Damage/expired/extra</v>
      </c>
      <c r="F4361" s="23">
        <f>IFERROR(__xludf.DUMMYFUNCTION("""COMPUTED_VALUE"""),44916.6100271875)</f>
        <v>44916.61003</v>
      </c>
      <c r="G4361" s="24" t="str">
        <f>IFERROR(__xludf.DUMMYFUNCTION("""COMPUTED_VALUE"""),"Claire")</f>
        <v>Claire</v>
      </c>
      <c r="H4361" s="24">
        <f>IFERROR(__xludf.DUMMYFUNCTION("""COMPUTED_VALUE"""),258.0)</f>
        <v>258</v>
      </c>
      <c r="I4361" s="24" t="str">
        <f>IFERROR(__xludf.DUMMYFUNCTION("""COMPUTED_VALUE"""),"Assorted Fridge")</f>
        <v>Assorted Fridge</v>
      </c>
    </row>
    <row r="4362">
      <c r="A4362" s="23">
        <f>IFERROR(__xludf.DUMMYFUNCTION("""COMPUTED_VALUE"""),44908.0)</f>
        <v>44908</v>
      </c>
      <c r="B4362" s="24" t="str">
        <f>IFERROR(__xludf.DUMMYFUNCTION("""COMPUTED_VALUE"""),"Alexia Lilly")</f>
        <v>Alexia Lilly</v>
      </c>
      <c r="C4362" s="24">
        <f>IFERROR(__xludf.DUMMYFUNCTION("""COMPUTED_VALUE"""),7.0)</f>
        <v>7</v>
      </c>
      <c r="D4362" s="24" t="str">
        <f>IFERROR(__xludf.DUMMYFUNCTION("""COMPUTED_VALUE"""),"Regular (up to 20lbs)")</f>
        <v>Regular (up to 20lbs)</v>
      </c>
      <c r="F4362" s="23">
        <f>IFERROR(__xludf.DUMMYFUNCTION("""COMPUTED_VALUE"""),44916.63681898149)</f>
        <v>44916.63682</v>
      </c>
      <c r="G4362" s="24" t="str">
        <f>IFERROR(__xludf.DUMMYFUNCTION("""COMPUTED_VALUE"""),"JUANITA Chandler ")</f>
        <v>JUANITA Chandler </v>
      </c>
      <c r="H4362" s="24">
        <f>IFERROR(__xludf.DUMMYFUNCTION("""COMPUTED_VALUE"""),1002.0)</f>
        <v>1002</v>
      </c>
      <c r="I4362" s="24" t="str">
        <f>IFERROR(__xludf.DUMMYFUNCTION("""COMPUTED_VALUE"""),"Dole Fruit Cup ")</f>
        <v>Dole Fruit Cup </v>
      </c>
    </row>
    <row r="4363">
      <c r="A4363" s="23">
        <f>IFERROR(__xludf.DUMMYFUNCTION("""COMPUTED_VALUE"""),44908.0)</f>
        <v>44908</v>
      </c>
      <c r="B4363" s="24" t="str">
        <f>IFERROR(__xludf.DUMMYFUNCTION("""COMPUTED_VALUE"""),"Alexia Lilly")</f>
        <v>Alexia Lilly</v>
      </c>
      <c r="C4363" s="24">
        <f>IFERROR(__xludf.DUMMYFUNCTION("""COMPUTED_VALUE"""),13.0)</f>
        <v>13</v>
      </c>
      <c r="D4363" s="24" t="str">
        <f>IFERROR(__xludf.DUMMYFUNCTION("""COMPUTED_VALUE"""),"Damage/expired/extra")</f>
        <v>Damage/expired/extra</v>
      </c>
      <c r="F4363" s="23">
        <f>IFERROR(__xludf.DUMMYFUNCTION("""COMPUTED_VALUE"""),44916.63816726852)</f>
        <v>44916.63817</v>
      </c>
      <c r="G4363" s="24" t="str">
        <f>IFERROR(__xludf.DUMMYFUNCTION("""COMPUTED_VALUE"""),"Juanita Chandler ")</f>
        <v>Juanita Chandler </v>
      </c>
      <c r="H4363" s="24">
        <f>IFERROR(__xludf.DUMMYFUNCTION("""COMPUTED_VALUE"""),1017.0)</f>
        <v>1017</v>
      </c>
      <c r="I4363" s="24" t="str">
        <f>IFERROR(__xludf.DUMMYFUNCTION("""COMPUTED_VALUE"""),"Dole Fruit Cup ")</f>
        <v>Dole Fruit Cup </v>
      </c>
    </row>
    <row r="4364">
      <c r="A4364" s="23">
        <f>IFERROR(__xludf.DUMMYFUNCTION("""COMPUTED_VALUE"""),44908.0)</f>
        <v>44908</v>
      </c>
      <c r="B4364" s="24" t="str">
        <f>IFERROR(__xludf.DUMMYFUNCTION("""COMPUTED_VALUE"""),"Jean")</f>
        <v>Jean</v>
      </c>
      <c r="C4364" s="24">
        <f>IFERROR(__xludf.DUMMYFUNCTION("""COMPUTED_VALUE"""),4.0)</f>
        <v>4</v>
      </c>
      <c r="D4364" s="24" t="str">
        <f>IFERROR(__xludf.DUMMYFUNCTION("""COMPUTED_VALUE"""),"Regular (up to 20lbs)")</f>
        <v>Regular (up to 20lbs)</v>
      </c>
      <c r="F4364" s="23">
        <f>IFERROR(__xludf.DUMMYFUNCTION("""COMPUTED_VALUE"""),44916.63950133102)</f>
        <v>44916.6395</v>
      </c>
      <c r="G4364" s="24" t="str">
        <f>IFERROR(__xludf.DUMMYFUNCTION("""COMPUTED_VALUE"""),"JUANITA Chandler ")</f>
        <v>JUANITA Chandler </v>
      </c>
      <c r="H4364" s="24">
        <f>IFERROR(__xludf.DUMMYFUNCTION("""COMPUTED_VALUE"""),1022.0)</f>
        <v>1022</v>
      </c>
      <c r="I4364" s="24" t="str">
        <f>IFERROR(__xludf.DUMMYFUNCTION("""COMPUTED_VALUE"""),"Dole Fruit Cup ")</f>
        <v>Dole Fruit Cup </v>
      </c>
    </row>
    <row r="4365">
      <c r="A4365" s="23">
        <f>IFERROR(__xludf.DUMMYFUNCTION("""COMPUTED_VALUE"""),44908.69315864583)</f>
        <v>44908.69316</v>
      </c>
      <c r="B4365" s="24" t="str">
        <f>IFERROR(__xludf.DUMMYFUNCTION("""COMPUTED_VALUE"""),"DeAuntae")</f>
        <v>DeAuntae</v>
      </c>
      <c r="C4365" s="24">
        <f>IFERROR(__xludf.DUMMYFUNCTION("""COMPUTED_VALUE"""),18.0)</f>
        <v>18</v>
      </c>
      <c r="D4365" s="24" t="str">
        <f>IFERROR(__xludf.DUMMYFUNCTION("""COMPUTED_VALUE"""),"Regular (up to 20lbs)")</f>
        <v>Regular (up to 20lbs)</v>
      </c>
      <c r="F4365" s="23">
        <f>IFERROR(__xludf.DUMMYFUNCTION("""COMPUTED_VALUE"""),44916.64126138889)</f>
        <v>44916.64126</v>
      </c>
      <c r="G4365" s="24" t="str">
        <f>IFERROR(__xludf.DUMMYFUNCTION("""COMPUTED_VALUE"""),"JUANITA Chandler ")</f>
        <v>JUANITA Chandler </v>
      </c>
      <c r="H4365" s="24">
        <f>IFERROR(__xludf.DUMMYFUNCTION("""COMPUTED_VALUE"""),1070.0)</f>
        <v>1070</v>
      </c>
      <c r="I4365" s="24" t="str">
        <f>IFERROR(__xludf.DUMMYFUNCTION("""COMPUTED_VALUE"""),"Dole Fruit Cup ")</f>
        <v>Dole Fruit Cup </v>
      </c>
    </row>
    <row r="4366">
      <c r="A4366" s="23">
        <f>IFERROR(__xludf.DUMMYFUNCTION("""COMPUTED_VALUE"""),44908.0)</f>
        <v>44908</v>
      </c>
      <c r="B4366" s="24" t="str">
        <f>IFERROR(__xludf.DUMMYFUNCTION("""COMPUTED_VALUE"""),"DeAuntae")</f>
        <v>DeAuntae</v>
      </c>
      <c r="C4366" s="24">
        <f>IFERROR(__xludf.DUMMYFUNCTION("""COMPUTED_VALUE"""),3.0)</f>
        <v>3</v>
      </c>
      <c r="D4366" s="24" t="str">
        <f>IFERROR(__xludf.DUMMYFUNCTION("""COMPUTED_VALUE"""),"Damage/expired/extra")</f>
        <v>Damage/expired/extra</v>
      </c>
      <c r="F4366" s="23">
        <f>IFERROR(__xludf.DUMMYFUNCTION("""COMPUTED_VALUE"""),44916.64204928241)</f>
        <v>44916.64205</v>
      </c>
      <c r="G4366" s="24" t="str">
        <f>IFERROR(__xludf.DUMMYFUNCTION("""COMPUTED_VALUE"""),"JUANITA Chandler ")</f>
        <v>JUANITA Chandler </v>
      </c>
      <c r="H4366" s="24">
        <f>IFERROR(__xludf.DUMMYFUNCTION("""COMPUTED_VALUE"""),1011.0)</f>
        <v>1011</v>
      </c>
      <c r="I4366" s="24" t="str">
        <f>IFERROR(__xludf.DUMMYFUNCTION("""COMPUTED_VALUE"""),"Dole Fruit Cup ")</f>
        <v>Dole Fruit Cup </v>
      </c>
    </row>
    <row r="4367">
      <c r="A4367" s="23">
        <f>IFERROR(__xludf.DUMMYFUNCTION("""COMPUTED_VALUE"""),44908.69562646991)</f>
        <v>44908.69563</v>
      </c>
      <c r="B4367" s="24" t="str">
        <f>IFERROR(__xludf.DUMMYFUNCTION("""COMPUTED_VALUE"""),"Beverly Graham ")</f>
        <v>Beverly Graham </v>
      </c>
      <c r="C4367" s="24">
        <f>IFERROR(__xludf.DUMMYFUNCTION("""COMPUTED_VALUE"""),15.0)</f>
        <v>15</v>
      </c>
      <c r="D4367" s="24" t="str">
        <f>IFERROR(__xludf.DUMMYFUNCTION("""COMPUTED_VALUE"""),"Regular (up to 20lbs)")</f>
        <v>Regular (up to 20lbs)</v>
      </c>
      <c r="F4367" s="23">
        <f>IFERROR(__xludf.DUMMYFUNCTION("""COMPUTED_VALUE"""),44916.64356179398)</f>
        <v>44916.64356</v>
      </c>
      <c r="G4367" s="24" t="str">
        <f>IFERROR(__xludf.DUMMYFUNCTION("""COMPUTED_VALUE"""),"JUANITA Chandler ")</f>
        <v>JUANITA Chandler </v>
      </c>
      <c r="H4367" s="24">
        <f>IFERROR(__xludf.DUMMYFUNCTION("""COMPUTED_VALUE"""),1015.0)</f>
        <v>1015</v>
      </c>
      <c r="I4367" s="24" t="str">
        <f>IFERROR(__xludf.DUMMYFUNCTION("""COMPUTED_VALUE"""),"DOLE Fruit Cup ")</f>
        <v>DOLE Fruit Cup </v>
      </c>
    </row>
    <row r="4368">
      <c r="A4368" s="23">
        <f>IFERROR(__xludf.DUMMYFUNCTION("""COMPUTED_VALUE"""),44908.695899212966)</f>
        <v>44908.6959</v>
      </c>
      <c r="B4368" s="24" t="str">
        <f>IFERROR(__xludf.DUMMYFUNCTION("""COMPUTED_VALUE"""),"Beverly Graham ")</f>
        <v>Beverly Graham </v>
      </c>
      <c r="C4368" s="24">
        <f>IFERROR(__xludf.DUMMYFUNCTION("""COMPUTED_VALUE"""),1.0)</f>
        <v>1</v>
      </c>
      <c r="D4368" s="24" t="str">
        <f>IFERROR(__xludf.DUMMYFUNCTION("""COMPUTED_VALUE"""),"Damage/expired/extra")</f>
        <v>Damage/expired/extra</v>
      </c>
      <c r="F4368" s="23">
        <f>IFERROR(__xludf.DUMMYFUNCTION("""COMPUTED_VALUE"""),44916.644236886576)</f>
        <v>44916.64424</v>
      </c>
      <c r="G4368" s="24" t="str">
        <f>IFERROR(__xludf.DUMMYFUNCTION("""COMPUTED_VALUE"""),"JUANITA Chandler ")</f>
        <v>JUANITA Chandler </v>
      </c>
      <c r="H4368" s="24">
        <f>IFERROR(__xludf.DUMMYFUNCTION("""COMPUTED_VALUE"""),984.0)</f>
        <v>984</v>
      </c>
      <c r="I4368" s="24" t="str">
        <f>IFERROR(__xludf.DUMMYFUNCTION("""COMPUTED_VALUE"""),"DOLE Fruit Cup ")</f>
        <v>DOLE Fruit Cup </v>
      </c>
    </row>
    <row r="4369">
      <c r="A4369" s="23">
        <f>IFERROR(__xludf.DUMMYFUNCTION("""COMPUTED_VALUE"""),44908.69641282408)</f>
        <v>44908.69641</v>
      </c>
      <c r="B4369" s="24" t="str">
        <f>IFERROR(__xludf.DUMMYFUNCTION("""COMPUTED_VALUE"""),"Romaine Bouldin ")</f>
        <v>Romaine Bouldin </v>
      </c>
      <c r="C4369" s="24">
        <f>IFERROR(__xludf.DUMMYFUNCTION("""COMPUTED_VALUE"""),20.0)</f>
        <v>20</v>
      </c>
      <c r="D4369" s="24" t="str">
        <f>IFERROR(__xludf.DUMMYFUNCTION("""COMPUTED_VALUE"""),"Regular (up to 20lbs)")</f>
        <v>Regular (up to 20lbs)</v>
      </c>
      <c r="F4369" s="23">
        <f>IFERROR(__xludf.DUMMYFUNCTION("""COMPUTED_VALUE"""),44916.64870922454)</f>
        <v>44916.64871</v>
      </c>
      <c r="G4369" s="24" t="str">
        <f>IFERROR(__xludf.DUMMYFUNCTION("""COMPUTED_VALUE"""),"Juanita Chandler ")</f>
        <v>Juanita Chandler </v>
      </c>
      <c r="H4369" s="24">
        <f>IFERROR(__xludf.DUMMYFUNCTION("""COMPUTED_VALUE"""),1014.0)</f>
        <v>1014</v>
      </c>
      <c r="I4369" s="24" t="str">
        <f>IFERROR(__xludf.DUMMYFUNCTION("""COMPUTED_VALUE"""),"Dole  Fruit Cup ")</f>
        <v>Dole  Fruit Cup </v>
      </c>
    </row>
    <row r="4370">
      <c r="A4370" s="23">
        <f>IFERROR(__xludf.DUMMYFUNCTION("""COMPUTED_VALUE"""),44908.698049108796)</f>
        <v>44908.69805</v>
      </c>
      <c r="B4370" s="24" t="str">
        <f>IFERROR(__xludf.DUMMYFUNCTION("""COMPUTED_VALUE"""),"Rosemary Hendricks")</f>
        <v>Rosemary Hendricks</v>
      </c>
      <c r="C4370" s="24">
        <f>IFERROR(__xludf.DUMMYFUNCTION("""COMPUTED_VALUE"""),11.0)</f>
        <v>11</v>
      </c>
      <c r="D4370" s="24" t="str">
        <f>IFERROR(__xludf.DUMMYFUNCTION("""COMPUTED_VALUE"""),"Regular (up to 20lbs)")</f>
        <v>Regular (up to 20lbs)</v>
      </c>
      <c r="F4370" s="23">
        <f>IFERROR(__xludf.DUMMYFUNCTION("""COMPUTED_VALUE"""),44916.64943951389)</f>
        <v>44916.64944</v>
      </c>
      <c r="G4370" s="24" t="str">
        <f>IFERROR(__xludf.DUMMYFUNCTION("""COMPUTED_VALUE"""),"JUANITA Chandler ")</f>
        <v>JUANITA Chandler </v>
      </c>
      <c r="H4370" s="24">
        <f>IFERROR(__xludf.DUMMYFUNCTION("""COMPUTED_VALUE"""),1050.0)</f>
        <v>1050</v>
      </c>
      <c r="I4370" s="24" t="str">
        <f>IFERROR(__xludf.DUMMYFUNCTION("""COMPUTED_VALUE"""),"Dole Fruit Cup ")</f>
        <v>Dole Fruit Cup </v>
      </c>
    </row>
    <row r="4371">
      <c r="A4371" s="23">
        <f>IFERROR(__xludf.DUMMYFUNCTION("""COMPUTED_VALUE"""),44908.69827324074)</f>
        <v>44908.69827</v>
      </c>
      <c r="B4371" s="24" t="str">
        <f>IFERROR(__xludf.DUMMYFUNCTION("""COMPUTED_VALUE"""),"Rosemary Hendricks")</f>
        <v>Rosemary Hendricks</v>
      </c>
      <c r="C4371" s="24">
        <f>IFERROR(__xludf.DUMMYFUNCTION("""COMPUTED_VALUE"""),1.0)</f>
        <v>1</v>
      </c>
      <c r="D4371" s="24" t="str">
        <f>IFERROR(__xludf.DUMMYFUNCTION("""COMPUTED_VALUE"""),"Damage/expired/extra")</f>
        <v>Damage/expired/extra</v>
      </c>
      <c r="F4371" s="23">
        <f>IFERROR(__xludf.DUMMYFUNCTION("""COMPUTED_VALUE"""),44916.65002912037)</f>
        <v>44916.65003</v>
      </c>
      <c r="G4371" s="24" t="str">
        <f>IFERROR(__xludf.DUMMYFUNCTION("""COMPUTED_VALUE"""),"Juanita Chandler ")</f>
        <v>Juanita Chandler </v>
      </c>
      <c r="H4371" s="24">
        <f>IFERROR(__xludf.DUMMYFUNCTION("""COMPUTED_VALUE"""),1025.0)</f>
        <v>1025</v>
      </c>
      <c r="I4371" s="24" t="str">
        <f>IFERROR(__xludf.DUMMYFUNCTION("""COMPUTED_VALUE"""),"DOLE Fruit Cup ")</f>
        <v>DOLE Fruit Cup </v>
      </c>
    </row>
    <row r="4372">
      <c r="A4372" s="23">
        <f>IFERROR(__xludf.DUMMYFUNCTION("""COMPUTED_VALUE"""),44908.69967405093)</f>
        <v>44908.69967</v>
      </c>
      <c r="B4372" s="24" t="str">
        <f>IFERROR(__xludf.DUMMYFUNCTION("""COMPUTED_VALUE"""),"Susan larson")</f>
        <v>Susan larson</v>
      </c>
      <c r="C4372" s="24">
        <f>IFERROR(__xludf.DUMMYFUNCTION("""COMPUTED_VALUE"""),20.0)</f>
        <v>20</v>
      </c>
      <c r="D4372" s="24" t="str">
        <f>IFERROR(__xludf.DUMMYFUNCTION("""COMPUTED_VALUE"""),"Regular (up to 20lbs)")</f>
        <v>Regular (up to 20lbs)</v>
      </c>
      <c r="F4372" s="23">
        <f>IFERROR(__xludf.DUMMYFUNCTION("""COMPUTED_VALUE"""),44916.65075396991)</f>
        <v>44916.65075</v>
      </c>
      <c r="G4372" s="24" t="str">
        <f>IFERROR(__xludf.DUMMYFUNCTION("""COMPUTED_VALUE"""),"JUANITA Chandler ")</f>
        <v>JUANITA Chandler </v>
      </c>
      <c r="H4372" s="24">
        <f>IFERROR(__xludf.DUMMYFUNCTION("""COMPUTED_VALUE"""),755.0)</f>
        <v>755</v>
      </c>
      <c r="I4372" s="24" t="str">
        <f>IFERROR(__xludf.DUMMYFUNCTION("""COMPUTED_VALUE"""),"Dole Fruit Cup ")</f>
        <v>Dole Fruit Cup </v>
      </c>
    </row>
    <row r="4373">
      <c r="A4373" s="23">
        <f>IFERROR(__xludf.DUMMYFUNCTION("""COMPUTED_VALUE"""),44908.699903842586)</f>
        <v>44908.6999</v>
      </c>
      <c r="B4373" s="24" t="str">
        <f>IFERROR(__xludf.DUMMYFUNCTION("""COMPUTED_VALUE"""),"Susan larson")</f>
        <v>Susan larson</v>
      </c>
      <c r="C4373" s="24">
        <f>IFERROR(__xludf.DUMMYFUNCTION("""COMPUTED_VALUE"""),10.0)</f>
        <v>10</v>
      </c>
      <c r="D4373" s="24" t="str">
        <f>IFERROR(__xludf.DUMMYFUNCTION("""COMPUTED_VALUE"""),"Damage/expired/extra")</f>
        <v>Damage/expired/extra</v>
      </c>
      <c r="F4373" s="23">
        <f>IFERROR(__xludf.DUMMYFUNCTION("""COMPUTED_VALUE"""),44916.653629942135)</f>
        <v>44916.65363</v>
      </c>
      <c r="G4373" s="24" t="str">
        <f>IFERROR(__xludf.DUMMYFUNCTION("""COMPUTED_VALUE"""),"JUANITA Chandler ")</f>
        <v>JUANITA Chandler </v>
      </c>
      <c r="H4373" s="24">
        <f>IFERROR(__xludf.DUMMYFUNCTION("""COMPUTED_VALUE"""),1012.0)</f>
        <v>1012</v>
      </c>
      <c r="I4373" s="24" t="str">
        <f>IFERROR(__xludf.DUMMYFUNCTION("""COMPUTED_VALUE"""),"Dole Fruit Cup ")</f>
        <v>Dole Fruit Cup </v>
      </c>
    </row>
    <row r="4374">
      <c r="A4374" s="23">
        <f>IFERROR(__xludf.DUMMYFUNCTION("""COMPUTED_VALUE"""),44908.70321309027)</f>
        <v>44908.70321</v>
      </c>
      <c r="B4374" s="24" t="str">
        <f>IFERROR(__xludf.DUMMYFUNCTION("""COMPUTED_VALUE"""),"Beverly Pinn")</f>
        <v>Beverly Pinn</v>
      </c>
      <c r="C4374" s="24">
        <f>IFERROR(__xludf.DUMMYFUNCTION("""COMPUTED_VALUE"""),19.0)</f>
        <v>19</v>
      </c>
      <c r="D4374" s="24" t="str">
        <f>IFERROR(__xludf.DUMMYFUNCTION("""COMPUTED_VALUE"""),"Regular (up to 20lbs)")</f>
        <v>Regular (up to 20lbs)</v>
      </c>
      <c r="F4374" s="23">
        <f>IFERROR(__xludf.DUMMYFUNCTION("""COMPUTED_VALUE"""),44916.65434648148)</f>
        <v>44916.65435</v>
      </c>
      <c r="G4374" s="24" t="str">
        <f>IFERROR(__xludf.DUMMYFUNCTION("""COMPUTED_VALUE"""),"JUANITA Chandler ")</f>
        <v>JUANITA Chandler </v>
      </c>
      <c r="H4374" s="24">
        <f>IFERROR(__xludf.DUMMYFUNCTION("""COMPUTED_VALUE"""),896.0)</f>
        <v>896</v>
      </c>
      <c r="I4374" s="24" t="str">
        <f>IFERROR(__xludf.DUMMYFUNCTION("""COMPUTED_VALUE"""),"Frozen [Not Meat]")</f>
        <v>Frozen [Not Meat]</v>
      </c>
    </row>
    <row r="4375">
      <c r="A4375" s="23">
        <f>IFERROR(__xludf.DUMMYFUNCTION("""COMPUTED_VALUE"""),44908.70354917824)</f>
        <v>44908.70355</v>
      </c>
      <c r="B4375" s="24" t="str">
        <f>IFERROR(__xludf.DUMMYFUNCTION("""COMPUTED_VALUE"""),"Beverly Pinn")</f>
        <v>Beverly Pinn</v>
      </c>
      <c r="C4375" s="24">
        <f>IFERROR(__xludf.DUMMYFUNCTION("""COMPUTED_VALUE"""),6.0)</f>
        <v>6</v>
      </c>
      <c r="D4375" s="24" t="str">
        <f>IFERROR(__xludf.DUMMYFUNCTION("""COMPUTED_VALUE"""),"Damage/expired/extra")</f>
        <v>Damage/expired/extra</v>
      </c>
      <c r="F4375" s="23">
        <f>IFERROR(__xludf.DUMMYFUNCTION("""COMPUTED_VALUE"""),44916.6547821875)</f>
        <v>44916.65478</v>
      </c>
      <c r="G4375" s="24" t="str">
        <f>IFERROR(__xludf.DUMMYFUNCTION("""COMPUTED_VALUE"""),"JUANITA Chandler ")</f>
        <v>JUANITA Chandler </v>
      </c>
      <c r="H4375" s="24">
        <f>IFERROR(__xludf.DUMMYFUNCTION("""COMPUTED_VALUE"""),502.0)</f>
        <v>502</v>
      </c>
      <c r="I4375" s="24" t="str">
        <f>IFERROR(__xludf.DUMMYFUNCTION("""COMPUTED_VALUE"""),"Frozen [Not Meat]")</f>
        <v>Frozen [Not Meat]</v>
      </c>
    </row>
    <row r="4376">
      <c r="A4376" s="23">
        <f>IFERROR(__xludf.DUMMYFUNCTION("""COMPUTED_VALUE"""),44908.90765826389)</f>
        <v>44908.90766</v>
      </c>
      <c r="B4376" s="24" t="str">
        <f>IFERROR(__xludf.DUMMYFUNCTION("""COMPUTED_VALUE"""),"Anna West")</f>
        <v>Anna West</v>
      </c>
      <c r="C4376" s="24">
        <f>IFERROR(__xludf.DUMMYFUNCTION("""COMPUTED_VALUE"""),19.0)</f>
        <v>19</v>
      </c>
      <c r="D4376" s="24" t="str">
        <f>IFERROR(__xludf.DUMMYFUNCTION("""COMPUTED_VALUE"""),"Regular (up to 20lbs)")</f>
        <v>Regular (up to 20lbs)</v>
      </c>
      <c r="F4376" s="23">
        <f>IFERROR(__xludf.DUMMYFUNCTION("""COMPUTED_VALUE"""),44916.69068100694)</f>
        <v>44916.69068</v>
      </c>
      <c r="G4376" s="24" t="str">
        <f>IFERROR(__xludf.DUMMYFUNCTION("""COMPUTED_VALUE"""),"JUANITA Chandler ")</f>
        <v>JUANITA Chandler </v>
      </c>
      <c r="H4376" s="24">
        <f>IFERROR(__xludf.DUMMYFUNCTION("""COMPUTED_VALUE"""),985.0)</f>
        <v>985</v>
      </c>
      <c r="I4376" s="24" t="str">
        <f>IFERROR(__xludf.DUMMYFUNCTION("""COMPUTED_VALUE"""),"DOLE Fruit Cup ")</f>
        <v>DOLE Fruit Cup </v>
      </c>
    </row>
    <row r="4377">
      <c r="A4377" s="23">
        <f>IFERROR(__xludf.DUMMYFUNCTION("""COMPUTED_VALUE"""),44908.90776278936)</f>
        <v>44908.90776</v>
      </c>
      <c r="B4377" s="24" t="str">
        <f>IFERROR(__xludf.DUMMYFUNCTION("""COMPUTED_VALUE"""),"Anna West")</f>
        <v>Anna West</v>
      </c>
      <c r="C4377" s="24">
        <f>IFERROR(__xludf.DUMMYFUNCTION("""COMPUTED_VALUE"""),21.0)</f>
        <v>21</v>
      </c>
      <c r="D4377" s="24" t="str">
        <f>IFERROR(__xludf.DUMMYFUNCTION("""COMPUTED_VALUE"""),"Damage/expired/extra")</f>
        <v>Damage/expired/extra</v>
      </c>
      <c r="F4377" s="23">
        <f>IFERROR(__xludf.DUMMYFUNCTION("""COMPUTED_VALUE"""),44916.69255099537)</f>
        <v>44916.69255</v>
      </c>
      <c r="G4377" s="24" t="str">
        <f>IFERROR(__xludf.DUMMYFUNCTION("""COMPUTED_VALUE"""),"JUANITA Chandler ")</f>
        <v>JUANITA Chandler </v>
      </c>
      <c r="H4377" s="24">
        <f>IFERROR(__xludf.DUMMYFUNCTION("""COMPUTED_VALUE"""),846.0)</f>
        <v>846</v>
      </c>
      <c r="I4377" s="24" t="str">
        <f>IFERROR(__xludf.DUMMYFUNCTION("""COMPUTED_VALUE"""),"Dole Fruit Cup ")</f>
        <v>Dole Fruit Cup </v>
      </c>
    </row>
    <row r="4378">
      <c r="A4378" s="23">
        <f>IFERROR(__xludf.DUMMYFUNCTION("""COMPUTED_VALUE"""),44909.0)</f>
        <v>44909</v>
      </c>
      <c r="B4378" s="24" t="str">
        <f>IFERROR(__xludf.DUMMYFUNCTION("""COMPUTED_VALUE"""),"Juanita Chandler ")</f>
        <v>Juanita Chandler </v>
      </c>
      <c r="C4378" s="24">
        <f>IFERROR(__xludf.DUMMYFUNCTION("""COMPUTED_VALUE"""),12.0)</f>
        <v>12</v>
      </c>
      <c r="D4378" s="24" t="str">
        <f>IFERROR(__xludf.DUMMYFUNCTION("""COMPUTED_VALUE"""),"Regular (up to 20lbs)")</f>
        <v>Regular (up to 20lbs)</v>
      </c>
      <c r="F4378" s="23">
        <f>IFERROR(__xludf.DUMMYFUNCTION("""COMPUTED_VALUE"""),44916.69330368055)</f>
        <v>44916.6933</v>
      </c>
      <c r="G4378" s="24" t="str">
        <f>IFERROR(__xludf.DUMMYFUNCTION("""COMPUTED_VALUE"""),"JUANITA Chandler ")</f>
        <v>JUANITA Chandler </v>
      </c>
      <c r="H4378" s="24">
        <f>IFERROR(__xludf.DUMMYFUNCTION("""COMPUTED_VALUE"""),1101.0)</f>
        <v>1101</v>
      </c>
      <c r="I4378" s="24" t="str">
        <f>IFERROR(__xludf.DUMMYFUNCTION("""COMPUTED_VALUE"""),"Dole Fruit Cup ")</f>
        <v>Dole Fruit Cup </v>
      </c>
    </row>
    <row r="4379">
      <c r="A4379" s="23">
        <f>IFERROR(__xludf.DUMMYFUNCTION("""COMPUTED_VALUE"""),44909.0)</f>
        <v>44909</v>
      </c>
      <c r="B4379" s="24" t="str">
        <f>IFERROR(__xludf.DUMMYFUNCTION("""COMPUTED_VALUE"""),"Juanita Chandler ")</f>
        <v>Juanita Chandler </v>
      </c>
      <c r="C4379" s="24">
        <f>IFERROR(__xludf.DUMMYFUNCTION("""COMPUTED_VALUE"""),13.0)</f>
        <v>13</v>
      </c>
      <c r="D4379" s="24" t="str">
        <f>IFERROR(__xludf.DUMMYFUNCTION("""COMPUTED_VALUE"""),"Damage/expired/extra")</f>
        <v>Damage/expired/extra</v>
      </c>
      <c r="F4379" s="23">
        <f>IFERROR(__xludf.DUMMYFUNCTION("""COMPUTED_VALUE"""),44916.694095405095)</f>
        <v>44916.6941</v>
      </c>
      <c r="G4379" s="24" t="str">
        <f>IFERROR(__xludf.DUMMYFUNCTION("""COMPUTED_VALUE"""),"JUANITA Chandler ")</f>
        <v>JUANITA Chandler </v>
      </c>
      <c r="H4379" s="24">
        <f>IFERROR(__xludf.DUMMYFUNCTION("""COMPUTED_VALUE"""),1378.0)</f>
        <v>1378</v>
      </c>
      <c r="I4379" s="24" t="str">
        <f>IFERROR(__xludf.DUMMYFUNCTION("""COMPUTED_VALUE"""),"Dole Fruit Cup ")</f>
        <v>Dole Fruit Cup </v>
      </c>
    </row>
    <row r="4380">
      <c r="A4380" s="23">
        <f>IFERROR(__xludf.DUMMYFUNCTION("""COMPUTED_VALUE"""),44909.0)</f>
        <v>44909</v>
      </c>
      <c r="B4380" s="24" t="str">
        <f>IFERROR(__xludf.DUMMYFUNCTION("""COMPUTED_VALUE"""),"Sarah K")</f>
        <v>Sarah K</v>
      </c>
      <c r="C4380" s="24">
        <f>IFERROR(__xludf.DUMMYFUNCTION("""COMPUTED_VALUE"""),12.0)</f>
        <v>12</v>
      </c>
      <c r="D4380" s="24" t="str">
        <f>IFERROR(__xludf.DUMMYFUNCTION("""COMPUTED_VALUE"""),"Regular (up to 20lbs)")</f>
        <v>Regular (up to 20lbs)</v>
      </c>
      <c r="F4380" s="23">
        <f>IFERROR(__xludf.DUMMYFUNCTION("""COMPUTED_VALUE"""),44916.694909756945)</f>
        <v>44916.69491</v>
      </c>
      <c r="G4380" s="24" t="str">
        <f>IFERROR(__xludf.DUMMYFUNCTION("""COMPUTED_VALUE"""),"JUANITA Chandler ")</f>
        <v>JUANITA Chandler </v>
      </c>
      <c r="H4380" s="24">
        <f>IFERROR(__xludf.DUMMYFUNCTION("""COMPUTED_VALUE"""),1045.0)</f>
        <v>1045</v>
      </c>
      <c r="I4380" s="24" t="str">
        <f>IFERROR(__xludf.DUMMYFUNCTION("""COMPUTED_VALUE"""),"Dole Fruit Cup ")</f>
        <v>Dole Fruit Cup </v>
      </c>
    </row>
    <row r="4381">
      <c r="A4381" s="23">
        <f>IFERROR(__xludf.DUMMYFUNCTION("""COMPUTED_VALUE"""),44909.0)</f>
        <v>44909</v>
      </c>
      <c r="B4381" s="24" t="str">
        <f>IFERROR(__xludf.DUMMYFUNCTION("""COMPUTED_VALUE"""),"Dee Satterfield")</f>
        <v>Dee Satterfield</v>
      </c>
      <c r="C4381" s="24">
        <f>IFERROR(__xludf.DUMMYFUNCTION("""COMPUTED_VALUE"""),20.0)</f>
        <v>20</v>
      </c>
      <c r="D4381" s="24" t="str">
        <f>IFERROR(__xludf.DUMMYFUNCTION("""COMPUTED_VALUE"""),"Regular (up to 20lbs)")</f>
        <v>Regular (up to 20lbs)</v>
      </c>
      <c r="F4381" s="23">
        <f>IFERROR(__xludf.DUMMYFUNCTION("""COMPUTED_VALUE"""),44916.749470625)</f>
        <v>44916.74947</v>
      </c>
      <c r="G4381" s="24" t="str">
        <f>IFERROR(__xludf.DUMMYFUNCTION("""COMPUTED_VALUE"""),"Karen")</f>
        <v>Karen</v>
      </c>
      <c r="H4381" s="24">
        <f>IFERROR(__xludf.DUMMYFUNCTION("""COMPUTED_VALUE"""),7.0)</f>
        <v>7</v>
      </c>
      <c r="I4381" s="24" t="str">
        <f>IFERROR(__xludf.DUMMYFUNCTION("""COMPUTED_VALUE"""),"Regular (up to 20lbs)")</f>
        <v>Regular (up to 20lbs)</v>
      </c>
    </row>
    <row r="4382">
      <c r="A4382" s="23">
        <f>IFERROR(__xludf.DUMMYFUNCTION("""COMPUTED_VALUE"""),44909.0)</f>
        <v>44909</v>
      </c>
      <c r="B4382" s="24" t="str">
        <f>IFERROR(__xludf.DUMMYFUNCTION("""COMPUTED_VALUE"""),"Lynnette")</f>
        <v>Lynnette</v>
      </c>
      <c r="C4382" s="24">
        <f>IFERROR(__xludf.DUMMYFUNCTION("""COMPUTED_VALUE"""),11.0)</f>
        <v>11</v>
      </c>
      <c r="D4382" s="24" t="str">
        <f>IFERROR(__xludf.DUMMYFUNCTION("""COMPUTED_VALUE"""),"Regular (up to 20lbs)")</f>
        <v>Regular (up to 20lbs)</v>
      </c>
      <c r="F4382" s="23">
        <f>IFERROR(__xludf.DUMMYFUNCTION("""COMPUTED_VALUE"""),44916.90111800926)</f>
        <v>44916.90112</v>
      </c>
      <c r="G4382" s="24" t="str">
        <f>IFERROR(__xludf.DUMMYFUNCTION("""COMPUTED_VALUE"""),"Connor Gephart")</f>
        <v>Connor Gephart</v>
      </c>
      <c r="H4382" s="24">
        <f>IFERROR(__xludf.DUMMYFUNCTION("""COMPUTED_VALUE"""),7.0)</f>
        <v>7</v>
      </c>
      <c r="I4382" s="24" t="str">
        <f>IFERROR(__xludf.DUMMYFUNCTION("""COMPUTED_VALUE"""),"Regular (up to 20lbs)")</f>
        <v>Regular (up to 20lbs)</v>
      </c>
    </row>
    <row r="4383">
      <c r="A4383" s="23">
        <f>IFERROR(__xludf.DUMMYFUNCTION("""COMPUTED_VALUE"""),44909.0)</f>
        <v>44909</v>
      </c>
      <c r="B4383" s="24" t="str">
        <f>IFERROR(__xludf.DUMMYFUNCTION("""COMPUTED_VALUE"""),"Lynette Cromer")</f>
        <v>Lynette Cromer</v>
      </c>
      <c r="C4383" s="24">
        <f>IFERROR(__xludf.DUMMYFUNCTION("""COMPUTED_VALUE"""),5.0)</f>
        <v>5</v>
      </c>
      <c r="D4383" s="24" t="str">
        <f>IFERROR(__xludf.DUMMYFUNCTION("""COMPUTED_VALUE"""),"Damage/expired/extra")</f>
        <v>Damage/expired/extra</v>
      </c>
      <c r="F4383" s="23">
        <f>IFERROR(__xludf.DUMMYFUNCTION("""COMPUTED_VALUE"""),44916.90572138889)</f>
        <v>44916.90572</v>
      </c>
      <c r="G4383" s="24" t="str">
        <f>IFERROR(__xludf.DUMMYFUNCTION("""COMPUTED_VALUE"""),"Beverly Pinn")</f>
        <v>Beverly Pinn</v>
      </c>
      <c r="H4383" s="24">
        <f>IFERROR(__xludf.DUMMYFUNCTION("""COMPUTED_VALUE"""),20.0)</f>
        <v>20</v>
      </c>
      <c r="I4383" s="24" t="str">
        <f>IFERROR(__xludf.DUMMYFUNCTION("""COMPUTED_VALUE"""),"Regular (up to 20lbs)")</f>
        <v>Regular (up to 20lbs)</v>
      </c>
    </row>
    <row r="4384">
      <c r="A4384" s="23">
        <f>IFERROR(__xludf.DUMMYFUNCTION("""COMPUTED_VALUE"""),44909.57266666667)</f>
        <v>44909.57267</v>
      </c>
      <c r="B4384" s="24" t="str">
        <f>IFERROR(__xludf.DUMMYFUNCTION("""COMPUTED_VALUE"""),"Bud attacker-Sisson st dpw drinks")</f>
        <v>Bud attacker-Sisson st dpw drinks</v>
      </c>
      <c r="C4384" s="24">
        <f>IFERROR(__xludf.DUMMYFUNCTION("""COMPUTED_VALUE"""),11.0)</f>
        <v>11</v>
      </c>
      <c r="D4384" s="24" t="str">
        <f>IFERROR(__xludf.DUMMYFUNCTION("""COMPUTED_VALUE"""),"Regular (up to 20lbs)")</f>
        <v>Regular (up to 20lbs)</v>
      </c>
      <c r="F4384" s="23">
        <f>IFERROR(__xludf.DUMMYFUNCTION("""COMPUTED_VALUE"""),44916.91404229166)</f>
        <v>44916.91404</v>
      </c>
      <c r="G4384" s="24" t="str">
        <f>IFERROR(__xludf.DUMMYFUNCTION("""COMPUTED_VALUE"""),"Lynwood McDaniel ")</f>
        <v>Lynwood McDaniel </v>
      </c>
      <c r="H4384" s="24">
        <f>IFERROR(__xludf.DUMMYFUNCTION("""COMPUTED_VALUE"""),13.0)</f>
        <v>13</v>
      </c>
      <c r="I4384" s="24" t="str">
        <f>IFERROR(__xludf.DUMMYFUNCTION("""COMPUTED_VALUE"""),"Regular (up to 20lbs)")</f>
        <v>Regular (up to 20lbs)</v>
      </c>
    </row>
    <row r="4385">
      <c r="A4385" s="23">
        <f>IFERROR(__xludf.DUMMYFUNCTION("""COMPUTED_VALUE"""),44909.711308032405)</f>
        <v>44909.71131</v>
      </c>
      <c r="B4385" s="24" t="str">
        <f>IFERROR(__xludf.DUMMYFUNCTION("""COMPUTED_VALUE"""),"Nailah Bishop ")</f>
        <v>Nailah Bishop </v>
      </c>
      <c r="C4385" s="24">
        <f>IFERROR(__xludf.DUMMYFUNCTION("""COMPUTED_VALUE"""),5.0)</f>
        <v>5</v>
      </c>
      <c r="D4385" s="24" t="str">
        <f>IFERROR(__xludf.DUMMYFUNCTION("""COMPUTED_VALUE"""),"Regular (up to 20lbs)")</f>
        <v>Regular (up to 20lbs)</v>
      </c>
      <c r="F4385" s="23">
        <f>IFERROR(__xludf.DUMMYFUNCTION("""COMPUTED_VALUE"""),44916.91422377315)</f>
        <v>44916.91422</v>
      </c>
      <c r="G4385" s="24" t="str">
        <f>IFERROR(__xludf.DUMMYFUNCTION("""COMPUTED_VALUE"""),"Luke mayhew ")</f>
        <v>Luke mayhew </v>
      </c>
      <c r="H4385" s="24">
        <f>IFERROR(__xludf.DUMMYFUNCTION("""COMPUTED_VALUE"""),19.0)</f>
        <v>19</v>
      </c>
      <c r="I4385" s="24" t="str">
        <f>IFERROR(__xludf.DUMMYFUNCTION("""COMPUTED_VALUE"""),"Regular (up to 20lbs)")</f>
        <v>Regular (up to 20lbs)</v>
      </c>
    </row>
    <row r="4386">
      <c r="A4386" s="23">
        <f>IFERROR(__xludf.DUMMYFUNCTION("""COMPUTED_VALUE"""),44909.711422418986)</f>
        <v>44909.71142</v>
      </c>
      <c r="B4386" s="24" t="str">
        <f>IFERROR(__xludf.DUMMYFUNCTION("""COMPUTED_VALUE"""),"jonyce bland")</f>
        <v>jonyce bland</v>
      </c>
      <c r="C4386" s="24">
        <f>IFERROR(__xludf.DUMMYFUNCTION("""COMPUTED_VALUE"""),12.0)</f>
        <v>12</v>
      </c>
      <c r="D4386" s="24" t="str">
        <f>IFERROR(__xludf.DUMMYFUNCTION("""COMPUTED_VALUE"""),"Regular (up to 20lbs)")</f>
        <v>Regular (up to 20lbs)</v>
      </c>
      <c r="F4386" s="23">
        <f>IFERROR(__xludf.DUMMYFUNCTION("""COMPUTED_VALUE"""),44916.91435172454)</f>
        <v>44916.91435</v>
      </c>
      <c r="G4386" s="24" t="str">
        <f>IFERROR(__xludf.DUMMYFUNCTION("""COMPUTED_VALUE"""),"Luke mayhew")</f>
        <v>Luke mayhew</v>
      </c>
      <c r="H4386" s="24">
        <f>IFERROR(__xludf.DUMMYFUNCTION("""COMPUTED_VALUE"""),20.0)</f>
        <v>20</v>
      </c>
      <c r="I4386" s="24" t="str">
        <f>IFERROR(__xludf.DUMMYFUNCTION("""COMPUTED_VALUE"""),"Damage/expired/extra")</f>
        <v>Damage/expired/extra</v>
      </c>
    </row>
    <row r="4387">
      <c r="A4387" s="23">
        <f>IFERROR(__xludf.DUMMYFUNCTION("""COMPUTED_VALUE"""),44909.85812373843)</f>
        <v>44909.85812</v>
      </c>
      <c r="B4387" s="24" t="str">
        <f>IFERROR(__xludf.DUMMYFUNCTION("""COMPUTED_VALUE"""),"Beverly Pinn")</f>
        <v>Beverly Pinn</v>
      </c>
      <c r="C4387" s="24">
        <f>IFERROR(__xludf.DUMMYFUNCTION("""COMPUTED_VALUE"""),17.0)</f>
        <v>17</v>
      </c>
      <c r="D4387" s="24" t="str">
        <f>IFERROR(__xludf.DUMMYFUNCTION("""COMPUTED_VALUE"""),"Regular (up to 20lbs)")</f>
        <v>Regular (up to 20lbs)</v>
      </c>
      <c r="F4387" s="23">
        <f>IFERROR(__xludf.DUMMYFUNCTION("""COMPUTED_VALUE"""),44916.91480622685)</f>
        <v>44916.91481</v>
      </c>
      <c r="G4387" s="24" t="str">
        <f>IFERROR(__xludf.DUMMYFUNCTION("""COMPUTED_VALUE"""),"Kate Weeks ")</f>
        <v>Kate Weeks </v>
      </c>
      <c r="H4387" s="24">
        <f>IFERROR(__xludf.DUMMYFUNCTION("""COMPUTED_VALUE"""),20.0)</f>
        <v>20</v>
      </c>
      <c r="I4387" s="24" t="str">
        <f>IFERROR(__xludf.DUMMYFUNCTION("""COMPUTED_VALUE"""),"Regular (up to 20lbs)")</f>
        <v>Regular (up to 20lbs)</v>
      </c>
    </row>
    <row r="4388">
      <c r="A4388" s="23">
        <f>IFERROR(__xludf.DUMMYFUNCTION("""COMPUTED_VALUE"""),44909.86233517361)</f>
        <v>44909.86234</v>
      </c>
      <c r="B4388" s="24" t="str">
        <f>IFERROR(__xludf.DUMMYFUNCTION("""COMPUTED_VALUE"""),"Maddie Pardes ")</f>
        <v>Maddie Pardes </v>
      </c>
      <c r="C4388" s="24">
        <f>IFERROR(__xludf.DUMMYFUNCTION("""COMPUTED_VALUE"""),7.0)</f>
        <v>7</v>
      </c>
      <c r="D4388" s="24" t="str">
        <f>IFERROR(__xludf.DUMMYFUNCTION("""COMPUTED_VALUE"""),"Regular (up to 20lbs)")</f>
        <v>Regular (up to 20lbs)</v>
      </c>
      <c r="F4388" s="23">
        <f>IFERROR(__xludf.DUMMYFUNCTION("""COMPUTED_VALUE"""),44916.91492489583)</f>
        <v>44916.91492</v>
      </c>
      <c r="G4388" s="24" t="str">
        <f>IFERROR(__xludf.DUMMYFUNCTION("""COMPUTED_VALUE"""),"Kate Weeks")</f>
        <v>Kate Weeks</v>
      </c>
      <c r="H4388" s="24">
        <f>IFERROR(__xludf.DUMMYFUNCTION("""COMPUTED_VALUE"""),15.0)</f>
        <v>15</v>
      </c>
      <c r="I4388" s="24" t="str">
        <f>IFERROR(__xludf.DUMMYFUNCTION("""COMPUTED_VALUE"""),"Damage/expired/extra")</f>
        <v>Damage/expired/extra</v>
      </c>
    </row>
    <row r="4389">
      <c r="A4389" s="23">
        <f>IFERROR(__xludf.DUMMYFUNCTION("""COMPUTED_VALUE"""),44909.867558715276)</f>
        <v>44909.86756</v>
      </c>
      <c r="B4389" s="24" t="str">
        <f>IFERROR(__xludf.DUMMYFUNCTION("""COMPUTED_VALUE"""),"Luke mayhew ")</f>
        <v>Luke mayhew </v>
      </c>
      <c r="C4389" s="24">
        <f>IFERROR(__xludf.DUMMYFUNCTION("""COMPUTED_VALUE"""),20.0)</f>
        <v>20</v>
      </c>
      <c r="D4389" s="24" t="str">
        <f>IFERROR(__xludf.DUMMYFUNCTION("""COMPUTED_VALUE"""),"Regular (up to 20lbs)")</f>
        <v>Regular (up to 20lbs)</v>
      </c>
      <c r="F4389" s="23">
        <f>IFERROR(__xludf.DUMMYFUNCTION("""COMPUTED_VALUE"""),44917.628577881944)</f>
        <v>44917.62858</v>
      </c>
      <c r="G4389" s="24" t="str">
        <f>IFERROR(__xludf.DUMMYFUNCTION("""COMPUTED_VALUE"""),"Lynnette c")</f>
        <v>Lynnette c</v>
      </c>
      <c r="H4389" s="24">
        <f>IFERROR(__xludf.DUMMYFUNCTION("""COMPUTED_VALUE"""),25.0)</f>
        <v>25</v>
      </c>
      <c r="I4389" s="24" t="str">
        <f>IFERROR(__xludf.DUMMYFUNCTION("""COMPUTED_VALUE"""),"Damage/expired/extra")</f>
        <v>Damage/expired/extra</v>
      </c>
    </row>
    <row r="4390">
      <c r="A4390" s="23">
        <f>IFERROR(__xludf.DUMMYFUNCTION("""COMPUTED_VALUE"""),44909.86770293982)</f>
        <v>44909.8677</v>
      </c>
      <c r="B4390" s="24" t="str">
        <f>IFERROR(__xludf.DUMMYFUNCTION("""COMPUTED_VALUE"""),"Luke mayhew ")</f>
        <v>Luke mayhew </v>
      </c>
      <c r="C4390" s="24">
        <f>IFERROR(__xludf.DUMMYFUNCTION("""COMPUTED_VALUE"""),7.0)</f>
        <v>7</v>
      </c>
      <c r="D4390" s="24" t="str">
        <f>IFERROR(__xludf.DUMMYFUNCTION("""COMPUTED_VALUE"""),"Damage/expired/extra")</f>
        <v>Damage/expired/extra</v>
      </c>
      <c r="F4390" s="23">
        <f>IFERROR(__xludf.DUMMYFUNCTION("""COMPUTED_VALUE"""),44917.62876097223)</f>
        <v>44917.62876</v>
      </c>
      <c r="G4390" s="24" t="str">
        <f>IFERROR(__xludf.DUMMYFUNCTION("""COMPUTED_VALUE"""),"Lynnett")</f>
        <v>Lynnett</v>
      </c>
      <c r="H4390" s="24">
        <f>IFERROR(__xludf.DUMMYFUNCTION("""COMPUTED_VALUE"""),18.0)</f>
        <v>18</v>
      </c>
      <c r="I4390" s="24" t="str">
        <f>IFERROR(__xludf.DUMMYFUNCTION("""COMPUTED_VALUE"""),"Regular (up to 20lbs)")</f>
        <v>Regular (up to 20lbs)</v>
      </c>
    </row>
    <row r="4391">
      <c r="A4391" s="23">
        <f>IFERROR(__xludf.DUMMYFUNCTION("""COMPUTED_VALUE"""),44910.0)</f>
        <v>44910</v>
      </c>
      <c r="B4391" s="24" t="str">
        <f>IFERROR(__xludf.DUMMYFUNCTION("""COMPUTED_VALUE"""),"Adeola")</f>
        <v>Adeola</v>
      </c>
      <c r="C4391" s="24">
        <f>IFERROR(__xludf.DUMMYFUNCTION("""COMPUTED_VALUE"""),20.0)</f>
        <v>20</v>
      </c>
      <c r="D4391" s="24" t="str">
        <f>IFERROR(__xludf.DUMMYFUNCTION("""COMPUTED_VALUE"""),"Regular (up to 20lbs)")</f>
        <v>Regular (up to 20lbs)</v>
      </c>
      <c r="F4391" s="23">
        <f>IFERROR(__xludf.DUMMYFUNCTION("""COMPUTED_VALUE"""),44917.698257199074)</f>
        <v>44917.69826</v>
      </c>
      <c r="G4391" s="24" t="str">
        <f>IFERROR(__xludf.DUMMYFUNCTION("""COMPUTED_VALUE"""),"Jean")</f>
        <v>Jean</v>
      </c>
      <c r="H4391" s="24">
        <f>IFERROR(__xludf.DUMMYFUNCTION("""COMPUTED_VALUE"""),50.0)</f>
        <v>50</v>
      </c>
      <c r="I4391" s="24" t="str">
        <f>IFERROR(__xludf.DUMMYFUNCTION("""COMPUTED_VALUE"""),"Regular (up to 20lbs)")</f>
        <v>Regular (up to 20lbs)</v>
      </c>
    </row>
    <row r="4392">
      <c r="A4392" s="23">
        <f>IFERROR(__xludf.DUMMYFUNCTION("""COMPUTED_VALUE"""),44910.0)</f>
        <v>44910</v>
      </c>
      <c r="B4392" s="24" t="str">
        <f>IFERROR(__xludf.DUMMYFUNCTION("""COMPUTED_VALUE"""),"Obi")</f>
        <v>Obi</v>
      </c>
      <c r="C4392" s="24">
        <f>IFERROR(__xludf.DUMMYFUNCTION("""COMPUTED_VALUE"""),20.0)</f>
        <v>20</v>
      </c>
      <c r="D4392" s="24" t="str">
        <f>IFERROR(__xludf.DUMMYFUNCTION("""COMPUTED_VALUE"""),"Regular (up to 20lbs)")</f>
        <v>Regular (up to 20lbs)</v>
      </c>
      <c r="F4392" s="23">
        <f>IFERROR(__xludf.DUMMYFUNCTION("""COMPUTED_VALUE"""),44917.69849952546)</f>
        <v>44917.6985</v>
      </c>
      <c r="G4392" s="24" t="str">
        <f>IFERROR(__xludf.DUMMYFUNCTION("""COMPUTED_VALUE"""),"Jean")</f>
        <v>Jean</v>
      </c>
      <c r="H4392" s="24">
        <f>IFERROR(__xludf.DUMMYFUNCTION("""COMPUTED_VALUE"""),18.0)</f>
        <v>18</v>
      </c>
      <c r="I4392" s="24" t="str">
        <f>IFERROR(__xludf.DUMMYFUNCTION("""COMPUTED_VALUE"""),"Damage/expired/extra")</f>
        <v>Damage/expired/extra</v>
      </c>
    </row>
    <row r="4393">
      <c r="A4393" s="23">
        <f>IFERROR(__xludf.DUMMYFUNCTION("""COMPUTED_VALUE"""),44910.0)</f>
        <v>44910</v>
      </c>
      <c r="B4393" s="24" t="str">
        <f>IFERROR(__xludf.DUMMYFUNCTION("""COMPUTED_VALUE"""),"Obi")</f>
        <v>Obi</v>
      </c>
      <c r="C4393" s="24">
        <f>IFERROR(__xludf.DUMMYFUNCTION("""COMPUTED_VALUE"""),8.0)</f>
        <v>8</v>
      </c>
      <c r="D4393" s="24" t="str">
        <f>IFERROR(__xludf.DUMMYFUNCTION("""COMPUTED_VALUE"""),"Damage/expired/extra")</f>
        <v>Damage/expired/extra</v>
      </c>
      <c r="F4393" s="23">
        <f>IFERROR(__xludf.DUMMYFUNCTION("""COMPUTED_VALUE"""),44917.69987693287)</f>
        <v>44917.69988</v>
      </c>
      <c r="G4393" s="24" t="str">
        <f>IFERROR(__xludf.DUMMYFUNCTION("""COMPUTED_VALUE"""),"Norma ")</f>
        <v>Norma </v>
      </c>
      <c r="H4393" s="24">
        <f>IFERROR(__xludf.DUMMYFUNCTION("""COMPUTED_VALUE"""),10.0)</f>
        <v>10</v>
      </c>
      <c r="I4393" s="24" t="str">
        <f>IFERROR(__xludf.DUMMYFUNCTION("""COMPUTED_VALUE"""),"Regular (up to 20lbs)")</f>
        <v>Regular (up to 20lbs)</v>
      </c>
    </row>
    <row r="4394">
      <c r="A4394" s="23">
        <f>IFERROR(__xludf.DUMMYFUNCTION("""COMPUTED_VALUE"""),44910.69697469907)</f>
        <v>44910.69697</v>
      </c>
      <c r="B4394" s="24" t="str">
        <f>IFERROR(__xludf.DUMMYFUNCTION("""COMPUTED_VALUE"""),"Norma")</f>
        <v>Norma</v>
      </c>
      <c r="C4394" s="24">
        <f>IFERROR(__xludf.DUMMYFUNCTION("""COMPUTED_VALUE"""),6.0)</f>
        <v>6</v>
      </c>
      <c r="D4394" s="24" t="str">
        <f>IFERROR(__xludf.DUMMYFUNCTION("""COMPUTED_VALUE"""),"Regular (up to 20lbs)")</f>
        <v>Regular (up to 20lbs)</v>
      </c>
      <c r="F4394" s="23">
        <f>IFERROR(__xludf.DUMMYFUNCTION("""COMPUTED_VALUE"""),44922.0)</f>
        <v>44922</v>
      </c>
      <c r="G4394" s="24" t="str">
        <f>IFERROR(__xludf.DUMMYFUNCTION("""COMPUTED_VALUE"""),"Claire")</f>
        <v>Claire</v>
      </c>
      <c r="H4394" s="24">
        <f>IFERROR(__xludf.DUMMYFUNCTION("""COMPUTED_VALUE"""),2305.0)</f>
        <v>2305</v>
      </c>
      <c r="I4394" s="24" t="str">
        <f>IFERROR(__xludf.DUMMYFUNCTION("""COMPUTED_VALUE"""),"Dannon")</f>
        <v>Dannon</v>
      </c>
    </row>
    <row r="4395">
      <c r="A4395" s="23">
        <f>IFERROR(__xludf.DUMMYFUNCTION("""COMPUTED_VALUE"""),44910.70001444445)</f>
        <v>44910.70001</v>
      </c>
      <c r="B4395" s="24" t="str">
        <f>IFERROR(__xludf.DUMMYFUNCTION("""COMPUTED_VALUE"""),"Jean")</f>
        <v>Jean</v>
      </c>
      <c r="C4395" s="24">
        <f>IFERROR(__xludf.DUMMYFUNCTION("""COMPUTED_VALUE"""),22.0)</f>
        <v>22</v>
      </c>
      <c r="D4395" s="24" t="str">
        <f>IFERROR(__xludf.DUMMYFUNCTION("""COMPUTED_VALUE"""),"Regular (up to 20lbs)")</f>
        <v>Regular (up to 20lbs)</v>
      </c>
      <c r="F4395" s="23">
        <f>IFERROR(__xludf.DUMMYFUNCTION("""COMPUTED_VALUE"""),44922.0)</f>
        <v>44922</v>
      </c>
      <c r="G4395" s="24" t="str">
        <f>IFERROR(__xludf.DUMMYFUNCTION("""COMPUTED_VALUE"""),"Claire")</f>
        <v>Claire</v>
      </c>
      <c r="H4395" s="24">
        <f>IFERROR(__xludf.DUMMYFUNCTION("""COMPUTED_VALUE"""),1098.0)</f>
        <v>1098</v>
      </c>
      <c r="I4395" s="24" t="str">
        <f>IFERROR(__xludf.DUMMYFUNCTION("""COMPUTED_VALUE"""),"Dannon")</f>
        <v>Dannon</v>
      </c>
    </row>
    <row r="4396">
      <c r="A4396" s="23">
        <f>IFERROR(__xludf.DUMMYFUNCTION("""COMPUTED_VALUE"""),44910.73173590278)</f>
        <v>44910.73174</v>
      </c>
      <c r="B4396" s="24" t="str">
        <f>IFERROR(__xludf.DUMMYFUNCTION("""COMPUTED_VALUE"""),"Jean")</f>
        <v>Jean</v>
      </c>
      <c r="C4396" s="24">
        <f>IFERROR(__xludf.DUMMYFUNCTION("""COMPUTED_VALUE"""),1.0)</f>
        <v>1</v>
      </c>
      <c r="D4396" s="24" t="str">
        <f>IFERROR(__xludf.DUMMYFUNCTION("""COMPUTED_VALUE"""),"Regular (up to 20lbs)")</f>
        <v>Regular (up to 20lbs)</v>
      </c>
      <c r="F4396" s="23">
        <f>IFERROR(__xludf.DUMMYFUNCTION("""COMPUTED_VALUE"""),44922.0)</f>
        <v>44922</v>
      </c>
      <c r="G4396" s="24" t="str">
        <f>IFERROR(__xludf.DUMMYFUNCTION("""COMPUTED_VALUE"""),"Susan larson")</f>
        <v>Susan larson</v>
      </c>
      <c r="H4396" s="24">
        <f>IFERROR(__xludf.DUMMYFUNCTION("""COMPUTED_VALUE"""),19.0)</f>
        <v>19</v>
      </c>
      <c r="I4396" s="24" t="str">
        <f>IFERROR(__xludf.DUMMYFUNCTION("""COMPUTED_VALUE"""),"Regular (up to 20lbs)")</f>
        <v>Regular (up to 20lbs)</v>
      </c>
    </row>
    <row r="4397">
      <c r="A4397" s="23">
        <f>IFERROR(__xludf.DUMMYFUNCTION("""COMPUTED_VALUE"""),44910.85426565972)</f>
        <v>44910.85427</v>
      </c>
      <c r="B4397" s="24" t="str">
        <f>IFERROR(__xludf.DUMMYFUNCTION("""COMPUTED_VALUE"""),"Nani")</f>
        <v>Nani</v>
      </c>
      <c r="C4397" s="24">
        <f>IFERROR(__xludf.DUMMYFUNCTION("""COMPUTED_VALUE"""),15.0)</f>
        <v>15</v>
      </c>
      <c r="D4397" s="24" t="str">
        <f>IFERROR(__xludf.DUMMYFUNCTION("""COMPUTED_VALUE"""),"Regular (up to 20lbs)")</f>
        <v>Regular (up to 20lbs)</v>
      </c>
      <c r="F4397" s="23">
        <f>IFERROR(__xludf.DUMMYFUNCTION("""COMPUTED_VALUE"""),44922.0)</f>
        <v>44922</v>
      </c>
      <c r="G4397" s="24" t="str">
        <f>IFERROR(__xludf.DUMMYFUNCTION("""COMPUTED_VALUE"""),"Susan larson")</f>
        <v>Susan larson</v>
      </c>
      <c r="H4397" s="24">
        <f>IFERROR(__xludf.DUMMYFUNCTION("""COMPUTED_VALUE"""),7.0)</f>
        <v>7</v>
      </c>
      <c r="I4397" s="24" t="str">
        <f>IFERROR(__xludf.DUMMYFUNCTION("""COMPUTED_VALUE"""),"Damage/expired/extra")</f>
        <v>Damage/expired/extra</v>
      </c>
    </row>
    <row r="4398">
      <c r="A4398" s="23">
        <f>IFERROR(__xludf.DUMMYFUNCTION("""COMPUTED_VALUE"""),44911.0)</f>
        <v>44911</v>
      </c>
      <c r="B4398" s="24" t="str">
        <f>IFERROR(__xludf.DUMMYFUNCTION("""COMPUTED_VALUE"""),"Juanita Chandler ")</f>
        <v>Juanita Chandler </v>
      </c>
      <c r="C4398" s="24">
        <f>IFERROR(__xludf.DUMMYFUNCTION("""COMPUTED_VALUE"""),8.0)</f>
        <v>8</v>
      </c>
      <c r="D4398" s="24" t="str">
        <f>IFERROR(__xludf.DUMMYFUNCTION("""COMPUTED_VALUE"""),"Damage/expired/extra")</f>
        <v>Damage/expired/extra</v>
      </c>
      <c r="F4398" s="23">
        <f>IFERROR(__xludf.DUMMYFUNCTION("""COMPUTED_VALUE"""),44922.0)</f>
        <v>44922</v>
      </c>
      <c r="G4398" s="24" t="str">
        <f>IFERROR(__xludf.DUMMYFUNCTION("""COMPUTED_VALUE"""),"Marci")</f>
        <v>Marci</v>
      </c>
      <c r="H4398" s="24">
        <f>IFERROR(__xludf.DUMMYFUNCTION("""COMPUTED_VALUE"""),17.0)</f>
        <v>17</v>
      </c>
      <c r="I4398" s="24" t="str">
        <f>IFERROR(__xludf.DUMMYFUNCTION("""COMPUTED_VALUE"""),"Regular (up to 20lbs)")</f>
        <v>Regular (up to 20lbs)</v>
      </c>
    </row>
    <row r="4399">
      <c r="A4399" s="23">
        <f>IFERROR(__xludf.DUMMYFUNCTION("""COMPUTED_VALUE"""),44911.0)</f>
        <v>44911</v>
      </c>
      <c r="B4399" s="24" t="str">
        <f>IFERROR(__xludf.DUMMYFUNCTION("""COMPUTED_VALUE"""),"Theresa Columbus")</f>
        <v>Theresa Columbus</v>
      </c>
      <c r="C4399" s="24">
        <f>IFERROR(__xludf.DUMMYFUNCTION("""COMPUTED_VALUE"""),10.0)</f>
        <v>10</v>
      </c>
      <c r="D4399" s="24" t="str">
        <f>IFERROR(__xludf.DUMMYFUNCTION("""COMPUTED_VALUE"""),"Regular (up to 20lbs)")</f>
        <v>Regular (up to 20lbs)</v>
      </c>
      <c r="F4399" s="23">
        <f>IFERROR(__xludf.DUMMYFUNCTION("""COMPUTED_VALUE"""),44922.0)</f>
        <v>44922</v>
      </c>
      <c r="G4399" s="24" t="str">
        <f>IFERROR(__xludf.DUMMYFUNCTION("""COMPUTED_VALUE"""),"Marci")</f>
        <v>Marci</v>
      </c>
      <c r="H4399" s="24">
        <f>IFERROR(__xludf.DUMMYFUNCTION("""COMPUTED_VALUE"""),17.0)</f>
        <v>17</v>
      </c>
      <c r="I4399" s="24" t="str">
        <f>IFERROR(__xludf.DUMMYFUNCTION("""COMPUTED_VALUE"""),"Damage/expired/extra")</f>
        <v>Damage/expired/extra</v>
      </c>
    </row>
    <row r="4400">
      <c r="A4400" s="23">
        <f>IFERROR(__xludf.DUMMYFUNCTION("""COMPUTED_VALUE"""),44911.0)</f>
        <v>44911</v>
      </c>
      <c r="B4400" s="24" t="str">
        <f>IFERROR(__xludf.DUMMYFUNCTION("""COMPUTED_VALUE"""),"Theresa Columbus")</f>
        <v>Theresa Columbus</v>
      </c>
      <c r="C4400" s="24">
        <f>IFERROR(__xludf.DUMMYFUNCTION("""COMPUTED_VALUE"""),5.0)</f>
        <v>5</v>
      </c>
      <c r="D4400" s="24" t="str">
        <f>IFERROR(__xludf.DUMMYFUNCTION("""COMPUTED_VALUE"""),"Damage/expired/extra")</f>
        <v>Damage/expired/extra</v>
      </c>
      <c r="F4400" s="23">
        <f>IFERROR(__xludf.DUMMYFUNCTION("""COMPUTED_VALUE"""),44922.0)</f>
        <v>44922</v>
      </c>
      <c r="G4400" s="24" t="str">
        <f>IFERROR(__xludf.DUMMYFUNCTION("""COMPUTED_VALUE"""),"Yulia")</f>
        <v>Yulia</v>
      </c>
      <c r="H4400" s="24">
        <f>IFERROR(__xludf.DUMMYFUNCTION("""COMPUTED_VALUE"""),16.0)</f>
        <v>16</v>
      </c>
      <c r="I4400" s="24" t="str">
        <f>IFERROR(__xludf.DUMMYFUNCTION("""COMPUTED_VALUE"""),"Damage/expired/extra")</f>
        <v>Damage/expired/extra</v>
      </c>
    </row>
    <row r="4401">
      <c r="A4401" s="23">
        <f>IFERROR(__xludf.DUMMYFUNCTION("""COMPUTED_VALUE"""),44911.70959622685)</f>
        <v>44911.7096</v>
      </c>
      <c r="B4401" s="24" t="str">
        <f>IFERROR(__xludf.DUMMYFUNCTION("""COMPUTED_VALUE"""),"Sunita pathik ")</f>
        <v>Sunita pathik </v>
      </c>
      <c r="C4401" s="24">
        <f>IFERROR(__xludf.DUMMYFUNCTION("""COMPUTED_VALUE"""),8.0)</f>
        <v>8</v>
      </c>
      <c r="D4401" s="24" t="str">
        <f>IFERROR(__xludf.DUMMYFUNCTION("""COMPUTED_VALUE"""),"Regular (up to 20lbs)")</f>
        <v>Regular (up to 20lbs)</v>
      </c>
      <c r="F4401" s="23">
        <f>IFERROR(__xludf.DUMMYFUNCTION("""COMPUTED_VALUE"""),44922.521841562506)</f>
        <v>44922.52184</v>
      </c>
      <c r="G4401" s="24" t="str">
        <f>IFERROR(__xludf.DUMMYFUNCTION("""COMPUTED_VALUE"""),"Claire")</f>
        <v>Claire</v>
      </c>
      <c r="H4401" s="24">
        <f>IFERROR(__xludf.DUMMYFUNCTION("""COMPUTED_VALUE"""),586.0)</f>
        <v>586</v>
      </c>
      <c r="I4401" s="24" t="str">
        <f>IFERROR(__xludf.DUMMYFUNCTION("""COMPUTED_VALUE"""),"Frozen [Not Meat]")</f>
        <v>Frozen [Not Meat]</v>
      </c>
    </row>
    <row r="4402">
      <c r="A4402" s="23">
        <f>IFERROR(__xludf.DUMMYFUNCTION("""COMPUTED_VALUE"""),44911.712339618054)</f>
        <v>44911.71234</v>
      </c>
      <c r="B4402" s="24" t="str">
        <f>IFERROR(__xludf.DUMMYFUNCTION("""COMPUTED_VALUE"""),"Beth Torres")</f>
        <v>Beth Torres</v>
      </c>
      <c r="C4402" s="24">
        <f>IFERROR(__xludf.DUMMYFUNCTION("""COMPUTED_VALUE"""),6.0)</f>
        <v>6</v>
      </c>
      <c r="D4402" s="24" t="str">
        <f>IFERROR(__xludf.DUMMYFUNCTION("""COMPUTED_VALUE"""),"Regular (up to 20lbs)")</f>
        <v>Regular (up to 20lbs)</v>
      </c>
      <c r="F4402" s="23">
        <f>IFERROR(__xludf.DUMMYFUNCTION("""COMPUTED_VALUE"""),44922.52223570601)</f>
        <v>44922.52224</v>
      </c>
      <c r="G4402" s="24" t="str">
        <f>IFERROR(__xludf.DUMMYFUNCTION("""COMPUTED_VALUE"""),"Claire")</f>
        <v>Claire</v>
      </c>
      <c r="H4402" s="24">
        <f>IFERROR(__xludf.DUMMYFUNCTION("""COMPUTED_VALUE"""),677.0)</f>
        <v>677</v>
      </c>
      <c r="I4402" s="24" t="str">
        <f>IFERROR(__xludf.DUMMYFUNCTION("""COMPUTED_VALUE"""),"Dole fruit cups")</f>
        <v>Dole fruit cups</v>
      </c>
    </row>
    <row r="4403">
      <c r="A4403" s="23">
        <f>IFERROR(__xludf.DUMMYFUNCTION("""COMPUTED_VALUE"""),44911.71250569444)</f>
        <v>44911.71251</v>
      </c>
      <c r="B4403" s="24" t="str">
        <f>IFERROR(__xludf.DUMMYFUNCTION("""COMPUTED_VALUE"""),"Beth Torres")</f>
        <v>Beth Torres</v>
      </c>
      <c r="C4403" s="24">
        <f>IFERROR(__xludf.DUMMYFUNCTION("""COMPUTED_VALUE"""),10.0)</f>
        <v>10</v>
      </c>
      <c r="D4403" s="24" t="str">
        <f>IFERROR(__xludf.DUMMYFUNCTION("""COMPUTED_VALUE"""),"Damage/expired/extra")</f>
        <v>Damage/expired/extra</v>
      </c>
      <c r="F4403" s="23">
        <f>IFERROR(__xludf.DUMMYFUNCTION("""COMPUTED_VALUE"""),44922.52301833333)</f>
        <v>44922.52302</v>
      </c>
      <c r="G4403" s="24" t="str">
        <f>IFERROR(__xludf.DUMMYFUNCTION("""COMPUTED_VALUE"""),"Claire")</f>
        <v>Claire</v>
      </c>
      <c r="H4403" s="24">
        <f>IFERROR(__xludf.DUMMYFUNCTION("""COMPUTED_VALUE"""),765.0)</f>
        <v>765</v>
      </c>
      <c r="I4403" s="24" t="str">
        <f>IFERROR(__xludf.DUMMYFUNCTION("""COMPUTED_VALUE"""),"Drinks [Dry]")</f>
        <v>Drinks [Dry]</v>
      </c>
    </row>
    <row r="4404">
      <c r="A4404" s="23">
        <f>IFERROR(__xludf.DUMMYFUNCTION("""COMPUTED_VALUE"""),44912.0)</f>
        <v>44912</v>
      </c>
      <c r="B4404" s="24" t="str">
        <f>IFERROR(__xludf.DUMMYFUNCTION("""COMPUTED_VALUE"""),"Juanita Chandler ")</f>
        <v>Juanita Chandler </v>
      </c>
      <c r="C4404" s="24">
        <f>IFERROR(__xludf.DUMMYFUNCTION("""COMPUTED_VALUE"""),6.0)</f>
        <v>6</v>
      </c>
      <c r="D4404" s="24" t="str">
        <f>IFERROR(__xludf.DUMMYFUNCTION("""COMPUTED_VALUE"""),"Regular (up to 20lbs)")</f>
        <v>Regular (up to 20lbs)</v>
      </c>
      <c r="F4404" s="23">
        <f>IFERROR(__xludf.DUMMYFUNCTION("""COMPUTED_VALUE"""),44922.523269583326)</f>
        <v>44922.52327</v>
      </c>
      <c r="G4404" s="24" t="str">
        <f>IFERROR(__xludf.DUMMYFUNCTION("""COMPUTED_VALUE"""),"Claire")</f>
        <v>Claire</v>
      </c>
      <c r="H4404" s="24">
        <f>IFERROR(__xludf.DUMMYFUNCTION("""COMPUTED_VALUE"""),199.0)</f>
        <v>199</v>
      </c>
      <c r="I4404" s="24" t="str">
        <f>IFERROR(__xludf.DUMMYFUNCTION("""COMPUTED_VALUE"""),"Gifts")</f>
        <v>Gifts</v>
      </c>
    </row>
    <row r="4405">
      <c r="A4405" s="23">
        <f>IFERROR(__xludf.DUMMYFUNCTION("""COMPUTED_VALUE"""),44912.0)</f>
        <v>44912</v>
      </c>
      <c r="B4405" s="24" t="str">
        <f>IFERROR(__xludf.DUMMYFUNCTION("""COMPUTED_VALUE"""),"Cheryl Utsey")</f>
        <v>Cheryl Utsey</v>
      </c>
      <c r="C4405" s="24">
        <f>IFERROR(__xludf.DUMMYFUNCTION("""COMPUTED_VALUE"""),9.0)</f>
        <v>9</v>
      </c>
      <c r="D4405" s="24" t="str">
        <f>IFERROR(__xludf.DUMMYFUNCTION("""COMPUTED_VALUE"""),"Regular (up to 20lbs)")</f>
        <v>Regular (up to 20lbs)</v>
      </c>
      <c r="F4405" s="23">
        <f>IFERROR(__xludf.DUMMYFUNCTION("""COMPUTED_VALUE"""),44922.52350679398)</f>
        <v>44922.52351</v>
      </c>
      <c r="G4405" s="24" t="str">
        <f>IFERROR(__xludf.DUMMYFUNCTION("""COMPUTED_VALUE"""),"Claire")</f>
        <v>Claire</v>
      </c>
      <c r="H4405" s="24">
        <f>IFERROR(__xludf.DUMMYFUNCTION("""COMPUTED_VALUE"""),587.0)</f>
        <v>587</v>
      </c>
      <c r="I4405" s="24" t="str">
        <f>IFERROR(__xludf.DUMMYFUNCTION("""COMPUTED_VALUE"""),"Frozen [Not Meat]")</f>
        <v>Frozen [Not Meat]</v>
      </c>
    </row>
    <row r="4406">
      <c r="A4406" s="23">
        <f>IFERROR(__xludf.DUMMYFUNCTION("""COMPUTED_VALUE"""),44912.0)</f>
        <v>44912</v>
      </c>
      <c r="B4406" s="24" t="str">
        <f>IFERROR(__xludf.DUMMYFUNCTION("""COMPUTED_VALUE"""),"Janet Lomax")</f>
        <v>Janet Lomax</v>
      </c>
      <c r="C4406" s="24">
        <f>IFERROR(__xludf.DUMMYFUNCTION("""COMPUTED_VALUE"""),3.0)</f>
        <v>3</v>
      </c>
      <c r="D4406" s="24" t="str">
        <f>IFERROR(__xludf.DUMMYFUNCTION("""COMPUTED_VALUE"""),"Regular (up to 20lbs)")</f>
        <v>Regular (up to 20lbs)</v>
      </c>
      <c r="F4406" s="23">
        <f>IFERROR(__xludf.DUMMYFUNCTION("""COMPUTED_VALUE"""),44922.52398773148)</f>
        <v>44922.52399</v>
      </c>
      <c r="G4406" s="24" t="str">
        <f>IFERROR(__xludf.DUMMYFUNCTION("""COMPUTED_VALUE"""),"Claire")</f>
        <v>Claire</v>
      </c>
      <c r="H4406" s="24">
        <f>IFERROR(__xludf.DUMMYFUNCTION("""COMPUTED_VALUE"""),599.0)</f>
        <v>599</v>
      </c>
      <c r="I4406" s="24" t="str">
        <f>IFERROR(__xludf.DUMMYFUNCTION("""COMPUTED_VALUE"""),"Frozen [Not Meat]")</f>
        <v>Frozen [Not Meat]</v>
      </c>
    </row>
    <row r="4407">
      <c r="A4407" s="23">
        <f>IFERROR(__xludf.DUMMYFUNCTION("""COMPUTED_VALUE"""),44912.50739822917)</f>
        <v>44912.5074</v>
      </c>
      <c r="B4407" s="24" t="str">
        <f>IFERROR(__xludf.DUMMYFUNCTION("""COMPUTED_VALUE"""),"Bud Stracker-Sisson st dpw")</f>
        <v>Bud Stracker-Sisson st dpw</v>
      </c>
      <c r="C4407" s="24">
        <f>IFERROR(__xludf.DUMMYFUNCTION("""COMPUTED_VALUE"""),7.0)</f>
        <v>7</v>
      </c>
      <c r="D4407" s="24" t="str">
        <f>IFERROR(__xludf.DUMMYFUNCTION("""COMPUTED_VALUE"""),"Regular (up to 20lbs)")</f>
        <v>Regular (up to 20lbs)</v>
      </c>
      <c r="F4407" s="23">
        <f>IFERROR(__xludf.DUMMYFUNCTION("""COMPUTED_VALUE"""),44922.52432820602)</f>
        <v>44922.52433</v>
      </c>
      <c r="G4407" s="24" t="str">
        <f>IFERROR(__xludf.DUMMYFUNCTION("""COMPUTED_VALUE"""),"Claire")</f>
        <v>Claire</v>
      </c>
      <c r="H4407" s="24">
        <f>IFERROR(__xludf.DUMMYFUNCTION("""COMPUTED_VALUE"""),723.0)</f>
        <v>723</v>
      </c>
      <c r="I4407" s="24" t="str">
        <f>IFERROR(__xludf.DUMMYFUNCTION("""COMPUTED_VALUE"""),"Dole fruit cups")</f>
        <v>Dole fruit cups</v>
      </c>
    </row>
    <row r="4408">
      <c r="A4408" s="23">
        <f>IFERROR(__xludf.DUMMYFUNCTION("""COMPUTED_VALUE"""),44912.70699127315)</f>
        <v>44912.70699</v>
      </c>
      <c r="B4408" s="24" t="str">
        <f>IFERROR(__xludf.DUMMYFUNCTION("""COMPUTED_VALUE"""),"Dean Chien")</f>
        <v>Dean Chien</v>
      </c>
      <c r="C4408" s="24">
        <f>IFERROR(__xludf.DUMMYFUNCTION("""COMPUTED_VALUE"""),15.0)</f>
        <v>15</v>
      </c>
      <c r="D4408" s="24" t="str">
        <f>IFERROR(__xludf.DUMMYFUNCTION("""COMPUTED_VALUE"""),"Regular (up to 20lbs)")</f>
        <v>Regular (up to 20lbs)</v>
      </c>
      <c r="F4408" s="23">
        <f>IFERROR(__xludf.DUMMYFUNCTION("""COMPUTED_VALUE"""),44922.524568877314)</f>
        <v>44922.52457</v>
      </c>
      <c r="G4408" s="24" t="str">
        <f>IFERROR(__xludf.DUMMYFUNCTION("""COMPUTED_VALUE"""),"Claire")</f>
        <v>Claire</v>
      </c>
      <c r="H4408" s="24">
        <f>IFERROR(__xludf.DUMMYFUNCTION("""COMPUTED_VALUE"""),271.0)</f>
        <v>271</v>
      </c>
      <c r="I4408" s="24" t="str">
        <f>IFERROR(__xludf.DUMMYFUNCTION("""COMPUTED_VALUE"""),"Drinks [Dry]")</f>
        <v>Drinks [Dry]</v>
      </c>
    </row>
    <row r="4409">
      <c r="A4409" s="23">
        <f>IFERROR(__xludf.DUMMYFUNCTION("""COMPUTED_VALUE"""),44912.711070046294)</f>
        <v>44912.71107</v>
      </c>
      <c r="B4409" s="24" t="str">
        <f>IFERROR(__xludf.DUMMYFUNCTION("""COMPUTED_VALUE"""),"Sara")</f>
        <v>Sara</v>
      </c>
      <c r="C4409" s="24">
        <f>IFERROR(__xludf.DUMMYFUNCTION("""COMPUTED_VALUE"""),10.0)</f>
        <v>10</v>
      </c>
      <c r="D4409" s="24" t="str">
        <f>IFERROR(__xludf.DUMMYFUNCTION("""COMPUTED_VALUE"""),"Regular (up to 20lbs)")</f>
        <v>Regular (up to 20lbs)</v>
      </c>
      <c r="F4409" s="23">
        <f>IFERROR(__xludf.DUMMYFUNCTION("""COMPUTED_VALUE"""),44922.52484665509)</f>
        <v>44922.52485</v>
      </c>
      <c r="G4409" s="24" t="str">
        <f>IFERROR(__xludf.DUMMYFUNCTION("""COMPUTED_VALUE"""),"Claire")</f>
        <v>Claire</v>
      </c>
      <c r="H4409" s="24">
        <f>IFERROR(__xludf.DUMMYFUNCTION("""COMPUTED_VALUE"""),136.0)</f>
        <v>136</v>
      </c>
      <c r="I4409" s="24" t="str">
        <f>IFERROR(__xludf.DUMMYFUNCTION("""COMPUTED_VALUE"""),"Gifts")</f>
        <v>Gifts</v>
      </c>
    </row>
    <row r="4410">
      <c r="A4410" s="23">
        <f>IFERROR(__xludf.DUMMYFUNCTION("""COMPUTED_VALUE"""),44913.0)</f>
        <v>44913</v>
      </c>
      <c r="B4410" s="24" t="str">
        <f>IFERROR(__xludf.DUMMYFUNCTION("""COMPUTED_VALUE"""),"Juanita Chandler ")</f>
        <v>Juanita Chandler </v>
      </c>
      <c r="C4410" s="24">
        <f>IFERROR(__xludf.DUMMYFUNCTION("""COMPUTED_VALUE"""),12.0)</f>
        <v>12</v>
      </c>
      <c r="D4410" s="24" t="str">
        <f>IFERROR(__xludf.DUMMYFUNCTION("""COMPUTED_VALUE"""),"Regular (up to 20lbs)")</f>
        <v>Regular (up to 20lbs)</v>
      </c>
      <c r="F4410" s="23">
        <f>IFERROR(__xludf.DUMMYFUNCTION("""COMPUTED_VALUE"""),44922.52518866898)</f>
        <v>44922.52519</v>
      </c>
      <c r="G4410" s="24" t="str">
        <f>IFERROR(__xludf.DUMMYFUNCTION("""COMPUTED_VALUE"""),"Claire")</f>
        <v>Claire</v>
      </c>
      <c r="H4410" s="24">
        <f>IFERROR(__xludf.DUMMYFUNCTION("""COMPUTED_VALUE"""),87.0)</f>
        <v>87</v>
      </c>
      <c r="I4410" s="24" t="str">
        <f>IFERROR(__xludf.DUMMYFUNCTION("""COMPUTED_VALUE"""),"Produce")</f>
        <v>Produce</v>
      </c>
    </row>
    <row r="4411">
      <c r="A4411" s="23">
        <f>IFERROR(__xludf.DUMMYFUNCTION("""COMPUTED_VALUE"""),44913.0)</f>
        <v>44913</v>
      </c>
      <c r="B4411" s="24" t="str">
        <f>IFERROR(__xludf.DUMMYFUNCTION("""COMPUTED_VALUE"""),"Juanita Chandler ")</f>
        <v>Juanita Chandler </v>
      </c>
      <c r="C4411" s="24">
        <f>IFERROR(__xludf.DUMMYFUNCTION("""COMPUTED_VALUE"""),25.0)</f>
        <v>25</v>
      </c>
      <c r="D4411" s="24" t="str">
        <f>IFERROR(__xludf.DUMMYFUNCTION("""COMPUTED_VALUE"""),"Damage/expired/extra")</f>
        <v>Damage/expired/extra</v>
      </c>
      <c r="F4411" s="23">
        <f>IFERROR(__xludf.DUMMYFUNCTION("""COMPUTED_VALUE"""),44922.5253977199)</f>
        <v>44922.5254</v>
      </c>
      <c r="G4411" s="24" t="str">
        <f>IFERROR(__xludf.DUMMYFUNCTION("""COMPUTED_VALUE"""),"Claire")</f>
        <v>Claire</v>
      </c>
      <c r="H4411" s="24">
        <f>IFERROR(__xludf.DUMMYFUNCTION("""COMPUTED_VALUE"""),890.0)</f>
        <v>890</v>
      </c>
      <c r="I4411" s="24" t="str">
        <f>IFERROR(__xludf.DUMMYFUNCTION("""COMPUTED_VALUE"""),"Produce")</f>
        <v>Produce</v>
      </c>
    </row>
    <row r="4412">
      <c r="A4412" s="23">
        <f>IFERROR(__xludf.DUMMYFUNCTION("""COMPUTED_VALUE"""),44913.671695509256)</f>
        <v>44913.6717</v>
      </c>
      <c r="B4412" s="24" t="str">
        <f>IFERROR(__xludf.DUMMYFUNCTION("""COMPUTED_VALUE"""),"Jelani ")</f>
        <v>Jelani </v>
      </c>
      <c r="C4412" s="24">
        <f>IFERROR(__xludf.DUMMYFUNCTION("""COMPUTED_VALUE"""),9.0)</f>
        <v>9</v>
      </c>
      <c r="D4412" s="24" t="str">
        <f>IFERROR(__xludf.DUMMYFUNCTION("""COMPUTED_VALUE"""),"Regular (up to 20lbs)")</f>
        <v>Regular (up to 20lbs)</v>
      </c>
      <c r="F4412" s="23">
        <f>IFERROR(__xludf.DUMMYFUNCTION("""COMPUTED_VALUE"""),44922.525606504634)</f>
        <v>44922.52561</v>
      </c>
      <c r="G4412" s="24" t="str">
        <f>IFERROR(__xludf.DUMMYFUNCTION("""COMPUTED_VALUE"""),"Claire")</f>
        <v>Claire</v>
      </c>
      <c r="H4412" s="24">
        <f>IFERROR(__xludf.DUMMYFUNCTION("""COMPUTED_VALUE"""),477.0)</f>
        <v>477</v>
      </c>
      <c r="I4412" s="24" t="str">
        <f>IFERROR(__xludf.DUMMYFUNCTION("""COMPUTED_VALUE"""),"Produce")</f>
        <v>Produce</v>
      </c>
    </row>
    <row r="4413">
      <c r="A4413" s="23">
        <f>IFERROR(__xludf.DUMMYFUNCTION("""COMPUTED_VALUE"""),44913.67341831019)</f>
        <v>44913.67342</v>
      </c>
      <c r="B4413" s="24" t="str">
        <f>IFERROR(__xludf.DUMMYFUNCTION("""COMPUTED_VALUE"""),"Kendal")</f>
        <v>Kendal</v>
      </c>
      <c r="C4413" s="24">
        <f>IFERROR(__xludf.DUMMYFUNCTION("""COMPUTED_VALUE"""),9.0)</f>
        <v>9</v>
      </c>
      <c r="D4413" s="24" t="str">
        <f>IFERROR(__xludf.DUMMYFUNCTION("""COMPUTED_VALUE"""),"Damage/expired/extra")</f>
        <v>Damage/expired/extra</v>
      </c>
      <c r="F4413" s="23">
        <f>IFERROR(__xludf.DUMMYFUNCTION("""COMPUTED_VALUE"""),44922.525884675924)</f>
        <v>44922.52588</v>
      </c>
      <c r="G4413" s="24" t="str">
        <f>IFERROR(__xludf.DUMMYFUNCTION("""COMPUTED_VALUE"""),"Claire")</f>
        <v>Claire</v>
      </c>
      <c r="H4413" s="24">
        <f>IFERROR(__xludf.DUMMYFUNCTION("""COMPUTED_VALUE"""),433.0)</f>
        <v>433</v>
      </c>
      <c r="I4413" s="24" t="str">
        <f>IFERROR(__xludf.DUMMYFUNCTION("""COMPUTED_VALUE"""),"Hand sanitizer ")</f>
        <v>Hand sanitizer </v>
      </c>
    </row>
    <row r="4414">
      <c r="A4414" s="23">
        <f>IFERROR(__xludf.DUMMYFUNCTION("""COMPUTED_VALUE"""),44913.67431125)</f>
        <v>44913.67431</v>
      </c>
      <c r="B4414" s="24" t="str">
        <f>IFERROR(__xludf.DUMMYFUNCTION("""COMPUTED_VALUE"""),"Kendal")</f>
        <v>Kendal</v>
      </c>
      <c r="C4414" s="24">
        <f>IFERROR(__xludf.DUMMYFUNCTION("""COMPUTED_VALUE"""),7.0)</f>
        <v>7</v>
      </c>
      <c r="D4414" s="24" t="str">
        <f>IFERROR(__xludf.DUMMYFUNCTION("""COMPUTED_VALUE"""),"Regular (up to 20lbs)")</f>
        <v>Regular (up to 20lbs)</v>
      </c>
      <c r="F4414" s="23">
        <f>IFERROR(__xludf.DUMMYFUNCTION("""COMPUTED_VALUE"""),44922.52616109954)</f>
        <v>44922.52616</v>
      </c>
      <c r="G4414" s="24" t="str">
        <f>IFERROR(__xludf.DUMMYFUNCTION("""COMPUTED_VALUE"""),"Claire")</f>
        <v>Claire</v>
      </c>
      <c r="H4414" s="24">
        <f>IFERROR(__xludf.DUMMYFUNCTION("""COMPUTED_VALUE"""),579.0)</f>
        <v>579</v>
      </c>
      <c r="I4414" s="24" t="str">
        <f>IFERROR(__xludf.DUMMYFUNCTION("""COMPUTED_VALUE"""),"Hand sanitizer ")</f>
        <v>Hand sanitizer </v>
      </c>
    </row>
    <row r="4415">
      <c r="A4415" s="23">
        <f>IFERROR(__xludf.DUMMYFUNCTION("""COMPUTED_VALUE"""),44913.68499822917)</f>
        <v>44913.685</v>
      </c>
      <c r="B4415" s="24" t="str">
        <f>IFERROR(__xludf.DUMMYFUNCTION("""COMPUTED_VALUE"""),"Opeyemi ")</f>
        <v>Opeyemi </v>
      </c>
      <c r="C4415" s="24">
        <f>IFERROR(__xludf.DUMMYFUNCTION("""COMPUTED_VALUE"""),11.0)</f>
        <v>11</v>
      </c>
      <c r="D4415" s="24" t="str">
        <f>IFERROR(__xludf.DUMMYFUNCTION("""COMPUTED_VALUE"""),"Regular (up to 20lbs)")</f>
        <v>Regular (up to 20lbs)</v>
      </c>
      <c r="F4415" s="23">
        <f>IFERROR(__xludf.DUMMYFUNCTION("""COMPUTED_VALUE"""),44922.52639519676)</f>
        <v>44922.5264</v>
      </c>
      <c r="G4415" s="24" t="str">
        <f>IFERROR(__xludf.DUMMYFUNCTION("""COMPUTED_VALUE"""),"Claire")</f>
        <v>Claire</v>
      </c>
      <c r="H4415" s="24">
        <f>IFERROR(__xludf.DUMMYFUNCTION("""COMPUTED_VALUE"""),104.0)</f>
        <v>104</v>
      </c>
      <c r="I4415" s="24" t="str">
        <f>IFERROR(__xludf.DUMMYFUNCTION("""COMPUTED_VALUE"""),"Gifts")</f>
        <v>Gifts</v>
      </c>
    </row>
    <row r="4416">
      <c r="A4416" s="23">
        <f>IFERROR(__xludf.DUMMYFUNCTION("""COMPUTED_VALUE"""),44913.68549462962)</f>
        <v>44913.68549</v>
      </c>
      <c r="B4416" s="24" t="str">
        <f>IFERROR(__xludf.DUMMYFUNCTION("""COMPUTED_VALUE"""),"Zoe")</f>
        <v>Zoe</v>
      </c>
      <c r="C4416" s="24">
        <f>IFERROR(__xludf.DUMMYFUNCTION("""COMPUTED_VALUE"""),16.0)</f>
        <v>16</v>
      </c>
      <c r="D4416" s="24" t="str">
        <f>IFERROR(__xludf.DUMMYFUNCTION("""COMPUTED_VALUE"""),"Regular (up to 20lbs)")</f>
        <v>Regular (up to 20lbs)</v>
      </c>
      <c r="F4416" s="23">
        <f>IFERROR(__xludf.DUMMYFUNCTION("""COMPUTED_VALUE"""),44922.52701278935)</f>
        <v>44922.52701</v>
      </c>
      <c r="G4416" s="24" t="str">
        <f>IFERROR(__xludf.DUMMYFUNCTION("""COMPUTED_VALUE"""),"Claire")</f>
        <v>Claire</v>
      </c>
      <c r="H4416" s="24">
        <f>IFERROR(__xludf.DUMMYFUNCTION("""COMPUTED_VALUE"""),623.0)</f>
        <v>623</v>
      </c>
      <c r="I4416" s="24" t="str">
        <f>IFERROR(__xludf.DUMMYFUNCTION("""COMPUTED_VALUE"""),"Produce")</f>
        <v>Produce</v>
      </c>
    </row>
    <row r="4417">
      <c r="A4417" s="23">
        <f>IFERROR(__xludf.DUMMYFUNCTION("""COMPUTED_VALUE"""),44913.68740869213)</f>
        <v>44913.68741</v>
      </c>
      <c r="B4417" s="24" t="str">
        <f>IFERROR(__xludf.DUMMYFUNCTION("""COMPUTED_VALUE"""),"Kaneesha")</f>
        <v>Kaneesha</v>
      </c>
      <c r="C4417" s="24">
        <f>IFERROR(__xludf.DUMMYFUNCTION("""COMPUTED_VALUE"""),20.0)</f>
        <v>20</v>
      </c>
      <c r="D4417" s="24" t="str">
        <f>IFERROR(__xludf.DUMMYFUNCTION("""COMPUTED_VALUE"""),"Regular (up to 20lbs)")</f>
        <v>Regular (up to 20lbs)</v>
      </c>
      <c r="F4417" s="23">
        <f>IFERROR(__xludf.DUMMYFUNCTION("""COMPUTED_VALUE"""),44922.527283530086)</f>
        <v>44922.52728</v>
      </c>
      <c r="G4417" s="24" t="str">
        <f>IFERROR(__xludf.DUMMYFUNCTION("""COMPUTED_VALUE"""),"Claire")</f>
        <v>Claire</v>
      </c>
      <c r="H4417" s="24">
        <f>IFERROR(__xludf.DUMMYFUNCTION("""COMPUTED_VALUE"""),912.0)</f>
        <v>912</v>
      </c>
      <c r="I4417" s="24" t="str">
        <f>IFERROR(__xludf.DUMMYFUNCTION("""COMPUTED_VALUE"""),"Frozen [Not Meat]")</f>
        <v>Frozen [Not Meat]</v>
      </c>
    </row>
    <row r="4418">
      <c r="A4418" s="23">
        <f>IFERROR(__xludf.DUMMYFUNCTION("""COMPUTED_VALUE"""),44913.68758013889)</f>
        <v>44913.68758</v>
      </c>
      <c r="B4418" s="24" t="str">
        <f>IFERROR(__xludf.DUMMYFUNCTION("""COMPUTED_VALUE"""),"Kaneesha")</f>
        <v>Kaneesha</v>
      </c>
      <c r="C4418" s="24">
        <f>IFERROR(__xludf.DUMMYFUNCTION("""COMPUTED_VALUE"""),30.0)</f>
        <v>30</v>
      </c>
      <c r="D4418" s="24" t="str">
        <f>IFERROR(__xludf.DUMMYFUNCTION("""COMPUTED_VALUE"""),"Damage/expired/extra")</f>
        <v>Damage/expired/extra</v>
      </c>
      <c r="F4418" s="23">
        <f>IFERROR(__xludf.DUMMYFUNCTION("""COMPUTED_VALUE"""),44922.527537766204)</f>
        <v>44922.52754</v>
      </c>
      <c r="G4418" s="24" t="str">
        <f>IFERROR(__xludf.DUMMYFUNCTION("""COMPUTED_VALUE"""),"Claire")</f>
        <v>Claire</v>
      </c>
      <c r="H4418" s="24">
        <f>IFERROR(__xludf.DUMMYFUNCTION("""COMPUTED_VALUE"""),-181.0)</f>
        <v>-181</v>
      </c>
      <c r="I4418" s="24" t="str">
        <f>IFERROR(__xludf.DUMMYFUNCTION("""COMPUTED_VALUE"""),"Frozen [Not Meat]")</f>
        <v>Frozen [Not Meat]</v>
      </c>
    </row>
    <row r="4419">
      <c r="A4419" s="23">
        <f>IFERROR(__xludf.DUMMYFUNCTION("""COMPUTED_VALUE"""),44915.0)</f>
        <v>44915</v>
      </c>
      <c r="B4419" s="24" t="str">
        <f>IFERROR(__xludf.DUMMYFUNCTION("""COMPUTED_VALUE"""),"Rosemary Hendricks")</f>
        <v>Rosemary Hendricks</v>
      </c>
      <c r="C4419" s="24">
        <f>IFERROR(__xludf.DUMMYFUNCTION("""COMPUTED_VALUE"""),14.0)</f>
        <v>14</v>
      </c>
      <c r="D4419" s="24" t="str">
        <f>IFERROR(__xludf.DUMMYFUNCTION("""COMPUTED_VALUE"""),"Regular (up to 20lbs)")</f>
        <v>Regular (up to 20lbs)</v>
      </c>
      <c r="F4419" s="23">
        <f>IFERROR(__xludf.DUMMYFUNCTION("""COMPUTED_VALUE"""),44922.52807741899)</f>
        <v>44922.52808</v>
      </c>
      <c r="G4419" s="24" t="str">
        <f>IFERROR(__xludf.DUMMYFUNCTION("""COMPUTED_VALUE"""),"Claire")</f>
        <v>Claire</v>
      </c>
      <c r="H4419" s="24">
        <f>IFERROR(__xludf.DUMMYFUNCTION("""COMPUTED_VALUE"""),-689.0)</f>
        <v>-689</v>
      </c>
      <c r="I4419" s="24" t="str">
        <f>IFERROR(__xludf.DUMMYFUNCTION("""COMPUTED_VALUE"""),"Frozen [Not Meat]")</f>
        <v>Frozen [Not Meat]</v>
      </c>
    </row>
    <row r="4420">
      <c r="A4420" s="23">
        <f>IFERROR(__xludf.DUMMYFUNCTION("""COMPUTED_VALUE"""),44915.0)</f>
        <v>44915</v>
      </c>
      <c r="B4420" s="24" t="str">
        <f>IFERROR(__xludf.DUMMYFUNCTION("""COMPUTED_VALUE"""),"Rosemary Hendricks")</f>
        <v>Rosemary Hendricks</v>
      </c>
      <c r="C4420" s="24">
        <f>IFERROR(__xludf.DUMMYFUNCTION("""COMPUTED_VALUE"""),2.0)</f>
        <v>2</v>
      </c>
      <c r="D4420" s="24" t="str">
        <f>IFERROR(__xludf.DUMMYFUNCTION("""COMPUTED_VALUE"""),"Damage/expired/extra")</f>
        <v>Damage/expired/extra</v>
      </c>
      <c r="F4420" s="23">
        <f>IFERROR(__xludf.DUMMYFUNCTION("""COMPUTED_VALUE"""),44922.52831318287)</f>
        <v>44922.52831</v>
      </c>
      <c r="G4420" s="24" t="str">
        <f>IFERROR(__xludf.DUMMYFUNCTION("""COMPUTED_VALUE"""),"Claire")</f>
        <v>Claire</v>
      </c>
      <c r="H4420" s="24">
        <f>IFERROR(__xludf.DUMMYFUNCTION("""COMPUTED_VALUE"""),-131.0)</f>
        <v>-131</v>
      </c>
      <c r="I4420" s="24" t="str">
        <f>IFERROR(__xludf.DUMMYFUNCTION("""COMPUTED_VALUE"""),"Assorted Fridge")</f>
        <v>Assorted Fridge</v>
      </c>
    </row>
    <row r="4421">
      <c r="A4421" s="23">
        <f>IFERROR(__xludf.DUMMYFUNCTION("""COMPUTED_VALUE"""),44915.0)</f>
        <v>44915</v>
      </c>
      <c r="B4421" s="24" t="str">
        <f>IFERROR(__xludf.DUMMYFUNCTION("""COMPUTED_VALUE"""),"Jean ")</f>
        <v>Jean </v>
      </c>
      <c r="C4421" s="24">
        <f>IFERROR(__xludf.DUMMYFUNCTION("""COMPUTED_VALUE"""),26.0)</f>
        <v>26</v>
      </c>
      <c r="D4421" s="24" t="str">
        <f>IFERROR(__xludf.DUMMYFUNCTION("""COMPUTED_VALUE"""),"Regular (up to 20lbs)")</f>
        <v>Regular (up to 20lbs)</v>
      </c>
      <c r="F4421" s="23">
        <f>IFERROR(__xludf.DUMMYFUNCTION("""COMPUTED_VALUE"""),44922.52860621527)</f>
        <v>44922.52861</v>
      </c>
      <c r="G4421" s="24" t="str">
        <f>IFERROR(__xludf.DUMMYFUNCTION("""COMPUTED_VALUE"""),"Claire")</f>
        <v>Claire</v>
      </c>
      <c r="H4421" s="24">
        <f>IFERROR(__xludf.DUMMYFUNCTION("""COMPUTED_VALUE"""),-117.0)</f>
        <v>-117</v>
      </c>
      <c r="I4421" s="24" t="str">
        <f>IFERROR(__xludf.DUMMYFUNCTION("""COMPUTED_VALUE"""),"Dole fruit cups")</f>
        <v>Dole fruit cups</v>
      </c>
    </row>
    <row r="4422">
      <c r="A4422" s="23">
        <f>IFERROR(__xludf.DUMMYFUNCTION("""COMPUTED_VALUE"""),44915.0)</f>
        <v>44915</v>
      </c>
      <c r="B4422" s="24" t="str">
        <f>IFERROR(__xludf.DUMMYFUNCTION("""COMPUTED_VALUE"""),"Jean")</f>
        <v>Jean</v>
      </c>
      <c r="C4422" s="24">
        <f>IFERROR(__xludf.DUMMYFUNCTION("""COMPUTED_VALUE"""),46.0)</f>
        <v>46</v>
      </c>
      <c r="D4422" s="24" t="str">
        <f>IFERROR(__xludf.DUMMYFUNCTION("""COMPUTED_VALUE"""),"Damage/expired/extra")</f>
        <v>Damage/expired/extra</v>
      </c>
      <c r="F4422" s="23">
        <f>IFERROR(__xludf.DUMMYFUNCTION("""COMPUTED_VALUE"""),44922.60131414352)</f>
        <v>44922.60131</v>
      </c>
      <c r="G4422" s="24" t="str">
        <f>IFERROR(__xludf.DUMMYFUNCTION("""COMPUTED_VALUE"""),"Jean")</f>
        <v>Jean</v>
      </c>
      <c r="H4422" s="24">
        <f>IFERROR(__xludf.DUMMYFUNCTION("""COMPUTED_VALUE"""),462.0)</f>
        <v>462</v>
      </c>
      <c r="I4422" s="24" t="str">
        <f>IFERROR(__xludf.DUMMYFUNCTION("""COMPUTED_VALUE"""),"Dannon")</f>
        <v>Dannon</v>
      </c>
    </row>
    <row r="4423">
      <c r="A4423" s="23">
        <f>IFERROR(__xludf.DUMMYFUNCTION("""COMPUTED_VALUE"""),44915.0)</f>
        <v>44915</v>
      </c>
      <c r="B4423" s="24" t="str">
        <f>IFERROR(__xludf.DUMMYFUNCTION("""COMPUTED_VALUE"""),"Kaneesha")</f>
        <v>Kaneesha</v>
      </c>
      <c r="C4423" s="24">
        <f>IFERROR(__xludf.DUMMYFUNCTION("""COMPUTED_VALUE"""),20.0)</f>
        <v>20</v>
      </c>
      <c r="D4423" s="24" t="str">
        <f>IFERROR(__xludf.DUMMYFUNCTION("""COMPUTED_VALUE"""),"Regular (up to 20lbs)")</f>
        <v>Regular (up to 20lbs)</v>
      </c>
      <c r="F4423" s="23">
        <f>IFERROR(__xludf.DUMMYFUNCTION("""COMPUTED_VALUE"""),44922.6026946412)</f>
        <v>44922.60269</v>
      </c>
      <c r="G4423" s="24" t="str">
        <f>IFERROR(__xludf.DUMMYFUNCTION("""COMPUTED_VALUE"""),"Jean")</f>
        <v>Jean</v>
      </c>
      <c r="H4423" s="24">
        <f>IFERROR(__xludf.DUMMYFUNCTION("""COMPUTED_VALUE"""),2085.0)</f>
        <v>2085</v>
      </c>
      <c r="I4423" s="24" t="str">
        <f>IFERROR(__xludf.DUMMYFUNCTION("""COMPUTED_VALUE"""),"Dannon")</f>
        <v>Dannon</v>
      </c>
    </row>
    <row r="4424">
      <c r="A4424" s="23">
        <f>IFERROR(__xludf.DUMMYFUNCTION("""COMPUTED_VALUE"""),44915.0)</f>
        <v>44915</v>
      </c>
      <c r="B4424" s="24" t="str">
        <f>IFERROR(__xludf.DUMMYFUNCTION("""COMPUTED_VALUE"""),"Kaneesha")</f>
        <v>Kaneesha</v>
      </c>
      <c r="C4424" s="24">
        <f>IFERROR(__xludf.DUMMYFUNCTION("""COMPUTED_VALUE"""),28.0)</f>
        <v>28</v>
      </c>
      <c r="D4424" s="24" t="str">
        <f>IFERROR(__xludf.DUMMYFUNCTION("""COMPUTED_VALUE"""),"Damage/expired/extra")</f>
        <v>Damage/expired/extra</v>
      </c>
      <c r="F4424" s="23">
        <f>IFERROR(__xludf.DUMMYFUNCTION("""COMPUTED_VALUE"""),44922.60351523149)</f>
        <v>44922.60352</v>
      </c>
      <c r="G4424" s="24" t="str">
        <f>IFERROR(__xludf.DUMMYFUNCTION("""COMPUTED_VALUE"""),"Jean")</f>
        <v>Jean</v>
      </c>
      <c r="H4424" s="24">
        <f>IFERROR(__xludf.DUMMYFUNCTION("""COMPUTED_VALUE"""),443.0)</f>
        <v>443</v>
      </c>
      <c r="I4424" s="24" t="str">
        <f>IFERROR(__xludf.DUMMYFUNCTION("""COMPUTED_VALUE"""),"Dannon")</f>
        <v>Dannon</v>
      </c>
    </row>
    <row r="4425">
      <c r="A4425" s="23">
        <f>IFERROR(__xludf.DUMMYFUNCTION("""COMPUTED_VALUE"""),44915.0)</f>
        <v>44915</v>
      </c>
      <c r="B4425" s="24" t="str">
        <f>IFERROR(__xludf.DUMMYFUNCTION("""COMPUTED_VALUE"""),"Marci")</f>
        <v>Marci</v>
      </c>
      <c r="C4425" s="24">
        <f>IFERROR(__xludf.DUMMYFUNCTION("""COMPUTED_VALUE"""),20.0)</f>
        <v>20</v>
      </c>
      <c r="D4425" s="24" t="str">
        <f>IFERROR(__xludf.DUMMYFUNCTION("""COMPUTED_VALUE"""),"Regular (up to 20lbs)")</f>
        <v>Regular (up to 20lbs)</v>
      </c>
      <c r="F4425" s="23">
        <f>IFERROR(__xludf.DUMMYFUNCTION("""COMPUTED_VALUE"""),44922.60446846065)</f>
        <v>44922.60447</v>
      </c>
      <c r="G4425" s="24" t="str">
        <f>IFERROR(__xludf.DUMMYFUNCTION("""COMPUTED_VALUE"""),"Jean")</f>
        <v>Jean</v>
      </c>
      <c r="H4425" s="24">
        <f>IFERROR(__xludf.DUMMYFUNCTION("""COMPUTED_VALUE"""),188.0)</f>
        <v>188</v>
      </c>
      <c r="I4425" s="24" t="str">
        <f>IFERROR(__xludf.DUMMYFUNCTION("""COMPUTED_VALUE"""),"Dannon")</f>
        <v>Dannon</v>
      </c>
    </row>
    <row r="4426">
      <c r="A4426" s="23">
        <f>IFERROR(__xludf.DUMMYFUNCTION("""COMPUTED_VALUE"""),44915.0)</f>
        <v>44915</v>
      </c>
      <c r="B4426" s="24" t="str">
        <f>IFERROR(__xludf.DUMMYFUNCTION("""COMPUTED_VALUE"""),"Marci")</f>
        <v>Marci</v>
      </c>
      <c r="C4426" s="24">
        <f>IFERROR(__xludf.DUMMYFUNCTION("""COMPUTED_VALUE"""),46.0)</f>
        <v>46</v>
      </c>
      <c r="D4426" s="24" t="str">
        <f>IFERROR(__xludf.DUMMYFUNCTION("""COMPUTED_VALUE"""),"Damage/expired/extra")</f>
        <v>Damage/expired/extra</v>
      </c>
      <c r="F4426" s="23">
        <f>IFERROR(__xludf.DUMMYFUNCTION("""COMPUTED_VALUE"""),44922.60556974538)</f>
        <v>44922.60557</v>
      </c>
      <c r="G4426" s="24" t="str">
        <f>IFERROR(__xludf.DUMMYFUNCTION("""COMPUTED_VALUE"""),"Jean")</f>
        <v>Jean</v>
      </c>
      <c r="H4426" s="24">
        <f>IFERROR(__xludf.DUMMYFUNCTION("""COMPUTED_VALUE"""),2144.0)</f>
        <v>2144</v>
      </c>
      <c r="I4426" s="24" t="str">
        <f>IFERROR(__xludf.DUMMYFUNCTION("""COMPUTED_VALUE"""),"Dannon")</f>
        <v>Dannon</v>
      </c>
    </row>
    <row r="4427">
      <c r="A4427" s="23">
        <f>IFERROR(__xludf.DUMMYFUNCTION("""COMPUTED_VALUE"""),44915.70686332176)</f>
        <v>44915.70686</v>
      </c>
      <c r="B4427" s="24" t="str">
        <f>IFERROR(__xludf.DUMMYFUNCTION("""COMPUTED_VALUE"""),"Romaine Bouldin ")</f>
        <v>Romaine Bouldin </v>
      </c>
      <c r="C4427" s="24">
        <f>IFERROR(__xludf.DUMMYFUNCTION("""COMPUTED_VALUE"""),10.0)</f>
        <v>10</v>
      </c>
      <c r="D4427" s="24" t="str">
        <f>IFERROR(__xludf.DUMMYFUNCTION("""COMPUTED_VALUE"""),"Regular (up to 20lbs)")</f>
        <v>Regular (up to 20lbs)</v>
      </c>
      <c r="F4427" s="23">
        <f>IFERROR(__xludf.DUMMYFUNCTION("""COMPUTED_VALUE"""),44922.60648984954)</f>
        <v>44922.60649</v>
      </c>
      <c r="G4427" s="24" t="str">
        <f>IFERROR(__xludf.DUMMYFUNCTION("""COMPUTED_VALUE"""),"Jean")</f>
        <v>Jean</v>
      </c>
      <c r="H4427" s="24">
        <f>IFERROR(__xludf.DUMMYFUNCTION("""COMPUTED_VALUE"""),1770.0)</f>
        <v>1770</v>
      </c>
      <c r="I4427" s="24" t="str">
        <f>IFERROR(__xludf.DUMMYFUNCTION("""COMPUTED_VALUE"""),"Dannon")</f>
        <v>Dannon</v>
      </c>
    </row>
    <row r="4428">
      <c r="A4428" s="23">
        <f>IFERROR(__xludf.DUMMYFUNCTION("""COMPUTED_VALUE"""),44915.707101701395)</f>
        <v>44915.7071</v>
      </c>
      <c r="B4428" s="24" t="str">
        <f>IFERROR(__xludf.DUMMYFUNCTION("""COMPUTED_VALUE"""),"Romaine Bouldin ")</f>
        <v>Romaine Bouldin </v>
      </c>
      <c r="C4428" s="24">
        <f>IFERROR(__xludf.DUMMYFUNCTION("""COMPUTED_VALUE"""),14.0)</f>
        <v>14</v>
      </c>
      <c r="D4428" s="24" t="str">
        <f>IFERROR(__xludf.DUMMYFUNCTION("""COMPUTED_VALUE"""),"Damage/expired/extra")</f>
        <v>Damage/expired/extra</v>
      </c>
      <c r="F4428" s="23">
        <f>IFERROR(__xludf.DUMMYFUNCTION("""COMPUTED_VALUE"""),44922.6093747801)</f>
        <v>44922.60937</v>
      </c>
      <c r="G4428" s="24" t="str">
        <f>IFERROR(__xludf.DUMMYFUNCTION("""COMPUTED_VALUE"""),"Jean")</f>
        <v>Jean</v>
      </c>
      <c r="H4428" s="24">
        <f>IFERROR(__xludf.DUMMYFUNCTION("""COMPUTED_VALUE"""),1801.0)</f>
        <v>1801</v>
      </c>
      <c r="I4428" s="24" t="str">
        <f>IFERROR(__xludf.DUMMYFUNCTION("""COMPUTED_VALUE"""),"Dannon")</f>
        <v>Dannon</v>
      </c>
    </row>
    <row r="4429">
      <c r="A4429" s="23">
        <f>IFERROR(__xludf.DUMMYFUNCTION("""COMPUTED_VALUE"""),44915.70775480325)</f>
        <v>44915.70775</v>
      </c>
      <c r="B4429" s="24" t="str">
        <f>IFERROR(__xludf.DUMMYFUNCTION("""COMPUTED_VALUE"""),"Beverly Graham ")</f>
        <v>Beverly Graham </v>
      </c>
      <c r="C4429" s="24">
        <f>IFERROR(__xludf.DUMMYFUNCTION("""COMPUTED_VALUE"""),9.0)</f>
        <v>9</v>
      </c>
      <c r="D4429" s="24" t="str">
        <f>IFERROR(__xludf.DUMMYFUNCTION("""COMPUTED_VALUE"""),"Regular (up to 20lbs)")</f>
        <v>Regular (up to 20lbs)</v>
      </c>
      <c r="F4429" s="23">
        <f>IFERROR(__xludf.DUMMYFUNCTION("""COMPUTED_VALUE"""),44922.621153182874)</f>
        <v>44922.62115</v>
      </c>
      <c r="G4429" s="24" t="str">
        <f>IFERROR(__xludf.DUMMYFUNCTION("""COMPUTED_VALUE"""),"Jean")</f>
        <v>Jean</v>
      </c>
      <c r="H4429" s="24">
        <f>IFERROR(__xludf.DUMMYFUNCTION("""COMPUTED_VALUE"""),2010.0)</f>
        <v>2010</v>
      </c>
      <c r="I4429" s="24" t="str">
        <f>IFERROR(__xludf.DUMMYFUNCTION("""COMPUTED_VALUE"""),"Dannon")</f>
        <v>Dannon</v>
      </c>
    </row>
    <row r="4430">
      <c r="A4430" s="23">
        <f>IFERROR(__xludf.DUMMYFUNCTION("""COMPUTED_VALUE"""),44915.708191851845)</f>
        <v>44915.70819</v>
      </c>
      <c r="B4430" s="24" t="str">
        <f>IFERROR(__xludf.DUMMYFUNCTION("""COMPUTED_VALUE"""),"Beverly Graham ")</f>
        <v>Beverly Graham </v>
      </c>
      <c r="C4430" s="24">
        <f>IFERROR(__xludf.DUMMYFUNCTION("""COMPUTED_VALUE"""),9.0)</f>
        <v>9</v>
      </c>
      <c r="D4430" s="24" t="str">
        <f>IFERROR(__xludf.DUMMYFUNCTION("""COMPUTED_VALUE"""),"Damage/expired/extra")</f>
        <v>Damage/expired/extra</v>
      </c>
      <c r="F4430" s="23">
        <f>IFERROR(__xludf.DUMMYFUNCTION("""COMPUTED_VALUE"""),44922.621943460654)</f>
        <v>44922.62194</v>
      </c>
      <c r="G4430" s="24" t="str">
        <f>IFERROR(__xludf.DUMMYFUNCTION("""COMPUTED_VALUE"""),"Jean")</f>
        <v>Jean</v>
      </c>
      <c r="H4430" s="24">
        <f>IFERROR(__xludf.DUMMYFUNCTION("""COMPUTED_VALUE"""),35.0)</f>
        <v>35</v>
      </c>
      <c r="I4430" s="24" t="str">
        <f>IFERROR(__xludf.DUMMYFUNCTION("""COMPUTED_VALUE"""),"Dannon")</f>
        <v>Dannon</v>
      </c>
    </row>
    <row r="4431">
      <c r="A4431" s="23">
        <f>IFERROR(__xludf.DUMMYFUNCTION("""COMPUTED_VALUE"""),44915.70901153935)</f>
        <v>44915.70901</v>
      </c>
      <c r="B4431" s="24" t="str">
        <f>IFERROR(__xludf.DUMMYFUNCTION("""COMPUTED_VALUE"""),"Susan larson")</f>
        <v>Susan larson</v>
      </c>
      <c r="C4431" s="24">
        <f>IFERROR(__xludf.DUMMYFUNCTION("""COMPUTED_VALUE"""),13.0)</f>
        <v>13</v>
      </c>
      <c r="D4431" s="24" t="str">
        <f>IFERROR(__xludf.DUMMYFUNCTION("""COMPUTED_VALUE"""),"Regular (up to 20lbs)")</f>
        <v>Regular (up to 20lbs)</v>
      </c>
      <c r="F4431" s="23">
        <f>IFERROR(__xludf.DUMMYFUNCTION("""COMPUTED_VALUE"""),44922.62572931713)</f>
        <v>44922.62573</v>
      </c>
      <c r="G4431" s="24" t="str">
        <f>IFERROR(__xludf.DUMMYFUNCTION("""COMPUTED_VALUE"""),"Jean")</f>
        <v>Jean</v>
      </c>
      <c r="H4431" s="24">
        <f>IFERROR(__xludf.DUMMYFUNCTION("""COMPUTED_VALUE"""),2023.0)</f>
        <v>2023</v>
      </c>
      <c r="I4431" s="24" t="str">
        <f>IFERROR(__xludf.DUMMYFUNCTION("""COMPUTED_VALUE"""),"Dannon")</f>
        <v>Dannon</v>
      </c>
    </row>
    <row r="4432">
      <c r="A4432" s="23">
        <f>IFERROR(__xludf.DUMMYFUNCTION("""COMPUTED_VALUE"""),44915.709277245376)</f>
        <v>44915.70928</v>
      </c>
      <c r="B4432" s="24" t="str">
        <f>IFERROR(__xludf.DUMMYFUNCTION("""COMPUTED_VALUE"""),"Susan larson")</f>
        <v>Susan larson</v>
      </c>
      <c r="C4432" s="24">
        <f>IFERROR(__xludf.DUMMYFUNCTION("""COMPUTED_VALUE"""),8.0)</f>
        <v>8</v>
      </c>
      <c r="D4432" s="24" t="str">
        <f>IFERROR(__xludf.DUMMYFUNCTION("""COMPUTED_VALUE"""),"Damage/expired/extra")</f>
        <v>Damage/expired/extra</v>
      </c>
      <c r="F4432" s="23">
        <f>IFERROR(__xludf.DUMMYFUNCTION("""COMPUTED_VALUE"""),44922.64475699074)</f>
        <v>44922.64476</v>
      </c>
      <c r="G4432" s="24" t="str">
        <f>IFERROR(__xludf.DUMMYFUNCTION("""COMPUTED_VALUE"""),"Jean")</f>
        <v>Jean</v>
      </c>
      <c r="H4432" s="24">
        <f>IFERROR(__xludf.DUMMYFUNCTION("""COMPUTED_VALUE"""),2156.0)</f>
        <v>2156</v>
      </c>
      <c r="I4432" s="24" t="str">
        <f>IFERROR(__xludf.DUMMYFUNCTION("""COMPUTED_VALUE"""),"Dannon")</f>
        <v>Dannon</v>
      </c>
    </row>
    <row r="4433">
      <c r="A4433" s="23">
        <f>IFERROR(__xludf.DUMMYFUNCTION("""COMPUTED_VALUE"""),44915.714434814814)</f>
        <v>44915.71443</v>
      </c>
      <c r="B4433" s="24" t="str">
        <f>IFERROR(__xludf.DUMMYFUNCTION("""COMPUTED_VALUE"""),"Anna West")</f>
        <v>Anna West</v>
      </c>
      <c r="C4433" s="24">
        <f>IFERROR(__xludf.DUMMYFUNCTION("""COMPUTED_VALUE"""),20.0)</f>
        <v>20</v>
      </c>
      <c r="D4433" s="24" t="str">
        <f>IFERROR(__xludf.DUMMYFUNCTION("""COMPUTED_VALUE"""),"Regular (up to 20lbs)")</f>
        <v>Regular (up to 20lbs)</v>
      </c>
      <c r="F4433" s="23">
        <f>IFERROR(__xludf.DUMMYFUNCTION("""COMPUTED_VALUE"""),44922.64751548611)</f>
        <v>44922.64752</v>
      </c>
      <c r="G4433" s="24" t="str">
        <f>IFERROR(__xludf.DUMMYFUNCTION("""COMPUTED_VALUE"""),"Jean")</f>
        <v>Jean</v>
      </c>
      <c r="H4433" s="24">
        <f>IFERROR(__xludf.DUMMYFUNCTION("""COMPUTED_VALUE"""),1386.0)</f>
        <v>1386</v>
      </c>
      <c r="I4433" s="24" t="str">
        <f>IFERROR(__xludf.DUMMYFUNCTION("""COMPUTED_VALUE"""),"Drinks (fridge)")</f>
        <v>Drinks (fridge)</v>
      </c>
    </row>
    <row r="4434">
      <c r="A4434" s="23">
        <f>IFERROR(__xludf.DUMMYFUNCTION("""COMPUTED_VALUE"""),44915.71458959491)</f>
        <v>44915.71459</v>
      </c>
      <c r="B4434" s="24" t="str">
        <f>IFERROR(__xludf.DUMMYFUNCTION("""COMPUTED_VALUE"""),"Anna West")</f>
        <v>Anna West</v>
      </c>
      <c r="C4434" s="24">
        <f>IFERROR(__xludf.DUMMYFUNCTION("""COMPUTED_VALUE"""),33.0)</f>
        <v>33</v>
      </c>
      <c r="D4434" s="24" t="str">
        <f>IFERROR(__xludf.DUMMYFUNCTION("""COMPUTED_VALUE"""),"Damage/expired/extra")</f>
        <v>Damage/expired/extra</v>
      </c>
      <c r="F4434" s="23">
        <f>IFERROR(__xludf.DUMMYFUNCTION("""COMPUTED_VALUE"""),44922.648618206025)</f>
        <v>44922.64862</v>
      </c>
      <c r="G4434" s="24" t="str">
        <f>IFERROR(__xludf.DUMMYFUNCTION("""COMPUTED_VALUE"""),"Jean")</f>
        <v>Jean</v>
      </c>
      <c r="H4434" s="24">
        <f>IFERROR(__xludf.DUMMYFUNCTION("""COMPUTED_VALUE"""),2144.0)</f>
        <v>2144</v>
      </c>
      <c r="I4434" s="24" t="str">
        <f>IFERROR(__xludf.DUMMYFUNCTION("""COMPUTED_VALUE"""),"Drinks (fridge)")</f>
        <v>Drinks (fridge)</v>
      </c>
    </row>
    <row r="4435">
      <c r="A4435" s="23">
        <f>IFERROR(__xludf.DUMMYFUNCTION("""COMPUTED_VALUE"""),44915.71871439815)</f>
        <v>44915.71871</v>
      </c>
      <c r="B4435" s="24" t="str">
        <f>IFERROR(__xludf.DUMMYFUNCTION("""COMPUTED_VALUE"""),"Beverly Pinn")</f>
        <v>Beverly Pinn</v>
      </c>
      <c r="C4435" s="24">
        <f>IFERROR(__xludf.DUMMYFUNCTION("""COMPUTED_VALUE"""),20.0)</f>
        <v>20</v>
      </c>
      <c r="D4435" s="24" t="str">
        <f>IFERROR(__xludf.DUMMYFUNCTION("""COMPUTED_VALUE"""),"Regular (up to 20lbs)")</f>
        <v>Regular (up to 20lbs)</v>
      </c>
      <c r="F4435" s="23">
        <f>IFERROR(__xludf.DUMMYFUNCTION("""COMPUTED_VALUE"""),44922.64944773148)</f>
        <v>44922.64945</v>
      </c>
      <c r="G4435" s="24" t="str">
        <f>IFERROR(__xludf.DUMMYFUNCTION("""COMPUTED_VALUE"""),"Jean")</f>
        <v>Jean</v>
      </c>
      <c r="H4435" s="24">
        <f>IFERROR(__xludf.DUMMYFUNCTION("""COMPUTED_VALUE"""),1566.0)</f>
        <v>1566</v>
      </c>
      <c r="I4435" s="24" t="str">
        <f>IFERROR(__xludf.DUMMYFUNCTION("""COMPUTED_VALUE"""),"Drinks (fridge)")</f>
        <v>Drinks (fridge)</v>
      </c>
    </row>
    <row r="4436">
      <c r="A4436" s="23">
        <f>IFERROR(__xludf.DUMMYFUNCTION("""COMPUTED_VALUE"""),44915.71906186343)</f>
        <v>44915.71906</v>
      </c>
      <c r="B4436" s="24" t="str">
        <f>IFERROR(__xludf.DUMMYFUNCTION("""COMPUTED_VALUE"""),"Beverly Pinn")</f>
        <v>Beverly Pinn</v>
      </c>
      <c r="C4436" s="24">
        <f>IFERROR(__xludf.DUMMYFUNCTION("""COMPUTED_VALUE"""),40.0)</f>
        <v>40</v>
      </c>
      <c r="D4436" s="24" t="str">
        <f>IFERROR(__xludf.DUMMYFUNCTION("""COMPUTED_VALUE"""),"Damage/expired/extra")</f>
        <v>Damage/expired/extra</v>
      </c>
      <c r="F4436" s="23">
        <f>IFERROR(__xludf.DUMMYFUNCTION("""COMPUTED_VALUE"""),44922.650164178245)</f>
        <v>44922.65016</v>
      </c>
      <c r="G4436" s="24" t="str">
        <f>IFERROR(__xludf.DUMMYFUNCTION("""COMPUTED_VALUE"""),"Jean")</f>
        <v>Jean</v>
      </c>
      <c r="H4436" s="24">
        <f>IFERROR(__xludf.DUMMYFUNCTION("""COMPUTED_VALUE"""),2023.0)</f>
        <v>2023</v>
      </c>
      <c r="I4436" s="24" t="str">
        <f>IFERROR(__xludf.DUMMYFUNCTION("""COMPUTED_VALUE"""),"Drinks (fridge)")</f>
        <v>Drinks (fridge)</v>
      </c>
    </row>
    <row r="4437">
      <c r="A4437" s="23">
        <f>IFERROR(__xludf.DUMMYFUNCTION("""COMPUTED_VALUE"""),44916.57209730324)</f>
        <v>44916.5721</v>
      </c>
      <c r="B4437" s="24" t="str">
        <f>IFERROR(__xludf.DUMMYFUNCTION("""COMPUTED_VALUE"""),"Bud Stracker")</f>
        <v>Bud Stracker</v>
      </c>
      <c r="C4437" s="24">
        <f>IFERROR(__xludf.DUMMYFUNCTION("""COMPUTED_VALUE"""),2.0)</f>
        <v>2</v>
      </c>
      <c r="D4437" s="24" t="str">
        <f>IFERROR(__xludf.DUMMYFUNCTION("""COMPUTED_VALUE"""),"Regular (up to 20lbs)")</f>
        <v>Regular (up to 20lbs)</v>
      </c>
      <c r="F4437" s="23">
        <f>IFERROR(__xludf.DUMMYFUNCTION("""COMPUTED_VALUE"""),44922.65091737268)</f>
        <v>44922.65092</v>
      </c>
      <c r="G4437" s="24" t="str">
        <f>IFERROR(__xludf.DUMMYFUNCTION("""COMPUTED_VALUE"""),"Jean")</f>
        <v>Jean</v>
      </c>
      <c r="H4437" s="24">
        <f>IFERROR(__xludf.DUMMYFUNCTION("""COMPUTED_VALUE"""),462.0)</f>
        <v>462</v>
      </c>
      <c r="I4437" s="24" t="str">
        <f>IFERROR(__xludf.DUMMYFUNCTION("""COMPUTED_VALUE"""),"Dairy")</f>
        <v>Dairy</v>
      </c>
    </row>
    <row r="4438">
      <c r="A4438" s="23">
        <f>IFERROR(__xludf.DUMMYFUNCTION("""COMPUTED_VALUE"""),44916.749470625)</f>
        <v>44916.74947</v>
      </c>
      <c r="B4438" s="24" t="str">
        <f>IFERROR(__xludf.DUMMYFUNCTION("""COMPUTED_VALUE"""),"Karen")</f>
        <v>Karen</v>
      </c>
      <c r="C4438" s="24">
        <f>IFERROR(__xludf.DUMMYFUNCTION("""COMPUTED_VALUE"""),7.0)</f>
        <v>7</v>
      </c>
      <c r="D4438" s="24" t="str">
        <f>IFERROR(__xludf.DUMMYFUNCTION("""COMPUTED_VALUE"""),"Regular (up to 20lbs)")</f>
        <v>Regular (up to 20lbs)</v>
      </c>
      <c r="F4438" s="23">
        <f>IFERROR(__xludf.DUMMYFUNCTION("""COMPUTED_VALUE"""),44922.6835502662)</f>
        <v>44922.68355</v>
      </c>
      <c r="G4438" s="24" t="str">
        <f>IFERROR(__xludf.DUMMYFUNCTION("""COMPUTED_VALUE"""),"Rosemary Hendricks")</f>
        <v>Rosemary Hendricks</v>
      </c>
      <c r="H4438" s="24">
        <f>IFERROR(__xludf.DUMMYFUNCTION("""COMPUTED_VALUE"""),13.0)</f>
        <v>13</v>
      </c>
      <c r="I4438" s="24" t="str">
        <f>IFERROR(__xludf.DUMMYFUNCTION("""COMPUTED_VALUE"""),"Regular (up to 20lbs)")</f>
        <v>Regular (up to 20lbs)</v>
      </c>
    </row>
    <row r="4439">
      <c r="A4439" s="23">
        <f>IFERROR(__xludf.DUMMYFUNCTION("""COMPUTED_VALUE"""),44916.0)</f>
        <v>44916</v>
      </c>
      <c r="B4439" s="24" t="str">
        <f>IFERROR(__xludf.DUMMYFUNCTION("""COMPUTED_VALUE"""),"Juanita Chandler ")</f>
        <v>Juanita Chandler </v>
      </c>
      <c r="C4439" s="24">
        <f>IFERROR(__xludf.DUMMYFUNCTION("""COMPUTED_VALUE"""),7.0)</f>
        <v>7</v>
      </c>
      <c r="D4439" s="24" t="str">
        <f>IFERROR(__xludf.DUMMYFUNCTION("""COMPUTED_VALUE"""),"Regular (up to 20lbs)")</f>
        <v>Regular (up to 20lbs)</v>
      </c>
      <c r="F4439" s="23">
        <f>IFERROR(__xludf.DUMMYFUNCTION("""COMPUTED_VALUE"""),44922.68627450232)</f>
        <v>44922.68627</v>
      </c>
      <c r="G4439" s="24" t="str">
        <f>IFERROR(__xludf.DUMMYFUNCTION("""COMPUTED_VALUE"""),"Susan larson")</f>
        <v>Susan larson</v>
      </c>
      <c r="H4439" s="24">
        <f>IFERROR(__xludf.DUMMYFUNCTION("""COMPUTED_VALUE"""),19.0)</f>
        <v>19</v>
      </c>
      <c r="I4439" s="24" t="str">
        <f>IFERROR(__xludf.DUMMYFUNCTION("""COMPUTED_VALUE"""),"Regular (up to 20lbs)")</f>
        <v>Regular (up to 20lbs)</v>
      </c>
    </row>
    <row r="4440">
      <c r="A4440" s="23">
        <f>IFERROR(__xludf.DUMMYFUNCTION("""COMPUTED_VALUE"""),44916.0)</f>
        <v>44916</v>
      </c>
      <c r="B4440" s="24" t="str">
        <f>IFERROR(__xludf.DUMMYFUNCTION("""COMPUTED_VALUE"""),"Juanita Chandler ")</f>
        <v>Juanita Chandler </v>
      </c>
      <c r="C4440" s="24">
        <f>IFERROR(__xludf.DUMMYFUNCTION("""COMPUTED_VALUE"""),13.0)</f>
        <v>13</v>
      </c>
      <c r="D4440" s="24" t="str">
        <f>IFERROR(__xludf.DUMMYFUNCTION("""COMPUTED_VALUE"""),"Damage/expired/extra")</f>
        <v>Damage/expired/extra</v>
      </c>
      <c r="F4440" s="23">
        <f>IFERROR(__xludf.DUMMYFUNCTION("""COMPUTED_VALUE"""),44922.686546365745)</f>
        <v>44922.68655</v>
      </c>
      <c r="G4440" s="24" t="str">
        <f>IFERROR(__xludf.DUMMYFUNCTION("""COMPUTED_VALUE"""),"Susan larson")</f>
        <v>Susan larson</v>
      </c>
      <c r="H4440" s="24">
        <f>IFERROR(__xludf.DUMMYFUNCTION("""COMPUTED_VALUE"""),7.0)</f>
        <v>7</v>
      </c>
      <c r="I4440" s="24" t="str">
        <f>IFERROR(__xludf.DUMMYFUNCTION("""COMPUTED_VALUE"""),"Damage/expired/extra")</f>
        <v>Damage/expired/extra</v>
      </c>
    </row>
    <row r="4441">
      <c r="A4441" s="23">
        <f>IFERROR(__xludf.DUMMYFUNCTION("""COMPUTED_VALUE"""),44916.0)</f>
        <v>44916</v>
      </c>
      <c r="B4441" s="24" t="str">
        <f>IFERROR(__xludf.DUMMYFUNCTION("""COMPUTED_VALUE"""),"Sarah K")</f>
        <v>Sarah K</v>
      </c>
      <c r="C4441" s="24">
        <f>IFERROR(__xludf.DUMMYFUNCTION("""COMPUTED_VALUE"""),13.0)</f>
        <v>13</v>
      </c>
      <c r="D4441" s="24" t="str">
        <f>IFERROR(__xludf.DUMMYFUNCTION("""COMPUTED_VALUE"""),"Regular (up to 20lbs)")</f>
        <v>Regular (up to 20lbs)</v>
      </c>
      <c r="F4441" s="23">
        <f>IFERROR(__xludf.DUMMYFUNCTION("""COMPUTED_VALUE"""),44922.68713333333)</f>
        <v>44922.68713</v>
      </c>
      <c r="G4441" s="24" t="str">
        <f>IFERROR(__xludf.DUMMYFUNCTION("""COMPUTED_VALUE"""),"Beverly Pinn")</f>
        <v>Beverly Pinn</v>
      </c>
      <c r="H4441" s="24">
        <f>IFERROR(__xludf.DUMMYFUNCTION("""COMPUTED_VALUE"""),20.0)</f>
        <v>20</v>
      </c>
      <c r="I4441" s="24" t="str">
        <f>IFERROR(__xludf.DUMMYFUNCTION("""COMPUTED_VALUE"""),"Regular (up to 20lbs)")</f>
        <v>Regular (up to 20lbs)</v>
      </c>
    </row>
    <row r="4442">
      <c r="A4442" s="23">
        <f>IFERROR(__xludf.DUMMYFUNCTION("""COMPUTED_VALUE"""),44916.90111800926)</f>
        <v>44916.90112</v>
      </c>
      <c r="B4442" s="24" t="str">
        <f>IFERROR(__xludf.DUMMYFUNCTION("""COMPUTED_VALUE"""),"Connor Gephart")</f>
        <v>Connor Gephart</v>
      </c>
      <c r="C4442" s="24">
        <f>IFERROR(__xludf.DUMMYFUNCTION("""COMPUTED_VALUE"""),7.0)</f>
        <v>7</v>
      </c>
      <c r="D4442" s="24" t="str">
        <f>IFERROR(__xludf.DUMMYFUNCTION("""COMPUTED_VALUE"""),"Regular (up to 20lbs)")</f>
        <v>Regular (up to 20lbs)</v>
      </c>
      <c r="F4442" s="23">
        <f>IFERROR(__xludf.DUMMYFUNCTION("""COMPUTED_VALUE"""),44922.6872168287)</f>
        <v>44922.68722</v>
      </c>
      <c r="G4442" s="24" t="str">
        <f>IFERROR(__xludf.DUMMYFUNCTION("""COMPUTED_VALUE"""),"Romaine Bouldin ")</f>
        <v>Romaine Bouldin </v>
      </c>
      <c r="H4442" s="24">
        <f>IFERROR(__xludf.DUMMYFUNCTION("""COMPUTED_VALUE"""),12.0)</f>
        <v>12</v>
      </c>
      <c r="I4442" s="24" t="str">
        <f>IFERROR(__xludf.DUMMYFUNCTION("""COMPUTED_VALUE"""),"Regular (up to 20lbs)")</f>
        <v>Regular (up to 20lbs)</v>
      </c>
    </row>
    <row r="4443">
      <c r="A4443" s="23">
        <f>IFERROR(__xludf.DUMMYFUNCTION("""COMPUTED_VALUE"""),44916.90572138889)</f>
        <v>44916.90572</v>
      </c>
      <c r="B4443" s="24" t="str">
        <f>IFERROR(__xludf.DUMMYFUNCTION("""COMPUTED_VALUE"""),"Beverly Pinn")</f>
        <v>Beverly Pinn</v>
      </c>
      <c r="C4443" s="24">
        <f>IFERROR(__xludf.DUMMYFUNCTION("""COMPUTED_VALUE"""),20.0)</f>
        <v>20</v>
      </c>
      <c r="D4443" s="24" t="str">
        <f>IFERROR(__xludf.DUMMYFUNCTION("""COMPUTED_VALUE"""),"Regular (up to 20lbs)")</f>
        <v>Regular (up to 20lbs)</v>
      </c>
      <c r="F4443" s="23">
        <f>IFERROR(__xludf.DUMMYFUNCTION("""COMPUTED_VALUE"""),44922.68726510417)</f>
        <v>44922.68727</v>
      </c>
      <c r="G4443" s="24" t="str">
        <f>IFERROR(__xludf.DUMMYFUNCTION("""COMPUTED_VALUE"""),"Beverly Pinn")</f>
        <v>Beverly Pinn</v>
      </c>
      <c r="H4443" s="24">
        <f>IFERROR(__xludf.DUMMYFUNCTION("""COMPUTED_VALUE"""),6.0)</f>
        <v>6</v>
      </c>
      <c r="I4443" s="24" t="str">
        <f>IFERROR(__xludf.DUMMYFUNCTION("""COMPUTED_VALUE"""),"Damage/expired/extra")</f>
        <v>Damage/expired/extra</v>
      </c>
    </row>
    <row r="4444">
      <c r="A4444" s="23">
        <f>IFERROR(__xludf.DUMMYFUNCTION("""COMPUTED_VALUE"""),44916.91404229166)</f>
        <v>44916.91404</v>
      </c>
      <c r="B4444" s="24" t="str">
        <f>IFERROR(__xludf.DUMMYFUNCTION("""COMPUTED_VALUE"""),"Lynwood McDaniel ")</f>
        <v>Lynwood McDaniel </v>
      </c>
      <c r="C4444" s="24">
        <f>IFERROR(__xludf.DUMMYFUNCTION("""COMPUTED_VALUE"""),13.0)</f>
        <v>13</v>
      </c>
      <c r="D4444" s="24" t="str">
        <f>IFERROR(__xludf.DUMMYFUNCTION("""COMPUTED_VALUE"""),"Regular (up to 20lbs)")</f>
        <v>Regular (up to 20lbs)</v>
      </c>
      <c r="F4444" s="23">
        <f>IFERROR(__xludf.DUMMYFUNCTION("""COMPUTED_VALUE"""),44922.68794877315)</f>
        <v>44922.68795</v>
      </c>
      <c r="G4444" s="24" t="str">
        <f>IFERROR(__xludf.DUMMYFUNCTION("""COMPUTED_VALUE"""),"Beverly Graham ")</f>
        <v>Beverly Graham </v>
      </c>
      <c r="H4444" s="24">
        <f>IFERROR(__xludf.DUMMYFUNCTION("""COMPUTED_VALUE"""),11.0)</f>
        <v>11</v>
      </c>
      <c r="I4444" s="24" t="str">
        <f>IFERROR(__xludf.DUMMYFUNCTION("""COMPUTED_VALUE"""),"Regular (up to 20lbs)")</f>
        <v>Regular (up to 20lbs)</v>
      </c>
    </row>
    <row r="4445">
      <c r="A4445" s="23">
        <f>IFERROR(__xludf.DUMMYFUNCTION("""COMPUTED_VALUE"""),44916.91422377315)</f>
        <v>44916.91422</v>
      </c>
      <c r="B4445" s="24" t="str">
        <f>IFERROR(__xludf.DUMMYFUNCTION("""COMPUTED_VALUE"""),"Luke mayhew ")</f>
        <v>Luke mayhew </v>
      </c>
      <c r="C4445" s="24">
        <f>IFERROR(__xludf.DUMMYFUNCTION("""COMPUTED_VALUE"""),19.0)</f>
        <v>19</v>
      </c>
      <c r="D4445" s="24" t="str">
        <f>IFERROR(__xludf.DUMMYFUNCTION("""COMPUTED_VALUE"""),"Regular (up to 20lbs)")</f>
        <v>Regular (up to 20lbs)</v>
      </c>
      <c r="F4445" s="23">
        <f>IFERROR(__xludf.DUMMYFUNCTION("""COMPUTED_VALUE"""),44922.69094567129)</f>
        <v>44922.69095</v>
      </c>
      <c r="G4445" s="24" t="str">
        <f>IFERROR(__xludf.DUMMYFUNCTION("""COMPUTED_VALUE"""),"Jean")</f>
        <v>Jean</v>
      </c>
      <c r="H4445" s="24">
        <f>IFERROR(__xludf.DUMMYFUNCTION("""COMPUTED_VALUE"""),5.0)</f>
        <v>5</v>
      </c>
      <c r="I4445" s="24" t="str">
        <f>IFERROR(__xludf.DUMMYFUNCTION("""COMPUTED_VALUE"""),"Regular (up to 20lbs)")</f>
        <v>Regular (up to 20lbs)</v>
      </c>
    </row>
    <row r="4446">
      <c r="A4446" s="23">
        <f>IFERROR(__xludf.DUMMYFUNCTION("""COMPUTED_VALUE"""),44916.91435172454)</f>
        <v>44916.91435</v>
      </c>
      <c r="B4446" s="24" t="str">
        <f>IFERROR(__xludf.DUMMYFUNCTION("""COMPUTED_VALUE"""),"Luke mayhew")</f>
        <v>Luke mayhew</v>
      </c>
      <c r="C4446" s="24">
        <f>IFERROR(__xludf.DUMMYFUNCTION("""COMPUTED_VALUE"""),20.0)</f>
        <v>20</v>
      </c>
      <c r="D4446" s="24" t="str">
        <f>IFERROR(__xludf.DUMMYFUNCTION("""COMPUTED_VALUE"""),"Damage/expired/extra")</f>
        <v>Damage/expired/extra</v>
      </c>
      <c r="F4446" s="23">
        <f>IFERROR(__xludf.DUMMYFUNCTION("""COMPUTED_VALUE"""),44922.69104207176)</f>
        <v>44922.69104</v>
      </c>
      <c r="G4446" s="24" t="str">
        <f>IFERROR(__xludf.DUMMYFUNCTION("""COMPUTED_VALUE"""),"Anna West")</f>
        <v>Anna West</v>
      </c>
      <c r="H4446" s="24">
        <f>IFERROR(__xludf.DUMMYFUNCTION("""COMPUTED_VALUE"""),19.0)</f>
        <v>19</v>
      </c>
      <c r="I4446" s="24" t="str">
        <f>IFERROR(__xludf.DUMMYFUNCTION("""COMPUTED_VALUE"""),"Regular (up to 20lbs)")</f>
        <v>Regular (up to 20lbs)</v>
      </c>
    </row>
    <row r="4447">
      <c r="A4447" s="23">
        <f>IFERROR(__xludf.DUMMYFUNCTION("""COMPUTED_VALUE"""),44916.91480622685)</f>
        <v>44916.91481</v>
      </c>
      <c r="B4447" s="24" t="str">
        <f>IFERROR(__xludf.DUMMYFUNCTION("""COMPUTED_VALUE"""),"Kate Weeks ")</f>
        <v>Kate Weeks </v>
      </c>
      <c r="C4447" s="24">
        <f>IFERROR(__xludf.DUMMYFUNCTION("""COMPUTED_VALUE"""),20.0)</f>
        <v>20</v>
      </c>
      <c r="D4447" s="24" t="str">
        <f>IFERROR(__xludf.DUMMYFUNCTION("""COMPUTED_VALUE"""),"Regular (up to 20lbs)")</f>
        <v>Regular (up to 20lbs)</v>
      </c>
      <c r="F4447" s="23">
        <f>IFERROR(__xludf.DUMMYFUNCTION("""COMPUTED_VALUE"""),44922.69121377315)</f>
        <v>44922.69121</v>
      </c>
      <c r="G4447" s="24" t="str">
        <f>IFERROR(__xludf.DUMMYFUNCTION("""COMPUTED_VALUE"""),"Anna West")</f>
        <v>Anna West</v>
      </c>
      <c r="H4447" s="24">
        <f>IFERROR(__xludf.DUMMYFUNCTION("""COMPUTED_VALUE"""),4.0)</f>
        <v>4</v>
      </c>
      <c r="I4447" s="24" t="str">
        <f>IFERROR(__xludf.DUMMYFUNCTION("""COMPUTED_VALUE"""),"Damage/expired/extra")</f>
        <v>Damage/expired/extra</v>
      </c>
    </row>
    <row r="4448">
      <c r="A4448" s="23">
        <f>IFERROR(__xludf.DUMMYFUNCTION("""COMPUTED_VALUE"""),44916.91492489583)</f>
        <v>44916.91492</v>
      </c>
      <c r="B4448" s="24" t="str">
        <f>IFERROR(__xludf.DUMMYFUNCTION("""COMPUTED_VALUE"""),"Kate Weeks")</f>
        <v>Kate Weeks</v>
      </c>
      <c r="C4448" s="24">
        <f>IFERROR(__xludf.DUMMYFUNCTION("""COMPUTED_VALUE"""),15.0)</f>
        <v>15</v>
      </c>
      <c r="D4448" s="24" t="str">
        <f>IFERROR(__xludf.DUMMYFUNCTION("""COMPUTED_VALUE"""),"Damage/expired/extra")</f>
        <v>Damage/expired/extra</v>
      </c>
      <c r="F4448" s="23">
        <f>IFERROR(__xludf.DUMMYFUNCTION("""COMPUTED_VALUE"""),44922.691260520834)</f>
        <v>44922.69126</v>
      </c>
      <c r="G4448" s="24" t="str">
        <f>IFERROR(__xludf.DUMMYFUNCTION("""COMPUTED_VALUE"""),"Jean")</f>
        <v>Jean</v>
      </c>
      <c r="H4448" s="24">
        <f>IFERROR(__xludf.DUMMYFUNCTION("""COMPUTED_VALUE"""),1.0)</f>
        <v>1</v>
      </c>
      <c r="I4448" s="24" t="str">
        <f>IFERROR(__xludf.DUMMYFUNCTION("""COMPUTED_VALUE"""),"Damage/expired/extra")</f>
        <v>Damage/expired/extra</v>
      </c>
    </row>
    <row r="4449">
      <c r="A4449" s="23">
        <f>IFERROR(__xludf.DUMMYFUNCTION("""COMPUTED_VALUE"""),44916.0)</f>
        <v>44916</v>
      </c>
      <c r="B4449" s="24" t="str">
        <f>IFERROR(__xludf.DUMMYFUNCTION("""COMPUTED_VALUE"""),"Tina P")</f>
        <v>Tina P</v>
      </c>
      <c r="C4449" s="24">
        <f>IFERROR(__xludf.DUMMYFUNCTION("""COMPUTED_VALUE"""),14.0)</f>
        <v>14</v>
      </c>
      <c r="D4449" s="24" t="str">
        <f>IFERROR(__xludf.DUMMYFUNCTION("""COMPUTED_VALUE"""),"Regular (up to 20lbs)")</f>
        <v>Regular (up to 20lbs)</v>
      </c>
      <c r="F4449" s="23">
        <f>IFERROR(__xludf.DUMMYFUNCTION("""COMPUTED_VALUE"""),44922.69207112269)</f>
        <v>44922.69207</v>
      </c>
      <c r="G4449" s="24" t="str">
        <f>IFERROR(__xludf.DUMMYFUNCTION("""COMPUTED_VALUE"""),"Yulia")</f>
        <v>Yulia</v>
      </c>
      <c r="H4449" s="24">
        <f>IFERROR(__xludf.DUMMYFUNCTION("""COMPUTED_VALUE"""),20.0)</f>
        <v>20</v>
      </c>
      <c r="I4449" s="24" t="str">
        <f>IFERROR(__xludf.DUMMYFUNCTION("""COMPUTED_VALUE"""),"Regular (up to 20lbs)")</f>
        <v>Regular (up to 20lbs)</v>
      </c>
    </row>
    <row r="4450">
      <c r="A4450" s="23">
        <f>IFERROR(__xludf.DUMMYFUNCTION("""COMPUTED_VALUE"""),44916.0)</f>
        <v>44916</v>
      </c>
      <c r="B4450" s="24" t="str">
        <f>IFERROR(__xludf.DUMMYFUNCTION("""COMPUTED_VALUE"""),"Janet Lomax")</f>
        <v>Janet Lomax</v>
      </c>
      <c r="C4450" s="24">
        <f>IFERROR(__xludf.DUMMYFUNCTION("""COMPUTED_VALUE"""),20.0)</f>
        <v>20</v>
      </c>
      <c r="D4450" s="24" t="str">
        <f>IFERROR(__xludf.DUMMYFUNCTION("""COMPUTED_VALUE"""),"Regular (up to 20lbs)")</f>
        <v>Regular (up to 20lbs)</v>
      </c>
      <c r="F4450" s="23">
        <f>IFERROR(__xludf.DUMMYFUNCTION("""COMPUTED_VALUE"""),44922.69417027778)</f>
        <v>44922.69417</v>
      </c>
      <c r="G4450" s="24" t="str">
        <f>IFERROR(__xludf.DUMMYFUNCTION("""COMPUTED_VALUE"""),"Kaneesha ")</f>
        <v>Kaneesha </v>
      </c>
      <c r="H4450" s="24">
        <f>IFERROR(__xludf.DUMMYFUNCTION("""COMPUTED_VALUE"""),20.0)</f>
        <v>20</v>
      </c>
      <c r="I4450" s="24" t="str">
        <f>IFERROR(__xludf.DUMMYFUNCTION("""COMPUTED_VALUE"""),"Regular (up to 20lbs)")</f>
        <v>Regular (up to 20lbs)</v>
      </c>
    </row>
    <row r="4451">
      <c r="A4451" s="23">
        <f>IFERROR(__xludf.DUMMYFUNCTION("""COMPUTED_VALUE"""),44916.0)</f>
        <v>44916</v>
      </c>
      <c r="B4451" s="24" t="str">
        <f>IFERROR(__xludf.DUMMYFUNCTION("""COMPUTED_VALUE"""),"Janet Lomax")</f>
        <v>Janet Lomax</v>
      </c>
      <c r="C4451" s="24">
        <f>IFERROR(__xludf.DUMMYFUNCTION("""COMPUTED_VALUE"""),4.0)</f>
        <v>4</v>
      </c>
      <c r="D4451" s="24" t="str">
        <f>IFERROR(__xludf.DUMMYFUNCTION("""COMPUTED_VALUE"""),"Damage/expired/extra")</f>
        <v>Damage/expired/extra</v>
      </c>
      <c r="F4451" s="23">
        <f>IFERROR(__xludf.DUMMYFUNCTION("""COMPUTED_VALUE"""),44922.69437856481)</f>
        <v>44922.69438</v>
      </c>
      <c r="G4451" s="24" t="str">
        <f>IFERROR(__xludf.DUMMYFUNCTION("""COMPUTED_VALUE"""),"Kaneesha ")</f>
        <v>Kaneesha </v>
      </c>
      <c r="H4451" s="24">
        <f>IFERROR(__xludf.DUMMYFUNCTION("""COMPUTED_VALUE"""),16.0)</f>
        <v>16</v>
      </c>
      <c r="I4451" s="24" t="str">
        <f>IFERROR(__xludf.DUMMYFUNCTION("""COMPUTED_VALUE"""),"Damage/expired/extra")</f>
        <v>Damage/expired/extra</v>
      </c>
    </row>
    <row r="4452">
      <c r="A4452" s="23">
        <f>IFERROR(__xludf.DUMMYFUNCTION("""COMPUTED_VALUE"""),44916.0)</f>
        <v>44916</v>
      </c>
      <c r="B4452" s="24" t="str">
        <f>IFERROR(__xludf.DUMMYFUNCTION("""COMPUTED_VALUE"""),"Melissa Thomas")</f>
        <v>Melissa Thomas</v>
      </c>
      <c r="C4452" s="24">
        <f>IFERROR(__xludf.DUMMYFUNCTION("""COMPUTED_VALUE"""),20.0)</f>
        <v>20</v>
      </c>
      <c r="D4452" s="24" t="str">
        <f>IFERROR(__xludf.DUMMYFUNCTION("""COMPUTED_VALUE"""),"Regular (up to 20lbs)")</f>
        <v>Regular (up to 20lbs)</v>
      </c>
      <c r="F4452" s="23">
        <f>IFERROR(__xludf.DUMMYFUNCTION("""COMPUTED_VALUE"""),44923.0)</f>
        <v>44923</v>
      </c>
      <c r="G4452" s="24" t="str">
        <f>IFERROR(__xludf.DUMMYFUNCTION("""COMPUTED_VALUE"""),"Juanita Chandler ")</f>
        <v>Juanita Chandler </v>
      </c>
      <c r="H4452" s="24">
        <f>IFERROR(__xludf.DUMMYFUNCTION("""COMPUTED_VALUE"""),10.0)</f>
        <v>10</v>
      </c>
      <c r="I4452" s="24" t="str">
        <f>IFERROR(__xludf.DUMMYFUNCTION("""COMPUTED_VALUE"""),"Regular (up to 20lbs)")</f>
        <v>Regular (up to 20lbs)</v>
      </c>
    </row>
    <row r="4453">
      <c r="A4453" s="23">
        <f>IFERROR(__xludf.DUMMYFUNCTION("""COMPUTED_VALUE"""),44916.0)</f>
        <v>44916</v>
      </c>
      <c r="B4453" s="24" t="str">
        <f>IFERROR(__xludf.DUMMYFUNCTION("""COMPUTED_VALUE"""),"Melissa Thomas")</f>
        <v>Melissa Thomas</v>
      </c>
      <c r="C4453" s="24">
        <f>IFERROR(__xludf.DUMMYFUNCTION("""COMPUTED_VALUE"""),11.0)</f>
        <v>11</v>
      </c>
      <c r="D4453" s="24" t="str">
        <f>IFERROR(__xludf.DUMMYFUNCTION("""COMPUTED_VALUE"""),"Damage/expired/extra")</f>
        <v>Damage/expired/extra</v>
      </c>
      <c r="F4453" s="23">
        <f>IFERROR(__xludf.DUMMYFUNCTION("""COMPUTED_VALUE"""),44923.0)</f>
        <v>44923</v>
      </c>
      <c r="G4453" s="24" t="str">
        <f>IFERROR(__xludf.DUMMYFUNCTION("""COMPUTED_VALUE"""),"Juanita Chandler ")</f>
        <v>Juanita Chandler </v>
      </c>
      <c r="H4453" s="24">
        <f>IFERROR(__xludf.DUMMYFUNCTION("""COMPUTED_VALUE"""),18.0)</f>
        <v>18</v>
      </c>
      <c r="I4453" s="24" t="str">
        <f>IFERROR(__xludf.DUMMYFUNCTION("""COMPUTED_VALUE"""),"Damage/expired/extra")</f>
        <v>Damage/expired/extra</v>
      </c>
    </row>
    <row r="4454">
      <c r="A4454" s="23">
        <f>IFERROR(__xludf.DUMMYFUNCTION("""COMPUTED_VALUE"""),44916.0)</f>
        <v>44916</v>
      </c>
      <c r="B4454" s="24" t="str">
        <f>IFERROR(__xludf.DUMMYFUNCTION("""COMPUTED_VALUE"""),"Deidre")</f>
        <v>Deidre</v>
      </c>
      <c r="C4454" s="24">
        <f>IFERROR(__xludf.DUMMYFUNCTION("""COMPUTED_VALUE"""),8.0)</f>
        <v>8</v>
      </c>
      <c r="D4454" s="24" t="str">
        <f>IFERROR(__xludf.DUMMYFUNCTION("""COMPUTED_VALUE"""),"Regular (up to 20lbs)")</f>
        <v>Regular (up to 20lbs)</v>
      </c>
      <c r="F4454" s="23">
        <f>IFERROR(__xludf.DUMMYFUNCTION("""COMPUTED_VALUE"""),44923.0)</f>
        <v>44923</v>
      </c>
      <c r="G4454" s="24" t="str">
        <f>IFERROR(__xludf.DUMMYFUNCTION("""COMPUTED_VALUE"""),"Dee Satterfield")</f>
        <v>Dee Satterfield</v>
      </c>
      <c r="H4454" s="24">
        <f>IFERROR(__xludf.DUMMYFUNCTION("""COMPUTED_VALUE"""),13.0)</f>
        <v>13</v>
      </c>
      <c r="I4454" s="24" t="str">
        <f>IFERROR(__xludf.DUMMYFUNCTION("""COMPUTED_VALUE"""),"Regular (up to 20lbs)")</f>
        <v>Regular (up to 20lbs)</v>
      </c>
    </row>
    <row r="4455">
      <c r="A4455" s="23">
        <f>IFERROR(__xludf.DUMMYFUNCTION("""COMPUTED_VALUE"""),44916.0)</f>
        <v>44916</v>
      </c>
      <c r="B4455" s="24" t="str">
        <f>IFERROR(__xludf.DUMMYFUNCTION("""COMPUTED_VALUE"""),"Deidre")</f>
        <v>Deidre</v>
      </c>
      <c r="C4455" s="24">
        <f>IFERROR(__xludf.DUMMYFUNCTION("""COMPUTED_VALUE"""),7.0)</f>
        <v>7</v>
      </c>
      <c r="D4455" s="24" t="str">
        <f>IFERROR(__xludf.DUMMYFUNCTION("""COMPUTED_VALUE"""),"Damage/expired/extra")</f>
        <v>Damage/expired/extra</v>
      </c>
      <c r="F4455" s="23">
        <f>IFERROR(__xludf.DUMMYFUNCTION("""COMPUTED_VALUE"""),44923.0)</f>
        <v>44923</v>
      </c>
      <c r="G4455" s="24" t="str">
        <f>IFERROR(__xludf.DUMMYFUNCTION("""COMPUTED_VALUE"""),"Dee Satterfield")</f>
        <v>Dee Satterfield</v>
      </c>
      <c r="H4455" s="24">
        <f>IFERROR(__xludf.DUMMYFUNCTION("""COMPUTED_VALUE"""),7.0)</f>
        <v>7</v>
      </c>
      <c r="I4455" s="24" t="str">
        <f>IFERROR(__xludf.DUMMYFUNCTION("""COMPUTED_VALUE"""),"Damage/expired/extra")</f>
        <v>Damage/expired/extra</v>
      </c>
    </row>
    <row r="4456">
      <c r="A4456" s="23">
        <f>IFERROR(__xludf.DUMMYFUNCTION("""COMPUTED_VALUE"""),44916.0)</f>
        <v>44916</v>
      </c>
      <c r="B4456" s="24" t="str">
        <f>IFERROR(__xludf.DUMMYFUNCTION("""COMPUTED_VALUE"""),"Tracey Wilkins")</f>
        <v>Tracey Wilkins</v>
      </c>
      <c r="C4456" s="24">
        <f>IFERROR(__xludf.DUMMYFUNCTION("""COMPUTED_VALUE"""),14.0)</f>
        <v>14</v>
      </c>
      <c r="D4456" s="24" t="str">
        <f>IFERROR(__xludf.DUMMYFUNCTION("""COMPUTED_VALUE"""),"Regular (up to 20lbs)")</f>
        <v>Regular (up to 20lbs)</v>
      </c>
      <c r="F4456" s="23">
        <f>IFERROR(__xludf.DUMMYFUNCTION("""COMPUTED_VALUE"""),44923.62496800926)</f>
        <v>44923.62497</v>
      </c>
      <c r="G4456" s="24" t="str">
        <f>IFERROR(__xludf.DUMMYFUNCTION("""COMPUTED_VALUE"""),"JUANITA Chandler ")</f>
        <v>JUANITA Chandler </v>
      </c>
      <c r="H4456" s="24">
        <f>IFERROR(__xludf.DUMMYFUNCTION("""COMPUTED_VALUE"""),1235.0)</f>
        <v>1235</v>
      </c>
      <c r="I4456" s="24" t="str">
        <f>IFERROR(__xludf.DUMMYFUNCTION("""COMPUTED_VALUE"""),"DOLE Fruit Cup ")</f>
        <v>DOLE Fruit Cup </v>
      </c>
    </row>
    <row r="4457">
      <c r="A4457" s="23">
        <f>IFERROR(__xludf.DUMMYFUNCTION("""COMPUTED_VALUE"""),44916.0)</f>
        <v>44916</v>
      </c>
      <c r="B4457" s="24" t="str">
        <f>IFERROR(__xludf.DUMMYFUNCTION("""COMPUTED_VALUE"""),"Tracey Wilkins")</f>
        <v>Tracey Wilkins</v>
      </c>
      <c r="C4457" s="24">
        <f>IFERROR(__xludf.DUMMYFUNCTION("""COMPUTED_VALUE"""),28.0)</f>
        <v>28</v>
      </c>
      <c r="D4457" s="24" t="str">
        <f>IFERROR(__xludf.DUMMYFUNCTION("""COMPUTED_VALUE"""),"Damage/expired/extra")</f>
        <v>Damage/expired/extra</v>
      </c>
      <c r="F4457" s="23">
        <f>IFERROR(__xludf.DUMMYFUNCTION("""COMPUTED_VALUE"""),44923.627004999995)</f>
        <v>44923.62701</v>
      </c>
      <c r="G4457" s="24" t="str">
        <f>IFERROR(__xludf.DUMMYFUNCTION("""COMPUTED_VALUE"""),"JUANITA Chandler ")</f>
        <v>JUANITA Chandler </v>
      </c>
      <c r="H4457" s="24">
        <f>IFERROR(__xludf.DUMMYFUNCTION("""COMPUTED_VALUE"""),90.0)</f>
        <v>90</v>
      </c>
      <c r="I4457" s="24" t="str">
        <f>IFERROR(__xludf.DUMMYFUNCTION("""COMPUTED_VALUE"""),"Assorted Dry")</f>
        <v>Assorted Dry</v>
      </c>
    </row>
    <row r="4458">
      <c r="A4458" s="23">
        <f>IFERROR(__xludf.DUMMYFUNCTION("""COMPUTED_VALUE"""),44916.0)</f>
        <v>44916</v>
      </c>
      <c r="B4458" s="24" t="str">
        <f>IFERROR(__xludf.DUMMYFUNCTION("""COMPUTED_VALUE"""),"Gilda Castillo")</f>
        <v>Gilda Castillo</v>
      </c>
      <c r="C4458" s="24">
        <f>IFERROR(__xludf.DUMMYFUNCTION("""COMPUTED_VALUE"""),14.0)</f>
        <v>14</v>
      </c>
      <c r="D4458" s="24" t="str">
        <f>IFERROR(__xludf.DUMMYFUNCTION("""COMPUTED_VALUE"""),"Regular (up to 20lbs)")</f>
        <v>Regular (up to 20lbs)</v>
      </c>
      <c r="F4458" s="23">
        <f>IFERROR(__xludf.DUMMYFUNCTION("""COMPUTED_VALUE"""),44923.62771217593)</f>
        <v>44923.62771</v>
      </c>
      <c r="G4458" s="24" t="str">
        <f>IFERROR(__xludf.DUMMYFUNCTION("""COMPUTED_VALUE"""),"JUANITA Chandler ")</f>
        <v>JUANITA Chandler </v>
      </c>
      <c r="H4458" s="24">
        <f>IFERROR(__xludf.DUMMYFUNCTION("""COMPUTED_VALUE"""),149.0)</f>
        <v>149</v>
      </c>
      <c r="I4458" s="24" t="str">
        <f>IFERROR(__xludf.DUMMYFUNCTION("""COMPUTED_VALUE"""),"Assorted Dry")</f>
        <v>Assorted Dry</v>
      </c>
    </row>
    <row r="4459">
      <c r="A4459" s="23">
        <f>IFERROR(__xludf.DUMMYFUNCTION("""COMPUTED_VALUE"""),44916.0)</f>
        <v>44916</v>
      </c>
      <c r="B4459" s="24" t="str">
        <f>IFERROR(__xludf.DUMMYFUNCTION("""COMPUTED_VALUE"""),"Gilda Castillo")</f>
        <v>Gilda Castillo</v>
      </c>
      <c r="C4459" s="24">
        <f>IFERROR(__xludf.DUMMYFUNCTION("""COMPUTED_VALUE"""),5.0)</f>
        <v>5</v>
      </c>
      <c r="D4459" s="24" t="str">
        <f>IFERROR(__xludf.DUMMYFUNCTION("""COMPUTED_VALUE"""),"Damage/expired/extra")</f>
        <v>Damage/expired/extra</v>
      </c>
      <c r="F4459" s="23">
        <f>IFERROR(__xludf.DUMMYFUNCTION("""COMPUTED_VALUE"""),44923.62832664351)</f>
        <v>44923.62833</v>
      </c>
      <c r="G4459" s="24" t="str">
        <f>IFERROR(__xludf.DUMMYFUNCTION("""COMPUTED_VALUE"""),"JUANITA Chandler ")</f>
        <v>JUANITA Chandler </v>
      </c>
      <c r="H4459" s="24">
        <f>IFERROR(__xludf.DUMMYFUNCTION("""COMPUTED_VALUE"""),49.0)</f>
        <v>49</v>
      </c>
      <c r="I4459" s="24" t="str">
        <f>IFERROR(__xludf.DUMMYFUNCTION("""COMPUTED_VALUE"""),"Assorted Dry")</f>
        <v>Assorted Dry</v>
      </c>
    </row>
    <row r="4460">
      <c r="A4460" s="23">
        <f>IFERROR(__xludf.DUMMYFUNCTION("""COMPUTED_VALUE"""),44916.0)</f>
        <v>44916</v>
      </c>
      <c r="B4460" s="24" t="str">
        <f>IFERROR(__xludf.DUMMYFUNCTION("""COMPUTED_VALUE"""),"Angeles Cortes")</f>
        <v>Angeles Cortes</v>
      </c>
      <c r="C4460" s="24">
        <f>IFERROR(__xludf.DUMMYFUNCTION("""COMPUTED_VALUE"""),17.0)</f>
        <v>17</v>
      </c>
      <c r="D4460" s="24" t="str">
        <f>IFERROR(__xludf.DUMMYFUNCTION("""COMPUTED_VALUE"""),"Regular (up to 20lbs)")</f>
        <v>Regular (up to 20lbs)</v>
      </c>
      <c r="F4460" s="23">
        <f>IFERROR(__xludf.DUMMYFUNCTION("""COMPUTED_VALUE"""),44923.629150266206)</f>
        <v>44923.62915</v>
      </c>
      <c r="G4460" s="24" t="str">
        <f>IFERROR(__xludf.DUMMYFUNCTION("""COMPUTED_VALUE"""),"JUANITA Chandler ")</f>
        <v>JUANITA Chandler </v>
      </c>
      <c r="H4460" s="24">
        <f>IFERROR(__xludf.DUMMYFUNCTION("""COMPUTED_VALUE"""),239.0)</f>
        <v>239</v>
      </c>
      <c r="I4460" s="24" t="str">
        <f>IFERROR(__xludf.DUMMYFUNCTION("""COMPUTED_VALUE"""),"Frozen [Not Meat]")</f>
        <v>Frozen [Not Meat]</v>
      </c>
    </row>
    <row r="4461">
      <c r="A4461" s="23">
        <f>IFERROR(__xludf.DUMMYFUNCTION("""COMPUTED_VALUE"""),44916.0)</f>
        <v>44916</v>
      </c>
      <c r="B4461" s="24" t="str">
        <f>IFERROR(__xludf.DUMMYFUNCTION("""COMPUTED_VALUE"""),"Angeles Cortes")</f>
        <v>Angeles Cortes</v>
      </c>
      <c r="C4461" s="24">
        <f>IFERROR(__xludf.DUMMYFUNCTION("""COMPUTED_VALUE"""),12.0)</f>
        <v>12</v>
      </c>
      <c r="D4461" s="24" t="str">
        <f>IFERROR(__xludf.DUMMYFUNCTION("""COMPUTED_VALUE"""),"Damage/expired/extra")</f>
        <v>Damage/expired/extra</v>
      </c>
      <c r="F4461" s="23">
        <f>IFERROR(__xludf.DUMMYFUNCTION("""COMPUTED_VALUE"""),44923.62981755788)</f>
        <v>44923.62982</v>
      </c>
      <c r="G4461" s="24" t="str">
        <f>IFERROR(__xludf.DUMMYFUNCTION("""COMPUTED_VALUE"""),"JUANITA Chandler ")</f>
        <v>JUANITA Chandler </v>
      </c>
      <c r="H4461" s="24">
        <f>IFERROR(__xludf.DUMMYFUNCTION("""COMPUTED_VALUE"""),853.0)</f>
        <v>853</v>
      </c>
      <c r="I4461" s="24" t="str">
        <f>IFERROR(__xludf.DUMMYFUNCTION("""COMPUTED_VALUE"""),"Dairy")</f>
        <v>Dairy</v>
      </c>
    </row>
    <row r="4462">
      <c r="A4462" s="23">
        <f>IFERROR(__xludf.DUMMYFUNCTION("""COMPUTED_VALUE"""),44917.628577881944)</f>
        <v>44917.62858</v>
      </c>
      <c r="B4462" s="24" t="str">
        <f>IFERROR(__xludf.DUMMYFUNCTION("""COMPUTED_VALUE"""),"Lynnette c")</f>
        <v>Lynnette c</v>
      </c>
      <c r="C4462" s="24">
        <f>IFERROR(__xludf.DUMMYFUNCTION("""COMPUTED_VALUE"""),25.0)</f>
        <v>25</v>
      </c>
      <c r="D4462" s="24" t="str">
        <f>IFERROR(__xludf.DUMMYFUNCTION("""COMPUTED_VALUE"""),"Damage/expired/extra")</f>
        <v>Damage/expired/extra</v>
      </c>
      <c r="F4462" s="23">
        <f>IFERROR(__xludf.DUMMYFUNCTION("""COMPUTED_VALUE"""),44923.630798356484)</f>
        <v>44923.6308</v>
      </c>
      <c r="G4462" s="24" t="str">
        <f>IFERROR(__xludf.DUMMYFUNCTION("""COMPUTED_VALUE"""),"JUANITA Chandler ")</f>
        <v>JUANITA Chandler </v>
      </c>
      <c r="H4462" s="24">
        <f>IFERROR(__xludf.DUMMYFUNCTION("""COMPUTED_VALUE"""),764.0)</f>
        <v>764</v>
      </c>
      <c r="I4462" s="24" t="str">
        <f>IFERROR(__xludf.DUMMYFUNCTION("""COMPUTED_VALUE"""),"Dole  Fruit Cup ")</f>
        <v>Dole  Fruit Cup </v>
      </c>
    </row>
    <row r="4463">
      <c r="A4463" s="23">
        <f>IFERROR(__xludf.DUMMYFUNCTION("""COMPUTED_VALUE"""),44917.62876097223)</f>
        <v>44917.62876</v>
      </c>
      <c r="B4463" s="24" t="str">
        <f>IFERROR(__xludf.DUMMYFUNCTION("""COMPUTED_VALUE"""),"Lynnett")</f>
        <v>Lynnett</v>
      </c>
      <c r="C4463" s="24">
        <f>IFERROR(__xludf.DUMMYFUNCTION("""COMPUTED_VALUE"""),18.0)</f>
        <v>18</v>
      </c>
      <c r="D4463" s="24" t="str">
        <f>IFERROR(__xludf.DUMMYFUNCTION("""COMPUTED_VALUE"""),"Regular (up to 20lbs)")</f>
        <v>Regular (up to 20lbs)</v>
      </c>
      <c r="F4463" s="23">
        <f>IFERROR(__xludf.DUMMYFUNCTION("""COMPUTED_VALUE"""),44923.63141258102)</f>
        <v>44923.63141</v>
      </c>
      <c r="G4463" s="24" t="str">
        <f>IFERROR(__xludf.DUMMYFUNCTION("""COMPUTED_VALUE"""),"JUANITA Chandler ")</f>
        <v>JUANITA Chandler </v>
      </c>
      <c r="H4463" s="24">
        <f>IFERROR(__xludf.DUMMYFUNCTION("""COMPUTED_VALUE"""),231.0)</f>
        <v>231</v>
      </c>
      <c r="I4463" s="24" t="str">
        <f>IFERROR(__xludf.DUMMYFUNCTION("""COMPUTED_VALUE"""),"Frozen [Not Meat]")</f>
        <v>Frozen [Not Meat]</v>
      </c>
    </row>
    <row r="4464">
      <c r="A4464" s="23">
        <f>IFERROR(__xludf.DUMMYFUNCTION("""COMPUTED_VALUE"""),44917.698257199074)</f>
        <v>44917.69826</v>
      </c>
      <c r="B4464" s="24" t="str">
        <f>IFERROR(__xludf.DUMMYFUNCTION("""COMPUTED_VALUE"""),"Jean")</f>
        <v>Jean</v>
      </c>
      <c r="C4464" s="24">
        <f>IFERROR(__xludf.DUMMYFUNCTION("""COMPUTED_VALUE"""),50.0)</f>
        <v>50</v>
      </c>
      <c r="D4464" s="24" t="str">
        <f>IFERROR(__xludf.DUMMYFUNCTION("""COMPUTED_VALUE"""),"Regular (up to 20lbs)")</f>
        <v>Regular (up to 20lbs)</v>
      </c>
      <c r="F4464" s="23">
        <f>IFERROR(__xludf.DUMMYFUNCTION("""COMPUTED_VALUE"""),44923.63183363425)</f>
        <v>44923.63183</v>
      </c>
      <c r="G4464" s="24" t="str">
        <f>IFERROR(__xludf.DUMMYFUNCTION("""COMPUTED_VALUE"""),"JUANITA Chandler ")</f>
        <v>JUANITA Chandler </v>
      </c>
      <c r="H4464" s="24">
        <f>IFERROR(__xludf.DUMMYFUNCTION("""COMPUTED_VALUE"""),864.0)</f>
        <v>864</v>
      </c>
      <c r="I4464" s="24" t="str">
        <f>IFERROR(__xludf.DUMMYFUNCTION("""COMPUTED_VALUE"""),"Dairy")</f>
        <v>Dairy</v>
      </c>
    </row>
    <row r="4465">
      <c r="A4465" s="23">
        <f>IFERROR(__xludf.DUMMYFUNCTION("""COMPUTED_VALUE"""),44917.69849952546)</f>
        <v>44917.6985</v>
      </c>
      <c r="B4465" s="24" t="str">
        <f>IFERROR(__xludf.DUMMYFUNCTION("""COMPUTED_VALUE"""),"Jean")</f>
        <v>Jean</v>
      </c>
      <c r="C4465" s="24">
        <f>IFERROR(__xludf.DUMMYFUNCTION("""COMPUTED_VALUE"""),18.0)</f>
        <v>18</v>
      </c>
      <c r="D4465" s="24" t="str">
        <f>IFERROR(__xludf.DUMMYFUNCTION("""COMPUTED_VALUE"""),"Damage/expired/extra")</f>
        <v>Damage/expired/extra</v>
      </c>
      <c r="F4465" s="23">
        <f>IFERROR(__xludf.DUMMYFUNCTION("""COMPUTED_VALUE"""),44923.63711481482)</f>
        <v>44923.63711</v>
      </c>
      <c r="G4465" s="24" t="str">
        <f>IFERROR(__xludf.DUMMYFUNCTION("""COMPUTED_VALUE"""),"JUANITA Chandler ")</f>
        <v>JUANITA Chandler </v>
      </c>
      <c r="H4465" s="24">
        <f>IFERROR(__xludf.DUMMYFUNCTION("""COMPUTED_VALUE"""),30.0)</f>
        <v>30</v>
      </c>
      <c r="I4465" s="24" t="str">
        <f>IFERROR(__xludf.DUMMYFUNCTION("""COMPUTED_VALUE"""),"Food Donation  David Greenway")</f>
        <v>Food Donation  David Greenway</v>
      </c>
    </row>
    <row r="4466">
      <c r="A4466" s="23">
        <f>IFERROR(__xludf.DUMMYFUNCTION("""COMPUTED_VALUE"""),44917.69987693287)</f>
        <v>44917.69988</v>
      </c>
      <c r="B4466" s="24" t="str">
        <f>IFERROR(__xludf.DUMMYFUNCTION("""COMPUTED_VALUE"""),"Norma ")</f>
        <v>Norma </v>
      </c>
      <c r="C4466" s="24">
        <f>IFERROR(__xludf.DUMMYFUNCTION("""COMPUTED_VALUE"""),10.0)</f>
        <v>10</v>
      </c>
      <c r="D4466" s="24" t="str">
        <f>IFERROR(__xludf.DUMMYFUNCTION("""COMPUTED_VALUE"""),"Regular (up to 20lbs)")</f>
        <v>Regular (up to 20lbs)</v>
      </c>
      <c r="F4466" s="23">
        <f>IFERROR(__xludf.DUMMYFUNCTION("""COMPUTED_VALUE"""),44923.668532164345)</f>
        <v>44923.66853</v>
      </c>
      <c r="G4466" s="24" t="str">
        <f>IFERROR(__xludf.DUMMYFUNCTION("""COMPUTED_VALUE"""),"Bud- Sisson st dpw drinks ")</f>
        <v>Bud- Sisson st dpw drinks </v>
      </c>
      <c r="H4466" s="24">
        <f>IFERROR(__xludf.DUMMYFUNCTION("""COMPUTED_VALUE"""),10.0)</f>
        <v>10</v>
      </c>
      <c r="I4466" s="24" t="str">
        <f>IFERROR(__xludf.DUMMYFUNCTION("""COMPUTED_VALUE"""),"Regular (up to 20lbs)")</f>
        <v>Regular (up to 20lbs)</v>
      </c>
    </row>
    <row r="4467">
      <c r="A4467" s="23">
        <f>IFERROR(__xludf.DUMMYFUNCTION("""COMPUTED_VALUE"""),44922.0)</f>
        <v>44922</v>
      </c>
      <c r="B4467" s="24" t="str">
        <f>IFERROR(__xludf.DUMMYFUNCTION("""COMPUTED_VALUE"""),"Susan larson")</f>
        <v>Susan larson</v>
      </c>
      <c r="C4467" s="24">
        <f>IFERROR(__xludf.DUMMYFUNCTION("""COMPUTED_VALUE"""),19.0)</f>
        <v>19</v>
      </c>
      <c r="D4467" s="24" t="str">
        <f>IFERROR(__xludf.DUMMYFUNCTION("""COMPUTED_VALUE"""),"Regular (up to 20lbs)")</f>
        <v>Regular (up to 20lbs)</v>
      </c>
      <c r="F4467" s="23">
        <f>IFERROR(__xludf.DUMMYFUNCTION("""COMPUTED_VALUE"""),44923.67092041667)</f>
        <v>44923.67092</v>
      </c>
      <c r="G4467" s="24" t="str">
        <f>IFERROR(__xludf.DUMMYFUNCTION("""COMPUTED_VALUE"""),"Bud Stracker-personal ")</f>
        <v>Bud Stracker-personal </v>
      </c>
      <c r="H4467" s="24">
        <f>IFERROR(__xludf.DUMMYFUNCTION("""COMPUTED_VALUE"""),4.0)</f>
        <v>4</v>
      </c>
      <c r="I4467" s="24" t="str">
        <f>IFERROR(__xludf.DUMMYFUNCTION("""COMPUTED_VALUE"""),"Regular (up to 20lbs)")</f>
        <v>Regular (up to 20lbs)</v>
      </c>
    </row>
    <row r="4468">
      <c r="A4468" s="23">
        <f>IFERROR(__xludf.DUMMYFUNCTION("""COMPUTED_VALUE"""),44922.0)</f>
        <v>44922</v>
      </c>
      <c r="B4468" s="24" t="str">
        <f>IFERROR(__xludf.DUMMYFUNCTION("""COMPUTED_VALUE"""),"Susan larson")</f>
        <v>Susan larson</v>
      </c>
      <c r="C4468" s="24">
        <f>IFERROR(__xludf.DUMMYFUNCTION("""COMPUTED_VALUE"""),7.0)</f>
        <v>7</v>
      </c>
      <c r="D4468" s="24" t="str">
        <f>IFERROR(__xludf.DUMMYFUNCTION("""COMPUTED_VALUE"""),"Damage/expired/extra")</f>
        <v>Damage/expired/extra</v>
      </c>
      <c r="F4468" s="23">
        <f>IFERROR(__xludf.DUMMYFUNCTION("""COMPUTED_VALUE"""),44923.80780016204)</f>
        <v>44923.8078</v>
      </c>
      <c r="G4468" s="24" t="str">
        <f>IFERROR(__xludf.DUMMYFUNCTION("""COMPUTED_VALUE"""),"Tina paquet")</f>
        <v>Tina paquet</v>
      </c>
      <c r="H4468" s="24">
        <f>IFERROR(__xludf.DUMMYFUNCTION("""COMPUTED_VALUE"""),5.0)</f>
        <v>5</v>
      </c>
      <c r="I4468" s="24" t="str">
        <f>IFERROR(__xludf.DUMMYFUNCTION("""COMPUTED_VALUE"""),"Regular (up to 20lbs)")</f>
        <v>Regular (up to 20lbs)</v>
      </c>
    </row>
    <row r="4469">
      <c r="A4469" s="23">
        <f>IFERROR(__xludf.DUMMYFUNCTION("""COMPUTED_VALUE"""),44922.0)</f>
        <v>44922</v>
      </c>
      <c r="B4469" s="24" t="str">
        <f>IFERROR(__xludf.DUMMYFUNCTION("""COMPUTED_VALUE"""),"Marci")</f>
        <v>Marci</v>
      </c>
      <c r="C4469" s="24">
        <f>IFERROR(__xludf.DUMMYFUNCTION("""COMPUTED_VALUE"""),17.0)</f>
        <v>17</v>
      </c>
      <c r="D4469" s="24" t="str">
        <f>IFERROR(__xludf.DUMMYFUNCTION("""COMPUTED_VALUE"""),"Regular (up to 20lbs)")</f>
        <v>Regular (up to 20lbs)</v>
      </c>
      <c r="F4469" s="23">
        <f>IFERROR(__xludf.DUMMYFUNCTION("""COMPUTED_VALUE"""),44923.80805180556)</f>
        <v>44923.80805</v>
      </c>
      <c r="G4469" s="24" t="str">
        <f>IFERROR(__xludf.DUMMYFUNCTION("""COMPUTED_VALUE"""),"Tina p")</f>
        <v>Tina p</v>
      </c>
      <c r="H4469" s="24">
        <f>IFERROR(__xludf.DUMMYFUNCTION("""COMPUTED_VALUE"""),11.0)</f>
        <v>11</v>
      </c>
      <c r="I4469" s="24" t="str">
        <f>IFERROR(__xludf.DUMMYFUNCTION("""COMPUTED_VALUE"""),"Damage/expired/extra")</f>
        <v>Damage/expired/extra</v>
      </c>
    </row>
    <row r="4470">
      <c r="A4470" s="23">
        <f>IFERROR(__xludf.DUMMYFUNCTION("""COMPUTED_VALUE"""),44922.0)</f>
        <v>44922</v>
      </c>
      <c r="B4470" s="24" t="str">
        <f>IFERROR(__xludf.DUMMYFUNCTION("""COMPUTED_VALUE"""),"Marci")</f>
        <v>Marci</v>
      </c>
      <c r="C4470" s="24">
        <f>IFERROR(__xludf.DUMMYFUNCTION("""COMPUTED_VALUE"""),17.0)</f>
        <v>17</v>
      </c>
      <c r="D4470" s="24" t="str">
        <f>IFERROR(__xludf.DUMMYFUNCTION("""COMPUTED_VALUE"""),"Damage/expired/extra")</f>
        <v>Damage/expired/extra</v>
      </c>
      <c r="F4470" s="23">
        <f>IFERROR(__xludf.DUMMYFUNCTION("""COMPUTED_VALUE"""),44923.810011712965)</f>
        <v>44923.81001</v>
      </c>
      <c r="G4470" s="24" t="str">
        <f>IFERROR(__xludf.DUMMYFUNCTION("""COMPUTED_VALUE"""),"Luke mayhew ")</f>
        <v>Luke mayhew </v>
      </c>
      <c r="H4470" s="24">
        <f>IFERROR(__xludf.DUMMYFUNCTION("""COMPUTED_VALUE"""),18.0)</f>
        <v>18</v>
      </c>
      <c r="I4470" s="24" t="str">
        <f>IFERROR(__xludf.DUMMYFUNCTION("""COMPUTED_VALUE"""),"Regular (up to 20lbs)")</f>
        <v>Regular (up to 20lbs)</v>
      </c>
    </row>
    <row r="4471">
      <c r="A4471" s="23">
        <f>IFERROR(__xludf.DUMMYFUNCTION("""COMPUTED_VALUE"""),44922.6835502662)</f>
        <v>44922.68355</v>
      </c>
      <c r="B4471" s="24" t="str">
        <f>IFERROR(__xludf.DUMMYFUNCTION("""COMPUTED_VALUE"""),"Rosemary Hendricks")</f>
        <v>Rosemary Hendricks</v>
      </c>
      <c r="C4471" s="24">
        <f>IFERROR(__xludf.DUMMYFUNCTION("""COMPUTED_VALUE"""),13.0)</f>
        <v>13</v>
      </c>
      <c r="D4471" s="24" t="str">
        <f>IFERROR(__xludf.DUMMYFUNCTION("""COMPUTED_VALUE"""),"Regular (up to 20lbs)")</f>
        <v>Regular (up to 20lbs)</v>
      </c>
      <c r="F4471" s="23">
        <f>IFERROR(__xludf.DUMMYFUNCTION("""COMPUTED_VALUE"""),44923.810279467594)</f>
        <v>44923.81028</v>
      </c>
      <c r="G4471" s="24" t="str">
        <f>IFERROR(__xludf.DUMMYFUNCTION("""COMPUTED_VALUE"""),"Luke mayhew ")</f>
        <v>Luke mayhew </v>
      </c>
      <c r="H4471" s="24">
        <f>IFERROR(__xludf.DUMMYFUNCTION("""COMPUTED_VALUE"""),9.0)</f>
        <v>9</v>
      </c>
      <c r="I4471" s="24" t="str">
        <f>IFERROR(__xludf.DUMMYFUNCTION("""COMPUTED_VALUE"""),"Damage/expired/extra")</f>
        <v>Damage/expired/extra</v>
      </c>
    </row>
    <row r="4472">
      <c r="A4472" s="23">
        <f>IFERROR(__xludf.DUMMYFUNCTION("""COMPUTED_VALUE"""),44922.68627450232)</f>
        <v>44922.68627</v>
      </c>
      <c r="B4472" s="24" t="str">
        <f>IFERROR(__xludf.DUMMYFUNCTION("""COMPUTED_VALUE"""),"Susan larson")</f>
        <v>Susan larson</v>
      </c>
      <c r="C4472" s="24">
        <f>IFERROR(__xludf.DUMMYFUNCTION("""COMPUTED_VALUE"""),19.0)</f>
        <v>19</v>
      </c>
      <c r="D4472" s="24" t="str">
        <f>IFERROR(__xludf.DUMMYFUNCTION("""COMPUTED_VALUE"""),"Regular (up to 20lbs)")</f>
        <v>Regular (up to 20lbs)</v>
      </c>
      <c r="F4472" s="23">
        <f>IFERROR(__xludf.DUMMYFUNCTION("""COMPUTED_VALUE"""),44924.0)</f>
        <v>44924</v>
      </c>
      <c r="G4472" s="24" t="str">
        <f>IFERROR(__xludf.DUMMYFUNCTION("""COMPUTED_VALUE"""),"Obi Nwokoro")</f>
        <v>Obi Nwokoro</v>
      </c>
      <c r="H4472" s="24">
        <f>IFERROR(__xludf.DUMMYFUNCTION("""COMPUTED_VALUE"""),14.0)</f>
        <v>14</v>
      </c>
      <c r="I4472" s="24" t="str">
        <f>IFERROR(__xludf.DUMMYFUNCTION("""COMPUTED_VALUE"""),"Damage/expired/extra")</f>
        <v>Damage/expired/extra</v>
      </c>
    </row>
    <row r="4473">
      <c r="A4473" s="23">
        <f>IFERROR(__xludf.DUMMYFUNCTION("""COMPUTED_VALUE"""),44922.686546365745)</f>
        <v>44922.68655</v>
      </c>
      <c r="B4473" s="24" t="str">
        <f>IFERROR(__xludf.DUMMYFUNCTION("""COMPUTED_VALUE"""),"Susan larson")</f>
        <v>Susan larson</v>
      </c>
      <c r="C4473" s="24">
        <f>IFERROR(__xludf.DUMMYFUNCTION("""COMPUTED_VALUE"""),7.0)</f>
        <v>7</v>
      </c>
      <c r="D4473" s="24" t="str">
        <f>IFERROR(__xludf.DUMMYFUNCTION("""COMPUTED_VALUE"""),"Damage/expired/extra")</f>
        <v>Damage/expired/extra</v>
      </c>
      <c r="F4473" s="23">
        <f>IFERROR(__xludf.DUMMYFUNCTION("""COMPUTED_VALUE"""),44924.0)</f>
        <v>44924</v>
      </c>
      <c r="G4473" s="24" t="str">
        <f>IFERROR(__xludf.DUMMYFUNCTION("""COMPUTED_VALUE"""),"Raquel Bailey")</f>
        <v>Raquel Bailey</v>
      </c>
      <c r="H4473" s="24">
        <f>IFERROR(__xludf.DUMMYFUNCTION("""COMPUTED_VALUE"""),18.0)</f>
        <v>18</v>
      </c>
      <c r="I4473" s="24" t="str">
        <f>IFERROR(__xludf.DUMMYFUNCTION("""COMPUTED_VALUE"""),"Regular (up to 20lbs)")</f>
        <v>Regular (up to 20lbs)</v>
      </c>
    </row>
    <row r="4474">
      <c r="A4474" s="23">
        <f>IFERROR(__xludf.DUMMYFUNCTION("""COMPUTED_VALUE"""),44922.68713333333)</f>
        <v>44922.68713</v>
      </c>
      <c r="B4474" s="24" t="str">
        <f>IFERROR(__xludf.DUMMYFUNCTION("""COMPUTED_VALUE"""),"Beverly Pinn")</f>
        <v>Beverly Pinn</v>
      </c>
      <c r="C4474" s="24">
        <f>IFERROR(__xludf.DUMMYFUNCTION("""COMPUTED_VALUE"""),20.0)</f>
        <v>20</v>
      </c>
      <c r="D4474" s="24" t="str">
        <f>IFERROR(__xludf.DUMMYFUNCTION("""COMPUTED_VALUE"""),"Regular (up to 20lbs)")</f>
        <v>Regular (up to 20lbs)</v>
      </c>
      <c r="F4474" s="23">
        <f>IFERROR(__xludf.DUMMYFUNCTION("""COMPUTED_VALUE"""),44924.0)</f>
        <v>44924</v>
      </c>
      <c r="G4474" s="24" t="str">
        <f>IFERROR(__xludf.DUMMYFUNCTION("""COMPUTED_VALUE"""),"Melissa Thomas")</f>
        <v>Melissa Thomas</v>
      </c>
      <c r="H4474" s="24">
        <f>IFERROR(__xludf.DUMMYFUNCTION("""COMPUTED_VALUE"""),20.0)</f>
        <v>20</v>
      </c>
      <c r="I4474" s="24" t="str">
        <f>IFERROR(__xludf.DUMMYFUNCTION("""COMPUTED_VALUE"""),"Regular (up to 20lbs)")</f>
        <v>Regular (up to 20lbs)</v>
      </c>
    </row>
    <row r="4475">
      <c r="A4475" s="23">
        <f>IFERROR(__xludf.DUMMYFUNCTION("""COMPUTED_VALUE"""),44922.6872168287)</f>
        <v>44922.68722</v>
      </c>
      <c r="B4475" s="24" t="str">
        <f>IFERROR(__xludf.DUMMYFUNCTION("""COMPUTED_VALUE"""),"Romaine Bouldin ")</f>
        <v>Romaine Bouldin </v>
      </c>
      <c r="C4475" s="24">
        <f>IFERROR(__xludf.DUMMYFUNCTION("""COMPUTED_VALUE"""),12.0)</f>
        <v>12</v>
      </c>
      <c r="D4475" s="24" t="str">
        <f>IFERROR(__xludf.DUMMYFUNCTION("""COMPUTED_VALUE"""),"Regular (up to 20lbs)")</f>
        <v>Regular (up to 20lbs)</v>
      </c>
      <c r="F4475" s="23">
        <f>IFERROR(__xludf.DUMMYFUNCTION("""COMPUTED_VALUE"""),44924.0)</f>
        <v>44924</v>
      </c>
      <c r="G4475" s="24" t="str">
        <f>IFERROR(__xludf.DUMMYFUNCTION("""COMPUTED_VALUE"""),"Melissa Thomas")</f>
        <v>Melissa Thomas</v>
      </c>
      <c r="H4475" s="24">
        <f>IFERROR(__xludf.DUMMYFUNCTION("""COMPUTED_VALUE"""),11.0)</f>
        <v>11</v>
      </c>
      <c r="I4475" s="24" t="str">
        <f>IFERROR(__xludf.DUMMYFUNCTION("""COMPUTED_VALUE"""),"Damage/expired/extra")</f>
        <v>Damage/expired/extra</v>
      </c>
    </row>
    <row r="4476">
      <c r="A4476" s="23">
        <f>IFERROR(__xludf.DUMMYFUNCTION("""COMPUTED_VALUE"""),44922.68726510417)</f>
        <v>44922.68727</v>
      </c>
      <c r="B4476" s="24" t="str">
        <f>IFERROR(__xludf.DUMMYFUNCTION("""COMPUTED_VALUE"""),"Beverly Pinn")</f>
        <v>Beverly Pinn</v>
      </c>
      <c r="C4476" s="24">
        <f>IFERROR(__xludf.DUMMYFUNCTION("""COMPUTED_VALUE"""),6.0)</f>
        <v>6</v>
      </c>
      <c r="D4476" s="24" t="str">
        <f>IFERROR(__xludf.DUMMYFUNCTION("""COMPUTED_VALUE"""),"Damage/expired/extra")</f>
        <v>Damage/expired/extra</v>
      </c>
      <c r="F4476" s="23">
        <f>IFERROR(__xludf.DUMMYFUNCTION("""COMPUTED_VALUE"""),44924.0)</f>
        <v>44924</v>
      </c>
      <c r="G4476" s="24" t="str">
        <f>IFERROR(__xludf.DUMMYFUNCTION("""COMPUTED_VALUE"""),"Nathaniel McClean")</f>
        <v>Nathaniel McClean</v>
      </c>
      <c r="H4476" s="24">
        <f>IFERROR(__xludf.DUMMYFUNCTION("""COMPUTED_VALUE"""),17.0)</f>
        <v>17</v>
      </c>
      <c r="I4476" s="24" t="str">
        <f>IFERROR(__xludf.DUMMYFUNCTION("""COMPUTED_VALUE"""),"Regular (up to 20lbs)")</f>
        <v>Regular (up to 20lbs)</v>
      </c>
    </row>
    <row r="4477">
      <c r="A4477" s="23">
        <f>IFERROR(__xludf.DUMMYFUNCTION("""COMPUTED_VALUE"""),44922.68794877315)</f>
        <v>44922.68795</v>
      </c>
      <c r="B4477" s="24" t="str">
        <f>IFERROR(__xludf.DUMMYFUNCTION("""COMPUTED_VALUE"""),"Beverly Graham ")</f>
        <v>Beverly Graham </v>
      </c>
      <c r="C4477" s="24">
        <f>IFERROR(__xludf.DUMMYFUNCTION("""COMPUTED_VALUE"""),11.0)</f>
        <v>11</v>
      </c>
      <c r="D4477" s="24" t="str">
        <f>IFERROR(__xludf.DUMMYFUNCTION("""COMPUTED_VALUE"""),"Regular (up to 20lbs)")</f>
        <v>Regular (up to 20lbs)</v>
      </c>
      <c r="F4477" s="23">
        <f>IFERROR(__xludf.DUMMYFUNCTION("""COMPUTED_VALUE"""),44924.0)</f>
        <v>44924</v>
      </c>
      <c r="G4477" s="24" t="str">
        <f>IFERROR(__xludf.DUMMYFUNCTION("""COMPUTED_VALUE"""),"Nathaniel McClean")</f>
        <v>Nathaniel McClean</v>
      </c>
      <c r="H4477" s="24">
        <f>IFERROR(__xludf.DUMMYFUNCTION("""COMPUTED_VALUE"""),5.0)</f>
        <v>5</v>
      </c>
      <c r="I4477" s="24" t="str">
        <f>IFERROR(__xludf.DUMMYFUNCTION("""COMPUTED_VALUE"""),"Damage/expired/extra")</f>
        <v>Damage/expired/extra</v>
      </c>
    </row>
    <row r="4478">
      <c r="A4478" s="23">
        <f>IFERROR(__xludf.DUMMYFUNCTION("""COMPUTED_VALUE"""),44922.69094567129)</f>
        <v>44922.69095</v>
      </c>
      <c r="B4478" s="24" t="str">
        <f>IFERROR(__xludf.DUMMYFUNCTION("""COMPUTED_VALUE"""),"Jean")</f>
        <v>Jean</v>
      </c>
      <c r="C4478" s="24">
        <f>IFERROR(__xludf.DUMMYFUNCTION("""COMPUTED_VALUE"""),5.0)</f>
        <v>5</v>
      </c>
      <c r="D4478" s="24" t="str">
        <f>IFERROR(__xludf.DUMMYFUNCTION("""COMPUTED_VALUE"""),"Regular (up to 20lbs)")</f>
        <v>Regular (up to 20lbs)</v>
      </c>
      <c r="F4478" s="23">
        <f>IFERROR(__xludf.DUMMYFUNCTION("""COMPUTED_VALUE"""),44924.61239991898)</f>
        <v>44924.6124</v>
      </c>
      <c r="G4478" s="24" t="str">
        <f>IFERROR(__xludf.DUMMYFUNCTION("""COMPUTED_VALUE"""),"Opeyemi ")</f>
        <v>Opeyemi </v>
      </c>
      <c r="H4478" s="24">
        <f>IFERROR(__xludf.DUMMYFUNCTION("""COMPUTED_VALUE"""),1317.0)</f>
        <v>1317</v>
      </c>
      <c r="I4478" s="24" t="str">
        <f>IFERROR(__xludf.DUMMYFUNCTION("""COMPUTED_VALUE"""),"Assorted Dry")</f>
        <v>Assorted Dry</v>
      </c>
    </row>
    <row r="4479">
      <c r="A4479" s="23">
        <f>IFERROR(__xludf.DUMMYFUNCTION("""COMPUTED_VALUE"""),44922.69104207176)</f>
        <v>44922.69104</v>
      </c>
      <c r="B4479" s="24" t="str">
        <f>IFERROR(__xludf.DUMMYFUNCTION("""COMPUTED_VALUE"""),"Anna West")</f>
        <v>Anna West</v>
      </c>
      <c r="C4479" s="24">
        <f>IFERROR(__xludf.DUMMYFUNCTION("""COMPUTED_VALUE"""),19.0)</f>
        <v>19</v>
      </c>
      <c r="D4479" s="24" t="str">
        <f>IFERROR(__xludf.DUMMYFUNCTION("""COMPUTED_VALUE"""),"Regular (up to 20lbs)")</f>
        <v>Regular (up to 20lbs)</v>
      </c>
      <c r="F4479" s="23">
        <f>IFERROR(__xludf.DUMMYFUNCTION("""COMPUTED_VALUE"""),44924.65598601852)</f>
        <v>44924.65599</v>
      </c>
      <c r="G4479" s="24" t="str">
        <f>IFERROR(__xludf.DUMMYFUNCTION("""COMPUTED_VALUE"""),"Opey")</f>
        <v>Opey</v>
      </c>
      <c r="H4479" s="24">
        <f>IFERROR(__xludf.DUMMYFUNCTION("""COMPUTED_VALUE"""),17.0)</f>
        <v>17</v>
      </c>
      <c r="I4479" s="24" t="str">
        <f>IFERROR(__xludf.DUMMYFUNCTION("""COMPUTED_VALUE"""),"Regular (up to 20lbs)")</f>
        <v>Regular (up to 20lbs)</v>
      </c>
    </row>
    <row r="4480">
      <c r="A4480" s="23">
        <f>IFERROR(__xludf.DUMMYFUNCTION("""COMPUTED_VALUE"""),44922.69121377315)</f>
        <v>44922.69121</v>
      </c>
      <c r="B4480" s="24" t="str">
        <f>IFERROR(__xludf.DUMMYFUNCTION("""COMPUTED_VALUE"""),"Anna West")</f>
        <v>Anna West</v>
      </c>
      <c r="C4480" s="24">
        <f>IFERROR(__xludf.DUMMYFUNCTION("""COMPUTED_VALUE"""),4.0)</f>
        <v>4</v>
      </c>
      <c r="D4480" s="24" t="str">
        <f>IFERROR(__xludf.DUMMYFUNCTION("""COMPUTED_VALUE"""),"Damage/expired/extra")</f>
        <v>Damage/expired/extra</v>
      </c>
      <c r="F4480" s="23">
        <f>IFERROR(__xludf.DUMMYFUNCTION("""COMPUTED_VALUE"""),44924.65891921296)</f>
        <v>44924.65892</v>
      </c>
      <c r="G4480" s="24" t="str">
        <f>IFERROR(__xludf.DUMMYFUNCTION("""COMPUTED_VALUE"""),"Vincent Faulk")</f>
        <v>Vincent Faulk</v>
      </c>
      <c r="H4480" s="24">
        <f>IFERROR(__xludf.DUMMYFUNCTION("""COMPUTED_VALUE"""),758.0)</f>
        <v>758</v>
      </c>
      <c r="I4480" s="24" t="str">
        <f>IFERROR(__xludf.DUMMYFUNCTION("""COMPUTED_VALUE"""),"Dairy")</f>
        <v>Dairy</v>
      </c>
    </row>
    <row r="4481">
      <c r="A4481" s="23">
        <f>IFERROR(__xludf.DUMMYFUNCTION("""COMPUTED_VALUE"""),44922.691260520834)</f>
        <v>44922.69126</v>
      </c>
      <c r="B4481" s="24" t="str">
        <f>IFERROR(__xludf.DUMMYFUNCTION("""COMPUTED_VALUE"""),"Jean")</f>
        <v>Jean</v>
      </c>
      <c r="C4481" s="24">
        <f>IFERROR(__xludf.DUMMYFUNCTION("""COMPUTED_VALUE"""),1.0)</f>
        <v>1</v>
      </c>
      <c r="D4481" s="24" t="str">
        <f>IFERROR(__xludf.DUMMYFUNCTION("""COMPUTED_VALUE"""),"Damage/expired/extra")</f>
        <v>Damage/expired/extra</v>
      </c>
      <c r="F4481" s="23">
        <f>IFERROR(__xludf.DUMMYFUNCTION("""COMPUTED_VALUE"""),44924.659254155085)</f>
        <v>44924.65925</v>
      </c>
      <c r="G4481" s="24" t="str">
        <f>IFERROR(__xludf.DUMMYFUNCTION("""COMPUTED_VALUE"""),"Zoe")</f>
        <v>Zoe</v>
      </c>
      <c r="H4481" s="24">
        <f>IFERROR(__xludf.DUMMYFUNCTION("""COMPUTED_VALUE"""),15.0)</f>
        <v>15</v>
      </c>
      <c r="I4481" s="24" t="str">
        <f>IFERROR(__xludf.DUMMYFUNCTION("""COMPUTED_VALUE"""),"Regular (up to 20lbs)")</f>
        <v>Regular (up to 20lbs)</v>
      </c>
    </row>
    <row r="4482">
      <c r="A4482" s="23">
        <f>IFERROR(__xludf.DUMMYFUNCTION("""COMPUTED_VALUE"""),44922.69207112269)</f>
        <v>44922.69207</v>
      </c>
      <c r="B4482" s="24" t="str">
        <f>IFERROR(__xludf.DUMMYFUNCTION("""COMPUTED_VALUE"""),"Yulia")</f>
        <v>Yulia</v>
      </c>
      <c r="C4482" s="24">
        <f>IFERROR(__xludf.DUMMYFUNCTION("""COMPUTED_VALUE"""),20.0)</f>
        <v>20</v>
      </c>
      <c r="D4482" s="24" t="str">
        <f>IFERROR(__xludf.DUMMYFUNCTION("""COMPUTED_VALUE"""),"Regular (up to 20lbs)")</f>
        <v>Regular (up to 20lbs)</v>
      </c>
      <c r="F4482" s="23">
        <f>IFERROR(__xludf.DUMMYFUNCTION("""COMPUTED_VALUE"""),44924.65969079861)</f>
        <v>44924.65969</v>
      </c>
      <c r="G4482" s="24" t="str">
        <f>IFERROR(__xludf.DUMMYFUNCTION("""COMPUTED_VALUE"""),"Vincent Faulk")</f>
        <v>Vincent Faulk</v>
      </c>
      <c r="H4482" s="24">
        <f>IFERROR(__xludf.DUMMYFUNCTION("""COMPUTED_VALUE"""),608.0)</f>
        <v>608</v>
      </c>
      <c r="I4482" s="24" t="str">
        <f>IFERROR(__xludf.DUMMYFUNCTION("""COMPUTED_VALUE"""),"Dole fruit cups")</f>
        <v>Dole fruit cups</v>
      </c>
    </row>
    <row r="4483">
      <c r="A4483" s="23">
        <f>IFERROR(__xludf.DUMMYFUNCTION("""COMPUTED_VALUE"""),44922.0)</f>
        <v>44922</v>
      </c>
      <c r="B4483" s="24" t="str">
        <f>IFERROR(__xludf.DUMMYFUNCTION("""COMPUTED_VALUE"""),"Yulia")</f>
        <v>Yulia</v>
      </c>
      <c r="C4483" s="24">
        <f>IFERROR(__xludf.DUMMYFUNCTION("""COMPUTED_VALUE"""),16.0)</f>
        <v>16</v>
      </c>
      <c r="D4483" s="24" t="str">
        <f>IFERROR(__xludf.DUMMYFUNCTION("""COMPUTED_VALUE"""),"Damage/expired/extra")</f>
        <v>Damage/expired/extra</v>
      </c>
      <c r="F4483" s="23">
        <f>IFERROR(__xludf.DUMMYFUNCTION("""COMPUTED_VALUE"""),44924.66037600695)</f>
        <v>44924.66038</v>
      </c>
      <c r="G4483" s="24" t="str">
        <f>IFERROR(__xludf.DUMMYFUNCTION("""COMPUTED_VALUE"""),"Vincent Faulk")</f>
        <v>Vincent Faulk</v>
      </c>
      <c r="H4483" s="24">
        <f>IFERROR(__xludf.DUMMYFUNCTION("""COMPUTED_VALUE"""),127.0)</f>
        <v>127</v>
      </c>
      <c r="I4483" s="24" t="str">
        <f>IFERROR(__xludf.DUMMYFUNCTION("""COMPUTED_VALUE"""),"Pastry")</f>
        <v>Pastry</v>
      </c>
    </row>
    <row r="4484">
      <c r="A4484" s="23">
        <f>IFERROR(__xludf.DUMMYFUNCTION("""COMPUTED_VALUE"""),44922.69417027778)</f>
        <v>44922.69417</v>
      </c>
      <c r="B4484" s="24" t="str">
        <f>IFERROR(__xludf.DUMMYFUNCTION("""COMPUTED_VALUE"""),"Kaneesha ")</f>
        <v>Kaneesha </v>
      </c>
      <c r="C4484" s="24">
        <f>IFERROR(__xludf.DUMMYFUNCTION("""COMPUTED_VALUE"""),20.0)</f>
        <v>20</v>
      </c>
      <c r="D4484" s="24" t="str">
        <f>IFERROR(__xludf.DUMMYFUNCTION("""COMPUTED_VALUE"""),"Regular (up to 20lbs)")</f>
        <v>Regular (up to 20lbs)</v>
      </c>
      <c r="F4484" s="23">
        <f>IFERROR(__xludf.DUMMYFUNCTION("""COMPUTED_VALUE"""),44924.66118581019)</f>
        <v>44924.66119</v>
      </c>
      <c r="G4484" s="24" t="str">
        <f>IFERROR(__xludf.DUMMYFUNCTION("""COMPUTED_VALUE"""),"Vincent Faulk")</f>
        <v>Vincent Faulk</v>
      </c>
      <c r="H4484" s="24">
        <f>IFERROR(__xludf.DUMMYFUNCTION("""COMPUTED_VALUE"""),-212.0)</f>
        <v>-212</v>
      </c>
      <c r="I4484" s="24" t="str">
        <f>IFERROR(__xludf.DUMMYFUNCTION("""COMPUTED_VALUE"""),"Dairy")</f>
        <v>Dairy</v>
      </c>
    </row>
    <row r="4485">
      <c r="A4485" s="23">
        <f>IFERROR(__xludf.DUMMYFUNCTION("""COMPUTED_VALUE"""),44922.69437856481)</f>
        <v>44922.69438</v>
      </c>
      <c r="B4485" s="24" t="str">
        <f>IFERROR(__xludf.DUMMYFUNCTION("""COMPUTED_VALUE"""),"Kaneesha ")</f>
        <v>Kaneesha </v>
      </c>
      <c r="C4485" s="24">
        <f>IFERROR(__xludf.DUMMYFUNCTION("""COMPUTED_VALUE"""),16.0)</f>
        <v>16</v>
      </c>
      <c r="D4485" s="24" t="str">
        <f>IFERROR(__xludf.DUMMYFUNCTION("""COMPUTED_VALUE"""),"Damage/expired/extra")</f>
        <v>Damage/expired/extra</v>
      </c>
      <c r="F4485" s="23">
        <f>IFERROR(__xludf.DUMMYFUNCTION("""COMPUTED_VALUE"""),44924.703919340274)</f>
        <v>44924.70392</v>
      </c>
      <c r="G4485" s="24" t="str">
        <f>IFERROR(__xludf.DUMMYFUNCTION("""COMPUTED_VALUE"""),"Jean")</f>
        <v>Jean</v>
      </c>
      <c r="H4485" s="24">
        <f>IFERROR(__xludf.DUMMYFUNCTION("""COMPUTED_VALUE"""),34.0)</f>
        <v>34</v>
      </c>
      <c r="I4485" s="24" t="str">
        <f>IFERROR(__xludf.DUMMYFUNCTION("""COMPUTED_VALUE"""),"Regular (up to 20lbs)")</f>
        <v>Regular (up to 20lbs)</v>
      </c>
    </row>
    <row r="4486">
      <c r="A4486" s="23">
        <f>IFERROR(__xludf.DUMMYFUNCTION("""COMPUTED_VALUE"""),44923.0)</f>
        <v>44923</v>
      </c>
      <c r="B4486" s="24" t="str">
        <f>IFERROR(__xludf.DUMMYFUNCTION("""COMPUTED_VALUE"""),"Juanita Chandler ")</f>
        <v>Juanita Chandler </v>
      </c>
      <c r="C4486" s="24">
        <f>IFERROR(__xludf.DUMMYFUNCTION("""COMPUTED_VALUE"""),10.0)</f>
        <v>10</v>
      </c>
      <c r="D4486" s="24" t="str">
        <f>IFERROR(__xludf.DUMMYFUNCTION("""COMPUTED_VALUE"""),"Regular (up to 20lbs)")</f>
        <v>Regular (up to 20lbs)</v>
      </c>
      <c r="F4486" s="23">
        <f>IFERROR(__xludf.DUMMYFUNCTION("""COMPUTED_VALUE"""),44924.70433621528)</f>
        <v>44924.70434</v>
      </c>
      <c r="G4486" s="24" t="str">
        <f>IFERROR(__xludf.DUMMYFUNCTION("""COMPUTED_VALUE"""),"Jean")</f>
        <v>Jean</v>
      </c>
      <c r="H4486" s="24">
        <f>IFERROR(__xludf.DUMMYFUNCTION("""COMPUTED_VALUE"""),2.0)</f>
        <v>2</v>
      </c>
      <c r="I4486" s="24" t="str">
        <f>IFERROR(__xludf.DUMMYFUNCTION("""COMPUTED_VALUE"""),"Damage/expired/extra")</f>
        <v>Damage/expired/extra</v>
      </c>
    </row>
    <row r="4487">
      <c r="A4487" s="23">
        <f>IFERROR(__xludf.DUMMYFUNCTION("""COMPUTED_VALUE"""),44923.0)</f>
        <v>44923</v>
      </c>
      <c r="B4487" s="24" t="str">
        <f>IFERROR(__xludf.DUMMYFUNCTION("""COMPUTED_VALUE"""),"Juanita Chandler ")</f>
        <v>Juanita Chandler </v>
      </c>
      <c r="C4487" s="24">
        <f>IFERROR(__xludf.DUMMYFUNCTION("""COMPUTED_VALUE"""),18.0)</f>
        <v>18</v>
      </c>
      <c r="D4487" s="24" t="str">
        <f>IFERROR(__xludf.DUMMYFUNCTION("""COMPUTED_VALUE"""),"Damage/expired/extra")</f>
        <v>Damage/expired/extra</v>
      </c>
      <c r="F4487" s="23">
        <f>IFERROR(__xludf.DUMMYFUNCTION("""COMPUTED_VALUE"""),44924.704803692126)</f>
        <v>44924.7048</v>
      </c>
      <c r="G4487" s="24" t="str">
        <f>IFERROR(__xludf.DUMMYFUNCTION("""COMPUTED_VALUE"""),"Norma")</f>
        <v>Norma</v>
      </c>
      <c r="H4487" s="24"/>
      <c r="I4487" s="24" t="str">
        <f>IFERROR(__xludf.DUMMYFUNCTION("""COMPUTED_VALUE"""),"Regular (up to 20lbs)")</f>
        <v>Regular (up to 20lbs)</v>
      </c>
    </row>
    <row r="4488">
      <c r="A4488" s="23">
        <f>IFERROR(__xludf.DUMMYFUNCTION("""COMPUTED_VALUE"""),44923.0)</f>
        <v>44923</v>
      </c>
      <c r="B4488" s="24" t="str">
        <f>IFERROR(__xludf.DUMMYFUNCTION("""COMPUTED_VALUE"""),"Dee Satterfield")</f>
        <v>Dee Satterfield</v>
      </c>
      <c r="C4488" s="24">
        <f>IFERROR(__xludf.DUMMYFUNCTION("""COMPUTED_VALUE"""),13.0)</f>
        <v>13</v>
      </c>
      <c r="D4488" s="24" t="str">
        <f>IFERROR(__xludf.DUMMYFUNCTION("""COMPUTED_VALUE"""),"Regular (up to 20lbs)")</f>
        <v>Regular (up to 20lbs)</v>
      </c>
      <c r="F4488" s="23">
        <f>IFERROR(__xludf.DUMMYFUNCTION("""COMPUTED_VALUE"""),44924.8432544213)</f>
        <v>44924.84325</v>
      </c>
      <c r="G4488" s="24" t="str">
        <f>IFERROR(__xludf.DUMMYFUNCTION("""COMPUTED_VALUE"""),"Obi Nwokoro")</f>
        <v>Obi Nwokoro</v>
      </c>
      <c r="H4488" s="24">
        <f>IFERROR(__xludf.DUMMYFUNCTION("""COMPUTED_VALUE"""),19.0)</f>
        <v>19</v>
      </c>
      <c r="I4488" s="24" t="str">
        <f>IFERROR(__xludf.DUMMYFUNCTION("""COMPUTED_VALUE"""),"Regular (up to 20lbs)")</f>
        <v>Regular (up to 20lbs)</v>
      </c>
    </row>
    <row r="4489">
      <c r="A4489" s="23">
        <f>IFERROR(__xludf.DUMMYFUNCTION("""COMPUTED_VALUE"""),44923.0)</f>
        <v>44923</v>
      </c>
      <c r="B4489" s="24" t="str">
        <f>IFERROR(__xludf.DUMMYFUNCTION("""COMPUTED_VALUE"""),"Dee Satterfield")</f>
        <v>Dee Satterfield</v>
      </c>
      <c r="C4489" s="24">
        <f>IFERROR(__xludf.DUMMYFUNCTION("""COMPUTED_VALUE"""),7.0)</f>
        <v>7</v>
      </c>
      <c r="D4489" s="24" t="str">
        <f>IFERROR(__xludf.DUMMYFUNCTION("""COMPUTED_VALUE"""),"Damage/expired/extra")</f>
        <v>Damage/expired/extra</v>
      </c>
      <c r="F4489" s="23">
        <f>IFERROR(__xludf.DUMMYFUNCTION("""COMPUTED_VALUE"""),44924.843632511576)</f>
        <v>44924.84363</v>
      </c>
      <c r="G4489" s="24" t="str">
        <f>IFERROR(__xludf.DUMMYFUNCTION("""COMPUTED_VALUE"""),"Aziza ")</f>
        <v>Aziza </v>
      </c>
      <c r="H4489" s="24">
        <f>IFERROR(__xludf.DUMMYFUNCTION("""COMPUTED_VALUE"""),17.0)</f>
        <v>17</v>
      </c>
      <c r="I4489" s="24" t="str">
        <f>IFERROR(__xludf.DUMMYFUNCTION("""COMPUTED_VALUE"""),"Regular (up to 20lbs)")</f>
        <v>Regular (up to 20lbs)</v>
      </c>
    </row>
    <row r="4490">
      <c r="A4490" s="23">
        <f>IFERROR(__xludf.DUMMYFUNCTION("""COMPUTED_VALUE"""),44923.668532164345)</f>
        <v>44923.66853</v>
      </c>
      <c r="B4490" s="24" t="str">
        <f>IFERROR(__xludf.DUMMYFUNCTION("""COMPUTED_VALUE"""),"Bud- Sisson st dpw drinks ")</f>
        <v>Bud- Sisson st dpw drinks </v>
      </c>
      <c r="C4490" s="24">
        <f>IFERROR(__xludf.DUMMYFUNCTION("""COMPUTED_VALUE"""),10.0)</f>
        <v>10</v>
      </c>
      <c r="D4490" s="24" t="str">
        <f>IFERROR(__xludf.DUMMYFUNCTION("""COMPUTED_VALUE"""),"Regular (up to 20lbs)")</f>
        <v>Regular (up to 20lbs)</v>
      </c>
      <c r="F4490" s="23">
        <f>IFERROR(__xludf.DUMMYFUNCTION("""COMPUTED_VALUE"""),44924.84370140047)</f>
        <v>44924.8437</v>
      </c>
      <c r="G4490" s="24" t="str">
        <f>IFERROR(__xludf.DUMMYFUNCTION("""COMPUTED_VALUE"""),"adeola sulaiman")</f>
        <v>adeola sulaiman</v>
      </c>
      <c r="H4490" s="24">
        <f>IFERROR(__xludf.DUMMYFUNCTION("""COMPUTED_VALUE"""),20.0)</f>
        <v>20</v>
      </c>
      <c r="I4490" s="24" t="str">
        <f>IFERROR(__xludf.DUMMYFUNCTION("""COMPUTED_VALUE"""),"Regular (up to 20lbs)")</f>
        <v>Regular (up to 20lbs)</v>
      </c>
    </row>
    <row r="4491">
      <c r="A4491" s="23">
        <f>IFERROR(__xludf.DUMMYFUNCTION("""COMPUTED_VALUE"""),44923.67092041667)</f>
        <v>44923.67092</v>
      </c>
      <c r="B4491" s="24" t="str">
        <f>IFERROR(__xludf.DUMMYFUNCTION("""COMPUTED_VALUE"""),"Bud Stracker-personal ")</f>
        <v>Bud Stracker-personal </v>
      </c>
      <c r="C4491" s="24">
        <f>IFERROR(__xludf.DUMMYFUNCTION("""COMPUTED_VALUE"""),4.0)</f>
        <v>4</v>
      </c>
      <c r="D4491" s="24" t="str">
        <f>IFERROR(__xludf.DUMMYFUNCTION("""COMPUTED_VALUE"""),"Regular (up to 20lbs)")</f>
        <v>Regular (up to 20lbs)</v>
      </c>
      <c r="F4491" s="23">
        <f>IFERROR(__xludf.DUMMYFUNCTION("""COMPUTED_VALUE"""),44924.84372282407)</f>
        <v>44924.84372</v>
      </c>
      <c r="G4491" s="24" t="str">
        <f>IFERROR(__xludf.DUMMYFUNCTION("""COMPUTED_VALUE"""),"Aziza ")</f>
        <v>Aziza </v>
      </c>
      <c r="H4491" s="24">
        <f>IFERROR(__xludf.DUMMYFUNCTION("""COMPUTED_VALUE"""),6.0)</f>
        <v>6</v>
      </c>
      <c r="I4491" s="24" t="str">
        <f>IFERROR(__xludf.DUMMYFUNCTION("""COMPUTED_VALUE"""),"Damage/expired/extra")</f>
        <v>Damage/expired/extra</v>
      </c>
    </row>
    <row r="4492">
      <c r="A4492" s="23">
        <f>IFERROR(__xludf.DUMMYFUNCTION("""COMPUTED_VALUE"""),44923.80780016204)</f>
        <v>44923.8078</v>
      </c>
      <c r="B4492" s="24" t="str">
        <f>IFERROR(__xludf.DUMMYFUNCTION("""COMPUTED_VALUE"""),"Tina paquet")</f>
        <v>Tina paquet</v>
      </c>
      <c r="C4492" s="24">
        <f>IFERROR(__xludf.DUMMYFUNCTION("""COMPUTED_VALUE"""),5.0)</f>
        <v>5</v>
      </c>
      <c r="D4492" s="24" t="str">
        <f>IFERROR(__xludf.DUMMYFUNCTION("""COMPUTED_VALUE"""),"Regular (up to 20lbs)")</f>
        <v>Regular (up to 20lbs)</v>
      </c>
      <c r="F4492" s="23">
        <f>IFERROR(__xludf.DUMMYFUNCTION("""COMPUTED_VALUE"""),44924.84382065973)</f>
        <v>44924.84382</v>
      </c>
      <c r="G4492" s="24" t="str">
        <f>IFERROR(__xludf.DUMMYFUNCTION("""COMPUTED_VALUE"""),"adeola sulaiman")</f>
        <v>adeola sulaiman</v>
      </c>
      <c r="H4492" s="24">
        <f>IFERROR(__xludf.DUMMYFUNCTION("""COMPUTED_VALUE"""),5.0)</f>
        <v>5</v>
      </c>
      <c r="I4492" s="24" t="str">
        <f>IFERROR(__xludf.DUMMYFUNCTION("""COMPUTED_VALUE"""),"Damage/expired/extra")</f>
        <v>Damage/expired/extra</v>
      </c>
    </row>
    <row r="4493">
      <c r="A4493" s="23">
        <f>IFERROR(__xludf.DUMMYFUNCTION("""COMPUTED_VALUE"""),44923.80805180556)</f>
        <v>44923.80805</v>
      </c>
      <c r="B4493" s="24" t="str">
        <f>IFERROR(__xludf.DUMMYFUNCTION("""COMPUTED_VALUE"""),"Tina p")</f>
        <v>Tina p</v>
      </c>
      <c r="C4493" s="24">
        <f>IFERROR(__xludf.DUMMYFUNCTION("""COMPUTED_VALUE"""),11.0)</f>
        <v>11</v>
      </c>
      <c r="D4493" s="24" t="str">
        <f>IFERROR(__xludf.DUMMYFUNCTION("""COMPUTED_VALUE"""),"Damage/expired/extra")</f>
        <v>Damage/expired/extra</v>
      </c>
      <c r="F4493" s="23">
        <f>IFERROR(__xludf.DUMMYFUNCTION("""COMPUTED_VALUE"""),44925.0)</f>
        <v>44925</v>
      </c>
      <c r="G4493" s="24" t="str">
        <f>IFERROR(__xludf.DUMMYFUNCTION("""COMPUTED_VALUE"""),"Lynette Cromer")</f>
        <v>Lynette Cromer</v>
      </c>
      <c r="H4493" s="24">
        <f>IFERROR(__xludf.DUMMYFUNCTION("""COMPUTED_VALUE"""),18.0)</f>
        <v>18</v>
      </c>
      <c r="I4493" s="24" t="str">
        <f>IFERROR(__xludf.DUMMYFUNCTION("""COMPUTED_VALUE"""),"Regular (up to 20lbs)")</f>
        <v>Regular (up to 20lbs)</v>
      </c>
    </row>
    <row r="4494">
      <c r="A4494" s="23">
        <f>IFERROR(__xludf.DUMMYFUNCTION("""COMPUTED_VALUE"""),44923.810011712965)</f>
        <v>44923.81001</v>
      </c>
      <c r="B4494" s="24" t="str">
        <f>IFERROR(__xludf.DUMMYFUNCTION("""COMPUTED_VALUE"""),"Luke mayhew ")</f>
        <v>Luke mayhew </v>
      </c>
      <c r="C4494" s="24">
        <f>IFERROR(__xludf.DUMMYFUNCTION("""COMPUTED_VALUE"""),18.0)</f>
        <v>18</v>
      </c>
      <c r="D4494" s="24" t="str">
        <f>IFERROR(__xludf.DUMMYFUNCTION("""COMPUTED_VALUE"""),"Regular (up to 20lbs)")</f>
        <v>Regular (up to 20lbs)</v>
      </c>
      <c r="F4494" s="23">
        <f>IFERROR(__xludf.DUMMYFUNCTION("""COMPUTED_VALUE"""),44925.0)</f>
        <v>44925</v>
      </c>
      <c r="G4494" s="24" t="str">
        <f>IFERROR(__xludf.DUMMYFUNCTION("""COMPUTED_VALUE"""),"Lynette Cromer")</f>
        <v>Lynette Cromer</v>
      </c>
      <c r="H4494" s="24">
        <f>IFERROR(__xludf.DUMMYFUNCTION("""COMPUTED_VALUE"""),10.0)</f>
        <v>10</v>
      </c>
      <c r="I4494" s="24" t="str">
        <f>IFERROR(__xludf.DUMMYFUNCTION("""COMPUTED_VALUE"""),"Damage/expired/extra")</f>
        <v>Damage/expired/extra</v>
      </c>
    </row>
    <row r="4495">
      <c r="A4495" s="23">
        <f>IFERROR(__xludf.DUMMYFUNCTION("""COMPUTED_VALUE"""),44923.810279467594)</f>
        <v>44923.81028</v>
      </c>
      <c r="B4495" s="24" t="str">
        <f>IFERROR(__xludf.DUMMYFUNCTION("""COMPUTED_VALUE"""),"Luke mayhew ")</f>
        <v>Luke mayhew </v>
      </c>
      <c r="C4495" s="24">
        <f>IFERROR(__xludf.DUMMYFUNCTION("""COMPUTED_VALUE"""),9.0)</f>
        <v>9</v>
      </c>
      <c r="D4495" s="24" t="str">
        <f>IFERROR(__xludf.DUMMYFUNCTION("""COMPUTED_VALUE"""),"Damage/expired/extra")</f>
        <v>Damage/expired/extra</v>
      </c>
      <c r="F4495" s="23">
        <f>IFERROR(__xludf.DUMMYFUNCTION("""COMPUTED_VALUE"""),44925.0)</f>
        <v>44925</v>
      </c>
      <c r="G4495" s="24" t="str">
        <f>IFERROR(__xludf.DUMMYFUNCTION("""COMPUTED_VALUE"""),"Juanita Chandler ")</f>
        <v>Juanita Chandler </v>
      </c>
      <c r="H4495" s="24">
        <f>IFERROR(__xludf.DUMMYFUNCTION("""COMPUTED_VALUE"""),10.0)</f>
        <v>10</v>
      </c>
      <c r="I4495" s="24" t="str">
        <f>IFERROR(__xludf.DUMMYFUNCTION("""COMPUTED_VALUE"""),"Regular (up to 20lbs)")</f>
        <v>Regular (up to 20lbs)</v>
      </c>
    </row>
    <row r="4496">
      <c r="A4496" s="23">
        <f>IFERROR(__xludf.DUMMYFUNCTION("""COMPUTED_VALUE"""),44924.65598601852)</f>
        <v>44924.65599</v>
      </c>
      <c r="B4496" s="24" t="str">
        <f>IFERROR(__xludf.DUMMYFUNCTION("""COMPUTED_VALUE"""),"Opey")</f>
        <v>Opey</v>
      </c>
      <c r="C4496" s="24">
        <f>IFERROR(__xludf.DUMMYFUNCTION("""COMPUTED_VALUE"""),17.0)</f>
        <v>17</v>
      </c>
      <c r="D4496" s="24" t="str">
        <f>IFERROR(__xludf.DUMMYFUNCTION("""COMPUTED_VALUE"""),"Regular (up to 20lbs)")</f>
        <v>Regular (up to 20lbs)</v>
      </c>
      <c r="F4496" s="23">
        <f>IFERROR(__xludf.DUMMYFUNCTION("""COMPUTED_VALUE"""),44925.0)</f>
        <v>44925</v>
      </c>
      <c r="G4496" s="24" t="str">
        <f>IFERROR(__xludf.DUMMYFUNCTION("""COMPUTED_VALUE"""),"Juanita Chandler ")</f>
        <v>Juanita Chandler </v>
      </c>
      <c r="H4496" s="24">
        <f>IFERROR(__xludf.DUMMYFUNCTION("""COMPUTED_VALUE"""),18.0)</f>
        <v>18</v>
      </c>
      <c r="I4496" s="24" t="str">
        <f>IFERROR(__xludf.DUMMYFUNCTION("""COMPUTED_VALUE"""),"Damage/expired/extra")</f>
        <v>Damage/expired/extra</v>
      </c>
    </row>
    <row r="4497">
      <c r="A4497" s="23">
        <f>IFERROR(__xludf.DUMMYFUNCTION("""COMPUTED_VALUE"""),44924.659254155085)</f>
        <v>44924.65925</v>
      </c>
      <c r="B4497" s="24" t="str">
        <f>IFERROR(__xludf.DUMMYFUNCTION("""COMPUTED_VALUE"""),"Zoe")</f>
        <v>Zoe</v>
      </c>
      <c r="C4497" s="24">
        <f>IFERROR(__xludf.DUMMYFUNCTION("""COMPUTED_VALUE"""),15.0)</f>
        <v>15</v>
      </c>
      <c r="D4497" s="24" t="str">
        <f>IFERROR(__xludf.DUMMYFUNCTION("""COMPUTED_VALUE"""),"Regular (up to 20lbs)")</f>
        <v>Regular (up to 20lbs)</v>
      </c>
      <c r="F4497" s="23">
        <f>IFERROR(__xludf.DUMMYFUNCTION("""COMPUTED_VALUE"""),44925.604559189815)</f>
        <v>44925.60456</v>
      </c>
      <c r="G4497" s="24" t="str">
        <f>IFERROR(__xludf.DUMMYFUNCTION("""COMPUTED_VALUE"""),"JUANITA Chandler ")</f>
        <v>JUANITA Chandler </v>
      </c>
      <c r="H4497" s="24">
        <f>IFERROR(__xludf.DUMMYFUNCTION("""COMPUTED_VALUE"""),30.0)</f>
        <v>30</v>
      </c>
      <c r="I4497" s="24" t="str">
        <f>IFERROR(__xludf.DUMMYFUNCTION("""COMPUTED_VALUE"""),"Donation ")</f>
        <v>Donation </v>
      </c>
    </row>
    <row r="4498">
      <c r="A4498" s="23">
        <f>IFERROR(__xludf.DUMMYFUNCTION("""COMPUTED_VALUE"""),44924.703919340274)</f>
        <v>44924.70392</v>
      </c>
      <c r="B4498" s="24" t="str">
        <f>IFERROR(__xludf.DUMMYFUNCTION("""COMPUTED_VALUE"""),"Jean")</f>
        <v>Jean</v>
      </c>
      <c r="C4498" s="24">
        <f>IFERROR(__xludf.DUMMYFUNCTION("""COMPUTED_VALUE"""),34.0)</f>
        <v>34</v>
      </c>
      <c r="D4498" s="24" t="str">
        <f>IFERROR(__xludf.DUMMYFUNCTION("""COMPUTED_VALUE"""),"Regular (up to 20lbs)")</f>
        <v>Regular (up to 20lbs)</v>
      </c>
      <c r="F4498" s="23">
        <f>IFERROR(__xludf.DUMMYFUNCTION("""COMPUTED_VALUE"""),44925.60526160879)</f>
        <v>44925.60526</v>
      </c>
      <c r="G4498" s="24" t="str">
        <f>IFERROR(__xludf.DUMMYFUNCTION("""COMPUTED_VALUE"""),"JUANITA Chandler ")</f>
        <v>JUANITA Chandler </v>
      </c>
      <c r="H4498" s="24">
        <f>IFERROR(__xludf.DUMMYFUNCTION("""COMPUTED_VALUE"""),51.0)</f>
        <v>51</v>
      </c>
      <c r="I4498" s="24" t="str">
        <f>IFERROR(__xludf.DUMMYFUNCTION("""COMPUTED_VALUE"""),"Donation ")</f>
        <v>Donation </v>
      </c>
    </row>
    <row r="4499">
      <c r="A4499" s="23">
        <f>IFERROR(__xludf.DUMMYFUNCTION("""COMPUTED_VALUE"""),44924.70433621528)</f>
        <v>44924.70434</v>
      </c>
      <c r="B4499" s="24" t="str">
        <f>IFERROR(__xludf.DUMMYFUNCTION("""COMPUTED_VALUE"""),"Jean")</f>
        <v>Jean</v>
      </c>
      <c r="C4499" s="24">
        <f>IFERROR(__xludf.DUMMYFUNCTION("""COMPUTED_VALUE"""),2.0)</f>
        <v>2</v>
      </c>
      <c r="D4499" s="24" t="str">
        <f>IFERROR(__xludf.DUMMYFUNCTION("""COMPUTED_VALUE"""),"Damage/expired/extra")</f>
        <v>Damage/expired/extra</v>
      </c>
      <c r="F4499" s="23">
        <f>IFERROR(__xludf.DUMMYFUNCTION("""COMPUTED_VALUE"""),44925.67223138889)</f>
        <v>44925.67223</v>
      </c>
      <c r="G4499" s="24" t="str">
        <f>IFERROR(__xludf.DUMMYFUNCTION("""COMPUTED_VALUE"""),"Yulia")</f>
        <v>Yulia</v>
      </c>
      <c r="H4499" s="24">
        <f>IFERROR(__xludf.DUMMYFUNCTION("""COMPUTED_VALUE"""),20.0)</f>
        <v>20</v>
      </c>
      <c r="I4499" s="24" t="str">
        <f>IFERROR(__xludf.DUMMYFUNCTION("""COMPUTED_VALUE"""),"Regular (up to 20lbs)")</f>
        <v>Regular (up to 20lbs)</v>
      </c>
    </row>
    <row r="4500">
      <c r="A4500" s="23">
        <f>IFERROR(__xludf.DUMMYFUNCTION("""COMPUTED_VALUE"""),44924.704803692126)</f>
        <v>44924.7048</v>
      </c>
      <c r="B4500" s="24" t="str">
        <f>IFERROR(__xludf.DUMMYFUNCTION("""COMPUTED_VALUE"""),"Norma")</f>
        <v>Norma</v>
      </c>
      <c r="C4500" s="24"/>
      <c r="D4500" s="24" t="str">
        <f>IFERROR(__xludf.DUMMYFUNCTION("""COMPUTED_VALUE"""),"Regular (up to 20lbs)")</f>
        <v>Regular (up to 20lbs)</v>
      </c>
      <c r="F4500" s="23">
        <f>IFERROR(__xludf.DUMMYFUNCTION("""COMPUTED_VALUE"""),44925.672411064814)</f>
        <v>44925.67241</v>
      </c>
      <c r="G4500" s="24" t="str">
        <f>IFERROR(__xludf.DUMMYFUNCTION("""COMPUTED_VALUE"""),"Yulia")</f>
        <v>Yulia</v>
      </c>
      <c r="H4500" s="24">
        <f>IFERROR(__xludf.DUMMYFUNCTION("""COMPUTED_VALUE"""),5.0)</f>
        <v>5</v>
      </c>
      <c r="I4500" s="24" t="str">
        <f>IFERROR(__xludf.DUMMYFUNCTION("""COMPUTED_VALUE"""),"Damage/expired/extra")</f>
        <v>Damage/expired/extra</v>
      </c>
    </row>
    <row r="4501">
      <c r="A4501" s="23">
        <f>IFERROR(__xludf.DUMMYFUNCTION("""COMPUTED_VALUE"""),44924.8432544213)</f>
        <v>44924.84325</v>
      </c>
      <c r="B4501" s="24" t="str">
        <f>IFERROR(__xludf.DUMMYFUNCTION("""COMPUTED_VALUE"""),"Obi Nwokoro")</f>
        <v>Obi Nwokoro</v>
      </c>
      <c r="C4501" s="24">
        <f>IFERROR(__xludf.DUMMYFUNCTION("""COMPUTED_VALUE"""),19.0)</f>
        <v>19</v>
      </c>
      <c r="D4501" s="24" t="str">
        <f>IFERROR(__xludf.DUMMYFUNCTION("""COMPUTED_VALUE"""),"Regular (up to 20lbs)")</f>
        <v>Regular (up to 20lbs)</v>
      </c>
      <c r="F4501" s="23">
        <f>IFERROR(__xludf.DUMMYFUNCTION("""COMPUTED_VALUE"""),44925.67302241898)</f>
        <v>44925.67302</v>
      </c>
      <c r="G4501" s="24" t="str">
        <f>IFERROR(__xludf.DUMMYFUNCTION("""COMPUTED_VALUE"""),"Beth Torres")</f>
        <v>Beth Torres</v>
      </c>
      <c r="H4501" s="24">
        <f>IFERROR(__xludf.DUMMYFUNCTION("""COMPUTED_VALUE"""),20.0)</f>
        <v>20</v>
      </c>
      <c r="I4501" s="24" t="str">
        <f>IFERROR(__xludf.DUMMYFUNCTION("""COMPUTED_VALUE"""),"Regular (up to 20lbs)")</f>
        <v>Regular (up to 20lbs)</v>
      </c>
    </row>
    <row r="4502">
      <c r="A4502" s="23">
        <f>IFERROR(__xludf.DUMMYFUNCTION("""COMPUTED_VALUE"""),44924.0)</f>
        <v>44924</v>
      </c>
      <c r="B4502" s="24" t="str">
        <f>IFERROR(__xludf.DUMMYFUNCTION("""COMPUTED_VALUE"""),"Obi Nwokoro")</f>
        <v>Obi Nwokoro</v>
      </c>
      <c r="C4502" s="24">
        <f>IFERROR(__xludf.DUMMYFUNCTION("""COMPUTED_VALUE"""),14.0)</f>
        <v>14</v>
      </c>
      <c r="D4502" s="24" t="str">
        <f>IFERROR(__xludf.DUMMYFUNCTION("""COMPUTED_VALUE"""),"Damage/expired/extra")</f>
        <v>Damage/expired/extra</v>
      </c>
      <c r="F4502" s="23">
        <f>IFERROR(__xludf.DUMMYFUNCTION("""COMPUTED_VALUE"""),44925.67317256944)</f>
        <v>44925.67317</v>
      </c>
      <c r="G4502" s="24" t="str">
        <f>IFERROR(__xludf.DUMMYFUNCTION("""COMPUTED_VALUE"""),"Beth Torres")</f>
        <v>Beth Torres</v>
      </c>
      <c r="H4502" s="24">
        <f>IFERROR(__xludf.DUMMYFUNCTION("""COMPUTED_VALUE"""),2.0)</f>
        <v>2</v>
      </c>
      <c r="I4502" s="24" t="str">
        <f>IFERROR(__xludf.DUMMYFUNCTION("""COMPUTED_VALUE"""),"Damage/expired/extra")</f>
        <v>Damage/expired/extra</v>
      </c>
    </row>
    <row r="4503">
      <c r="A4503" s="23">
        <f>IFERROR(__xludf.DUMMYFUNCTION("""COMPUTED_VALUE"""),44924.843632511576)</f>
        <v>44924.84363</v>
      </c>
      <c r="B4503" s="24" t="str">
        <f>IFERROR(__xludf.DUMMYFUNCTION("""COMPUTED_VALUE"""),"Aziza ")</f>
        <v>Aziza </v>
      </c>
      <c r="C4503" s="24">
        <f>IFERROR(__xludf.DUMMYFUNCTION("""COMPUTED_VALUE"""),17.0)</f>
        <v>17</v>
      </c>
      <c r="D4503" s="24" t="str">
        <f>IFERROR(__xludf.DUMMYFUNCTION("""COMPUTED_VALUE"""),"Regular (up to 20lbs)")</f>
        <v>Regular (up to 20lbs)</v>
      </c>
      <c r="F4503" s="23">
        <f>IFERROR(__xludf.DUMMYFUNCTION("""COMPUTED_VALUE"""),44925.68556658564)</f>
        <v>44925.68557</v>
      </c>
      <c r="G4503" s="24" t="str">
        <f>IFERROR(__xludf.DUMMYFUNCTION("""COMPUTED_VALUE"""),"Sunita pathik")</f>
        <v>Sunita pathik</v>
      </c>
      <c r="H4503" s="24">
        <f>IFERROR(__xludf.DUMMYFUNCTION("""COMPUTED_VALUE"""),7.0)</f>
        <v>7</v>
      </c>
      <c r="I4503" s="24" t="str">
        <f>IFERROR(__xludf.DUMMYFUNCTION("""COMPUTED_VALUE"""),"Regular (up to 20lbs)")</f>
        <v>Regular (up to 20lbs)</v>
      </c>
    </row>
    <row r="4504">
      <c r="A4504" s="23">
        <f>IFERROR(__xludf.DUMMYFUNCTION("""COMPUTED_VALUE"""),44924.84370140047)</f>
        <v>44924.8437</v>
      </c>
      <c r="B4504" s="24" t="str">
        <f>IFERROR(__xludf.DUMMYFUNCTION("""COMPUTED_VALUE"""),"adeola sulaiman")</f>
        <v>adeola sulaiman</v>
      </c>
      <c r="C4504" s="24">
        <f>IFERROR(__xludf.DUMMYFUNCTION("""COMPUTED_VALUE"""),20.0)</f>
        <v>20</v>
      </c>
      <c r="D4504" s="24" t="str">
        <f>IFERROR(__xludf.DUMMYFUNCTION("""COMPUTED_VALUE"""),"Regular (up to 20lbs)")</f>
        <v>Regular (up to 20lbs)</v>
      </c>
      <c r="F4504" s="23">
        <f>IFERROR(__xludf.DUMMYFUNCTION("""COMPUTED_VALUE"""),44925.68660746528)</f>
        <v>44925.68661</v>
      </c>
      <c r="G4504" s="24" t="str">
        <f>IFERROR(__xludf.DUMMYFUNCTION("""COMPUTED_VALUE"""),"Sunita pathik")</f>
        <v>Sunita pathik</v>
      </c>
      <c r="H4504" s="24">
        <f>IFERROR(__xludf.DUMMYFUNCTION("""COMPUTED_VALUE"""),232.0)</f>
        <v>232</v>
      </c>
      <c r="I4504" s="24" t="str">
        <f>IFERROR(__xludf.DUMMYFUNCTION("""COMPUTED_VALUE"""),"Assorted Fridge")</f>
        <v>Assorted Fridge</v>
      </c>
    </row>
    <row r="4505">
      <c r="A4505" s="23">
        <f>IFERROR(__xludf.DUMMYFUNCTION("""COMPUTED_VALUE"""),44924.84372282407)</f>
        <v>44924.84372</v>
      </c>
      <c r="B4505" s="24" t="str">
        <f>IFERROR(__xludf.DUMMYFUNCTION("""COMPUTED_VALUE"""),"Aziza ")</f>
        <v>Aziza </v>
      </c>
      <c r="C4505" s="24">
        <f>IFERROR(__xludf.DUMMYFUNCTION("""COMPUTED_VALUE"""),6.0)</f>
        <v>6</v>
      </c>
      <c r="D4505" s="24" t="str">
        <f>IFERROR(__xludf.DUMMYFUNCTION("""COMPUTED_VALUE"""),"Damage/expired/extra")</f>
        <v>Damage/expired/extra</v>
      </c>
      <c r="F4505" s="23">
        <f>IFERROR(__xludf.DUMMYFUNCTION("""COMPUTED_VALUE"""),44926.0)</f>
        <v>44926</v>
      </c>
      <c r="G4505" s="24" t="str">
        <f>IFERROR(__xludf.DUMMYFUNCTION("""COMPUTED_VALUE"""),"Claire")</f>
        <v>Claire</v>
      </c>
      <c r="H4505" s="24">
        <f>IFERROR(__xludf.DUMMYFUNCTION("""COMPUTED_VALUE"""),846.0)</f>
        <v>846</v>
      </c>
      <c r="I4505" s="24" t="str">
        <f>IFERROR(__xludf.DUMMYFUNCTION("""COMPUTED_VALUE"""),"Dole fruit cups")</f>
        <v>Dole fruit cups</v>
      </c>
    </row>
    <row r="4506">
      <c r="A4506" s="23">
        <f>IFERROR(__xludf.DUMMYFUNCTION("""COMPUTED_VALUE"""),44924.84382065973)</f>
        <v>44924.84382</v>
      </c>
      <c r="B4506" s="24" t="str">
        <f>IFERROR(__xludf.DUMMYFUNCTION("""COMPUTED_VALUE"""),"adeola sulaiman")</f>
        <v>adeola sulaiman</v>
      </c>
      <c r="C4506" s="24">
        <f>IFERROR(__xludf.DUMMYFUNCTION("""COMPUTED_VALUE"""),5.0)</f>
        <v>5</v>
      </c>
      <c r="D4506" s="24" t="str">
        <f>IFERROR(__xludf.DUMMYFUNCTION("""COMPUTED_VALUE"""),"Damage/expired/extra")</f>
        <v>Damage/expired/extra</v>
      </c>
      <c r="F4506" s="23">
        <f>IFERROR(__xludf.DUMMYFUNCTION("""COMPUTED_VALUE"""),44926.0)</f>
        <v>44926</v>
      </c>
      <c r="G4506" s="24" t="str">
        <f>IFERROR(__xludf.DUMMYFUNCTION("""COMPUTED_VALUE"""),"Claire")</f>
        <v>Claire</v>
      </c>
      <c r="H4506" s="24">
        <f>IFERROR(__xludf.DUMMYFUNCTION("""COMPUTED_VALUE"""),-208.0)</f>
        <v>-208</v>
      </c>
      <c r="I4506" s="24" t="str">
        <f>IFERROR(__xludf.DUMMYFUNCTION("""COMPUTED_VALUE"""),"Grains (rice, pasta, etc.)")</f>
        <v>Grains (rice, pasta, etc.)</v>
      </c>
    </row>
    <row r="4507">
      <c r="A4507" s="23">
        <f>IFERROR(__xludf.DUMMYFUNCTION("""COMPUTED_VALUE"""),44924.0)</f>
        <v>44924</v>
      </c>
      <c r="B4507" s="24" t="str">
        <f>IFERROR(__xludf.DUMMYFUNCTION("""COMPUTED_VALUE"""),"Raquel Bailey")</f>
        <v>Raquel Bailey</v>
      </c>
      <c r="C4507" s="24">
        <f>IFERROR(__xludf.DUMMYFUNCTION("""COMPUTED_VALUE"""),18.0)</f>
        <v>18</v>
      </c>
      <c r="D4507" s="24" t="str">
        <f>IFERROR(__xludf.DUMMYFUNCTION("""COMPUTED_VALUE"""),"Regular (up to 20lbs)")</f>
        <v>Regular (up to 20lbs)</v>
      </c>
      <c r="F4507" s="23">
        <f>IFERROR(__xludf.DUMMYFUNCTION("""COMPUTED_VALUE"""),44926.0)</f>
        <v>44926</v>
      </c>
      <c r="G4507" s="24" t="str">
        <f>IFERROR(__xludf.DUMMYFUNCTION("""COMPUTED_VALUE"""),"Lynette Cromer")</f>
        <v>Lynette Cromer</v>
      </c>
      <c r="H4507" s="24">
        <f>IFERROR(__xludf.DUMMYFUNCTION("""COMPUTED_VALUE"""),9.0)</f>
        <v>9</v>
      </c>
      <c r="I4507" s="24" t="str">
        <f>IFERROR(__xludf.DUMMYFUNCTION("""COMPUTED_VALUE"""),"Regular (up to 20lbs)")</f>
        <v>Regular (up to 20lbs)</v>
      </c>
    </row>
    <row r="4508">
      <c r="A4508" s="23">
        <f>IFERROR(__xludf.DUMMYFUNCTION("""COMPUTED_VALUE"""),44924.0)</f>
        <v>44924</v>
      </c>
      <c r="B4508" s="24" t="str">
        <f>IFERROR(__xludf.DUMMYFUNCTION("""COMPUTED_VALUE"""),"Melissa Thomas")</f>
        <v>Melissa Thomas</v>
      </c>
      <c r="C4508" s="24">
        <f>IFERROR(__xludf.DUMMYFUNCTION("""COMPUTED_VALUE"""),20.0)</f>
        <v>20</v>
      </c>
      <c r="D4508" s="24" t="str">
        <f>IFERROR(__xludf.DUMMYFUNCTION("""COMPUTED_VALUE"""),"Regular (up to 20lbs)")</f>
        <v>Regular (up to 20lbs)</v>
      </c>
      <c r="F4508" s="23">
        <f>IFERROR(__xludf.DUMMYFUNCTION("""COMPUTED_VALUE"""),44926.0)</f>
        <v>44926</v>
      </c>
      <c r="G4508" s="24" t="str">
        <f>IFERROR(__xludf.DUMMYFUNCTION("""COMPUTED_VALUE"""),"Denise Rivers")</f>
        <v>Denise Rivers</v>
      </c>
      <c r="H4508" s="24">
        <f>IFERROR(__xludf.DUMMYFUNCTION("""COMPUTED_VALUE"""),19.0)</f>
        <v>19</v>
      </c>
      <c r="I4508" s="24" t="str">
        <f>IFERROR(__xludf.DUMMYFUNCTION("""COMPUTED_VALUE"""),"Regular (up to 20lbs)")</f>
        <v>Regular (up to 20lbs)</v>
      </c>
    </row>
    <row r="4509">
      <c r="A4509" s="23">
        <f>IFERROR(__xludf.DUMMYFUNCTION("""COMPUTED_VALUE"""),44924.0)</f>
        <v>44924</v>
      </c>
      <c r="B4509" s="24" t="str">
        <f>IFERROR(__xludf.DUMMYFUNCTION("""COMPUTED_VALUE"""),"Melissa Thomas")</f>
        <v>Melissa Thomas</v>
      </c>
      <c r="C4509" s="24">
        <f>IFERROR(__xludf.DUMMYFUNCTION("""COMPUTED_VALUE"""),11.0)</f>
        <v>11</v>
      </c>
      <c r="D4509" s="24" t="str">
        <f>IFERROR(__xludf.DUMMYFUNCTION("""COMPUTED_VALUE"""),"Damage/expired/extra")</f>
        <v>Damage/expired/extra</v>
      </c>
      <c r="F4509" s="23">
        <f>IFERROR(__xludf.DUMMYFUNCTION("""COMPUTED_VALUE"""),44926.0)</f>
        <v>44926</v>
      </c>
      <c r="G4509" s="24" t="str">
        <f>IFERROR(__xludf.DUMMYFUNCTION("""COMPUTED_VALUE"""),"Denise Rivers")</f>
        <v>Denise Rivers</v>
      </c>
      <c r="H4509" s="24">
        <f>IFERROR(__xludf.DUMMYFUNCTION("""COMPUTED_VALUE"""),7.0)</f>
        <v>7</v>
      </c>
      <c r="I4509" s="24" t="str">
        <f>IFERROR(__xludf.DUMMYFUNCTION("""COMPUTED_VALUE"""),"Damage/expired/extra")</f>
        <v>Damage/expired/extra</v>
      </c>
    </row>
    <row r="4510">
      <c r="A4510" s="23">
        <f>IFERROR(__xludf.DUMMYFUNCTION("""COMPUTED_VALUE"""),44924.0)</f>
        <v>44924</v>
      </c>
      <c r="B4510" s="24" t="str">
        <f>IFERROR(__xludf.DUMMYFUNCTION("""COMPUTED_VALUE"""),"Nathaniel McClean")</f>
        <v>Nathaniel McClean</v>
      </c>
      <c r="C4510" s="24">
        <f>IFERROR(__xludf.DUMMYFUNCTION("""COMPUTED_VALUE"""),17.0)</f>
        <v>17</v>
      </c>
      <c r="D4510" s="24" t="str">
        <f>IFERROR(__xludf.DUMMYFUNCTION("""COMPUTED_VALUE"""),"Regular (up to 20lbs)")</f>
        <v>Regular (up to 20lbs)</v>
      </c>
      <c r="F4510" s="23">
        <f>IFERROR(__xludf.DUMMYFUNCTION("""COMPUTED_VALUE"""),44926.0)</f>
        <v>44926</v>
      </c>
      <c r="G4510" s="24" t="str">
        <f>IFERROR(__xludf.DUMMYFUNCTION("""COMPUTED_VALUE"""),"Theresa Columbus")</f>
        <v>Theresa Columbus</v>
      </c>
      <c r="H4510" s="24">
        <f>IFERROR(__xludf.DUMMYFUNCTION("""COMPUTED_VALUE"""),14.0)</f>
        <v>14</v>
      </c>
      <c r="I4510" s="24" t="str">
        <f>IFERROR(__xludf.DUMMYFUNCTION("""COMPUTED_VALUE"""),"Regular (up to 20lbs)")</f>
        <v>Regular (up to 20lbs)</v>
      </c>
    </row>
    <row r="4511">
      <c r="A4511" s="23">
        <f>IFERROR(__xludf.DUMMYFUNCTION("""COMPUTED_VALUE"""),44924.0)</f>
        <v>44924</v>
      </c>
      <c r="B4511" s="24" t="str">
        <f>IFERROR(__xludf.DUMMYFUNCTION("""COMPUTED_VALUE"""),"Nathaniel McClean")</f>
        <v>Nathaniel McClean</v>
      </c>
      <c r="C4511" s="24">
        <f>IFERROR(__xludf.DUMMYFUNCTION("""COMPUTED_VALUE"""),5.0)</f>
        <v>5</v>
      </c>
      <c r="D4511" s="24" t="str">
        <f>IFERROR(__xludf.DUMMYFUNCTION("""COMPUTED_VALUE"""),"Damage/expired/extra")</f>
        <v>Damage/expired/extra</v>
      </c>
      <c r="F4511" s="23">
        <f>IFERROR(__xludf.DUMMYFUNCTION("""COMPUTED_VALUE"""),44926.0)</f>
        <v>44926</v>
      </c>
      <c r="G4511" s="24" t="str">
        <f>IFERROR(__xludf.DUMMYFUNCTION("""COMPUTED_VALUE"""),"Theresa Columbus")</f>
        <v>Theresa Columbus</v>
      </c>
      <c r="H4511" s="24">
        <f>IFERROR(__xludf.DUMMYFUNCTION("""COMPUTED_VALUE"""),1.0)</f>
        <v>1</v>
      </c>
      <c r="I4511" s="24" t="str">
        <f>IFERROR(__xludf.DUMMYFUNCTION("""COMPUTED_VALUE"""),"Damage/expired/extra")</f>
        <v>Damage/expired/extra</v>
      </c>
    </row>
    <row r="4512">
      <c r="A4512" s="23">
        <f>IFERROR(__xludf.DUMMYFUNCTION("""COMPUTED_VALUE"""),44925.67223138889)</f>
        <v>44925.67223</v>
      </c>
      <c r="B4512" s="24" t="str">
        <f>IFERROR(__xludf.DUMMYFUNCTION("""COMPUTED_VALUE"""),"Yulia")</f>
        <v>Yulia</v>
      </c>
      <c r="C4512" s="24">
        <f>IFERROR(__xludf.DUMMYFUNCTION("""COMPUTED_VALUE"""),20.0)</f>
        <v>20</v>
      </c>
      <c r="D4512" s="24" t="str">
        <f>IFERROR(__xludf.DUMMYFUNCTION("""COMPUTED_VALUE"""),"Regular (up to 20lbs)")</f>
        <v>Regular (up to 20lbs)</v>
      </c>
      <c r="F4512" s="23">
        <f>IFERROR(__xludf.DUMMYFUNCTION("""COMPUTED_VALUE"""),44926.0)</f>
        <v>44926</v>
      </c>
      <c r="G4512" s="24" t="str">
        <f>IFERROR(__xludf.DUMMYFUNCTION("""COMPUTED_VALUE"""),"Juanita Chandler ")</f>
        <v>Juanita Chandler </v>
      </c>
      <c r="H4512" s="24">
        <f>IFERROR(__xludf.DUMMYFUNCTION("""COMPUTED_VALUE"""),8.0)</f>
        <v>8</v>
      </c>
      <c r="I4512" s="24" t="str">
        <f>IFERROR(__xludf.DUMMYFUNCTION("""COMPUTED_VALUE"""),"Regular (up to 20lbs)")</f>
        <v>Regular (up to 20lbs)</v>
      </c>
    </row>
    <row r="4513">
      <c r="A4513" s="23">
        <f>IFERROR(__xludf.DUMMYFUNCTION("""COMPUTED_VALUE"""),44925.672411064814)</f>
        <v>44925.67241</v>
      </c>
      <c r="B4513" s="24" t="str">
        <f>IFERROR(__xludf.DUMMYFUNCTION("""COMPUTED_VALUE"""),"Yulia")</f>
        <v>Yulia</v>
      </c>
      <c r="C4513" s="24">
        <f>IFERROR(__xludf.DUMMYFUNCTION("""COMPUTED_VALUE"""),5.0)</f>
        <v>5</v>
      </c>
      <c r="D4513" s="24" t="str">
        <f>IFERROR(__xludf.DUMMYFUNCTION("""COMPUTED_VALUE"""),"Damage/expired/extra")</f>
        <v>Damage/expired/extra</v>
      </c>
      <c r="F4513" s="23">
        <f>IFERROR(__xludf.DUMMYFUNCTION("""COMPUTED_VALUE"""),44926.0)</f>
        <v>44926</v>
      </c>
      <c r="G4513" s="24" t="str">
        <f>IFERROR(__xludf.DUMMYFUNCTION("""COMPUTED_VALUE"""),"Juanita Chandler ")</f>
        <v>Juanita Chandler </v>
      </c>
      <c r="H4513" s="24">
        <f>IFERROR(__xludf.DUMMYFUNCTION("""COMPUTED_VALUE"""),9.0)</f>
        <v>9</v>
      </c>
      <c r="I4513" s="24" t="str">
        <f>IFERROR(__xludf.DUMMYFUNCTION("""COMPUTED_VALUE"""),"Damage/expired/extra")</f>
        <v>Damage/expired/extra</v>
      </c>
    </row>
    <row r="4514">
      <c r="A4514" s="23">
        <f>IFERROR(__xludf.DUMMYFUNCTION("""COMPUTED_VALUE"""),44925.67302241898)</f>
        <v>44925.67302</v>
      </c>
      <c r="B4514" s="24" t="str">
        <f>IFERROR(__xludf.DUMMYFUNCTION("""COMPUTED_VALUE"""),"Beth Torres")</f>
        <v>Beth Torres</v>
      </c>
      <c r="C4514" s="24">
        <f>IFERROR(__xludf.DUMMYFUNCTION("""COMPUTED_VALUE"""),20.0)</f>
        <v>20</v>
      </c>
      <c r="D4514" s="24" t="str">
        <f>IFERROR(__xludf.DUMMYFUNCTION("""COMPUTED_VALUE"""),"Regular (up to 20lbs)")</f>
        <v>Regular (up to 20lbs)</v>
      </c>
      <c r="F4514" s="23">
        <f>IFERROR(__xludf.DUMMYFUNCTION("""COMPUTED_VALUE"""),44926.5228817824)</f>
        <v>44926.52288</v>
      </c>
      <c r="G4514" s="24" t="str">
        <f>IFERROR(__xludf.DUMMYFUNCTION("""COMPUTED_VALUE"""),"Ryan Murphy")</f>
        <v>Ryan Murphy</v>
      </c>
      <c r="H4514" s="24">
        <f>IFERROR(__xludf.DUMMYFUNCTION("""COMPUTED_VALUE"""),15.0)</f>
        <v>15</v>
      </c>
      <c r="I4514" s="24" t="str">
        <f>IFERROR(__xludf.DUMMYFUNCTION("""COMPUTED_VALUE"""),"Regular (up to 20lbs)")</f>
        <v>Regular (up to 20lbs)</v>
      </c>
    </row>
    <row r="4515">
      <c r="A4515" s="23">
        <f>IFERROR(__xludf.DUMMYFUNCTION("""COMPUTED_VALUE"""),44925.67317256944)</f>
        <v>44925.67317</v>
      </c>
      <c r="B4515" s="24" t="str">
        <f>IFERROR(__xludf.DUMMYFUNCTION("""COMPUTED_VALUE"""),"Beth Torres")</f>
        <v>Beth Torres</v>
      </c>
      <c r="C4515" s="24">
        <f>IFERROR(__xludf.DUMMYFUNCTION("""COMPUTED_VALUE"""),2.0)</f>
        <v>2</v>
      </c>
      <c r="D4515" s="24" t="str">
        <f>IFERROR(__xludf.DUMMYFUNCTION("""COMPUTED_VALUE"""),"Damage/expired/extra")</f>
        <v>Damage/expired/extra</v>
      </c>
      <c r="F4515" s="23">
        <f>IFERROR(__xludf.DUMMYFUNCTION("""COMPUTED_VALUE"""),44926.54473570602)</f>
        <v>44926.54474</v>
      </c>
      <c r="G4515" s="24" t="str">
        <f>IFERROR(__xludf.DUMMYFUNCTION("""COMPUTED_VALUE"""),"JUANITA Chandler ")</f>
        <v>JUANITA Chandler </v>
      </c>
      <c r="H4515" s="24">
        <f>IFERROR(__xludf.DUMMYFUNCTION("""COMPUTED_VALUE"""),667.0)</f>
        <v>667</v>
      </c>
      <c r="I4515" s="24" t="str">
        <f>IFERROR(__xludf.DUMMYFUNCTION("""COMPUTED_VALUE"""),"Hand sanitizer ")</f>
        <v>Hand sanitizer </v>
      </c>
    </row>
    <row r="4516">
      <c r="A4516" s="23">
        <f>IFERROR(__xludf.DUMMYFUNCTION("""COMPUTED_VALUE"""),44925.68556658564)</f>
        <v>44925.68557</v>
      </c>
      <c r="B4516" s="24" t="str">
        <f>IFERROR(__xludf.DUMMYFUNCTION("""COMPUTED_VALUE"""),"Sunita pathik")</f>
        <v>Sunita pathik</v>
      </c>
      <c r="C4516" s="24">
        <f>IFERROR(__xludf.DUMMYFUNCTION("""COMPUTED_VALUE"""),7.0)</f>
        <v>7</v>
      </c>
      <c r="D4516" s="24" t="str">
        <f>IFERROR(__xludf.DUMMYFUNCTION("""COMPUTED_VALUE"""),"Regular (up to 20lbs)")</f>
        <v>Regular (up to 20lbs)</v>
      </c>
      <c r="F4516" s="23">
        <f>IFERROR(__xludf.DUMMYFUNCTION("""COMPUTED_VALUE"""),44926.54557618056)</f>
        <v>44926.54558</v>
      </c>
      <c r="G4516" s="24" t="str">
        <f>IFERROR(__xludf.DUMMYFUNCTION("""COMPUTED_VALUE"""),"JUANITA Chandler ")</f>
        <v>JUANITA Chandler </v>
      </c>
      <c r="H4516" s="24">
        <f>IFERROR(__xludf.DUMMYFUNCTION("""COMPUTED_VALUE"""),1112.0)</f>
        <v>1112</v>
      </c>
      <c r="I4516" s="24" t="str">
        <f>IFERROR(__xludf.DUMMYFUNCTION("""COMPUTED_VALUE"""),"Dole fruit cup ")</f>
        <v>Dole fruit cup </v>
      </c>
    </row>
    <row r="4517">
      <c r="A4517" s="23">
        <f>IFERROR(__xludf.DUMMYFUNCTION("""COMPUTED_VALUE"""),44925.0)</f>
        <v>44925</v>
      </c>
      <c r="B4517" s="24" t="str">
        <f>IFERROR(__xludf.DUMMYFUNCTION("""COMPUTED_VALUE"""),"Lynette Cromer")</f>
        <v>Lynette Cromer</v>
      </c>
      <c r="C4517" s="24">
        <f>IFERROR(__xludf.DUMMYFUNCTION("""COMPUTED_VALUE"""),18.0)</f>
        <v>18</v>
      </c>
      <c r="D4517" s="24" t="str">
        <f>IFERROR(__xludf.DUMMYFUNCTION("""COMPUTED_VALUE"""),"Regular (up to 20lbs)")</f>
        <v>Regular (up to 20lbs)</v>
      </c>
      <c r="F4517" s="23">
        <f>IFERROR(__xludf.DUMMYFUNCTION("""COMPUTED_VALUE"""),44926.54628064815)</f>
        <v>44926.54628</v>
      </c>
      <c r="G4517" s="24" t="str">
        <f>IFERROR(__xludf.DUMMYFUNCTION("""COMPUTED_VALUE"""),"JUANITA Chandler ")</f>
        <v>JUANITA Chandler </v>
      </c>
      <c r="H4517" s="24">
        <f>IFERROR(__xludf.DUMMYFUNCTION("""COMPUTED_VALUE"""),295.0)</f>
        <v>295</v>
      </c>
      <c r="I4517" s="24" t="str">
        <f>IFERROR(__xludf.DUMMYFUNCTION("""COMPUTED_VALUE"""),"Grains (rice, pasta, etc.)")</f>
        <v>Grains (rice, pasta, etc.)</v>
      </c>
    </row>
    <row r="4518">
      <c r="A4518" s="23">
        <f>IFERROR(__xludf.DUMMYFUNCTION("""COMPUTED_VALUE"""),44925.0)</f>
        <v>44925</v>
      </c>
      <c r="B4518" s="24" t="str">
        <f>IFERROR(__xludf.DUMMYFUNCTION("""COMPUTED_VALUE"""),"Lynette Cromer")</f>
        <v>Lynette Cromer</v>
      </c>
      <c r="C4518" s="24">
        <f>IFERROR(__xludf.DUMMYFUNCTION("""COMPUTED_VALUE"""),10.0)</f>
        <v>10</v>
      </c>
      <c r="D4518" s="24" t="str">
        <f>IFERROR(__xludf.DUMMYFUNCTION("""COMPUTED_VALUE"""),"Damage/expired/extra")</f>
        <v>Damage/expired/extra</v>
      </c>
      <c r="F4518" s="23">
        <f>IFERROR(__xludf.DUMMYFUNCTION("""COMPUTED_VALUE"""),44926.549180462964)</f>
        <v>44926.54918</v>
      </c>
      <c r="G4518" s="24" t="str">
        <f>IFERROR(__xludf.DUMMYFUNCTION("""COMPUTED_VALUE"""),"JUANITA Chandler ")</f>
        <v>JUANITA Chandler </v>
      </c>
      <c r="H4518" s="24">
        <f>IFERROR(__xludf.DUMMYFUNCTION("""COMPUTED_VALUE"""),1124.0)</f>
        <v>1124</v>
      </c>
      <c r="I4518" s="24" t="str">
        <f>IFERROR(__xludf.DUMMYFUNCTION("""COMPUTED_VALUE"""),"Dairy")</f>
        <v>Dairy</v>
      </c>
    </row>
    <row r="4519">
      <c r="A4519" s="23">
        <f>IFERROR(__xludf.DUMMYFUNCTION("""COMPUTED_VALUE"""),44925.0)</f>
        <v>44925</v>
      </c>
      <c r="B4519" s="24" t="str">
        <f>IFERROR(__xludf.DUMMYFUNCTION("""COMPUTED_VALUE"""),"Juanita Chandler ")</f>
        <v>Juanita Chandler </v>
      </c>
      <c r="C4519" s="24">
        <f>IFERROR(__xludf.DUMMYFUNCTION("""COMPUTED_VALUE"""),10.0)</f>
        <v>10</v>
      </c>
      <c r="D4519" s="24" t="str">
        <f>IFERROR(__xludf.DUMMYFUNCTION("""COMPUTED_VALUE"""),"Regular (up to 20lbs)")</f>
        <v>Regular (up to 20lbs)</v>
      </c>
      <c r="F4519" s="23">
        <f>IFERROR(__xludf.DUMMYFUNCTION("""COMPUTED_VALUE"""),44926.55029651621)</f>
        <v>44926.5503</v>
      </c>
      <c r="G4519" s="24" t="str">
        <f>IFERROR(__xludf.DUMMYFUNCTION("""COMPUTED_VALUE"""),"Juanita Chandler ")</f>
        <v>Juanita Chandler </v>
      </c>
      <c r="H4519" s="24">
        <f>IFERROR(__xludf.DUMMYFUNCTION("""COMPUTED_VALUE"""),1141.0)</f>
        <v>1141</v>
      </c>
      <c r="I4519" s="24" t="str">
        <f>IFERROR(__xludf.DUMMYFUNCTION("""COMPUTED_VALUE"""),"Dairy")</f>
        <v>Dairy</v>
      </c>
    </row>
    <row r="4520">
      <c r="A4520" s="23">
        <f>IFERROR(__xludf.DUMMYFUNCTION("""COMPUTED_VALUE"""),44925.0)</f>
        <v>44925</v>
      </c>
      <c r="B4520" s="24" t="str">
        <f>IFERROR(__xludf.DUMMYFUNCTION("""COMPUTED_VALUE"""),"Juanita Chandler ")</f>
        <v>Juanita Chandler </v>
      </c>
      <c r="C4520" s="24">
        <f>IFERROR(__xludf.DUMMYFUNCTION("""COMPUTED_VALUE"""),18.0)</f>
        <v>18</v>
      </c>
      <c r="D4520" s="24" t="str">
        <f>IFERROR(__xludf.DUMMYFUNCTION("""COMPUTED_VALUE"""),"Damage/expired/extra")</f>
        <v>Damage/expired/extra</v>
      </c>
      <c r="F4520" s="23">
        <f>IFERROR(__xludf.DUMMYFUNCTION("""COMPUTED_VALUE"""),44926.550712372686)</f>
        <v>44926.55071</v>
      </c>
      <c r="G4520" s="24" t="str">
        <f>IFERROR(__xludf.DUMMYFUNCTION("""COMPUTED_VALUE"""),"Juanita Chandler ")</f>
        <v>Juanita Chandler </v>
      </c>
      <c r="H4520" s="24">
        <f>IFERROR(__xludf.DUMMYFUNCTION("""COMPUTED_VALUE"""),424.0)</f>
        <v>424</v>
      </c>
      <c r="I4520" s="24" t="str">
        <f>IFERROR(__xludf.DUMMYFUNCTION("""COMPUTED_VALUE"""),"Produce")</f>
        <v>Produce</v>
      </c>
    </row>
    <row r="4521">
      <c r="A4521" s="23">
        <f>IFERROR(__xludf.DUMMYFUNCTION("""COMPUTED_VALUE"""),44926.5228817824)</f>
        <v>44926.52288</v>
      </c>
      <c r="B4521" s="24" t="str">
        <f>IFERROR(__xludf.DUMMYFUNCTION("""COMPUTED_VALUE"""),"Ryan Murphy")</f>
        <v>Ryan Murphy</v>
      </c>
      <c r="C4521" s="24">
        <f>IFERROR(__xludf.DUMMYFUNCTION("""COMPUTED_VALUE"""),15.0)</f>
        <v>15</v>
      </c>
      <c r="D4521" s="24" t="str">
        <f>IFERROR(__xludf.DUMMYFUNCTION("""COMPUTED_VALUE"""),"Regular (up to 20lbs)")</f>
        <v>Regular (up to 20lbs)</v>
      </c>
      <c r="F4521" s="23">
        <f>IFERROR(__xludf.DUMMYFUNCTION("""COMPUTED_VALUE"""),44926.55878864583)</f>
        <v>44926.55879</v>
      </c>
      <c r="G4521" s="24" t="str">
        <f>IFERROR(__xludf.DUMMYFUNCTION("""COMPUTED_VALUE"""),"Nicolle ")</f>
        <v>Nicolle </v>
      </c>
      <c r="H4521" s="24">
        <f>IFERROR(__xludf.DUMMYFUNCTION("""COMPUTED_VALUE"""),274.0)</f>
        <v>274</v>
      </c>
      <c r="I4521" s="24" t="str">
        <f>IFERROR(__xludf.DUMMYFUNCTION("""COMPUTED_VALUE"""),"Frozen [Not Meat]")</f>
        <v>Frozen [Not Meat]</v>
      </c>
    </row>
    <row r="4522">
      <c r="A4522" s="23">
        <f>IFERROR(__xludf.DUMMYFUNCTION("""COMPUTED_VALUE"""),44926.667139398145)</f>
        <v>44926.66714</v>
      </c>
      <c r="B4522" s="24" t="str">
        <f>IFERROR(__xludf.DUMMYFUNCTION("""COMPUTED_VALUE"""),"Beverly Pinn")</f>
        <v>Beverly Pinn</v>
      </c>
      <c r="C4522" s="24">
        <f>IFERROR(__xludf.DUMMYFUNCTION("""COMPUTED_VALUE"""),11.0)</f>
        <v>11</v>
      </c>
      <c r="D4522" s="24" t="str">
        <f>IFERROR(__xludf.DUMMYFUNCTION("""COMPUTED_VALUE"""),"Regular (up to 20lbs)")</f>
        <v>Regular (up to 20lbs)</v>
      </c>
      <c r="F4522" s="23">
        <f>IFERROR(__xludf.DUMMYFUNCTION("""COMPUTED_VALUE"""),44926.57752979167)</f>
        <v>44926.57753</v>
      </c>
      <c r="G4522" s="24" t="str">
        <f>IFERROR(__xludf.DUMMYFUNCTION("""COMPUTED_VALUE"""),"Juy Chandler ")</f>
        <v>Juy Chandler </v>
      </c>
      <c r="H4522" s="24">
        <f>IFERROR(__xludf.DUMMYFUNCTION("""COMPUTED_VALUE"""),785.0)</f>
        <v>785</v>
      </c>
      <c r="I4522" s="24" t="str">
        <f>IFERROR(__xludf.DUMMYFUNCTION("""COMPUTED_VALUE"""),"Frozen [Not Meat]")</f>
        <v>Frozen [Not Meat]</v>
      </c>
    </row>
    <row r="4523">
      <c r="A4523" s="23">
        <f>IFERROR(__xludf.DUMMYFUNCTION("""COMPUTED_VALUE"""),44926.68262608796)</f>
        <v>44926.68263</v>
      </c>
      <c r="B4523" s="24" t="str">
        <f>IFERROR(__xludf.DUMMYFUNCTION("""COMPUTED_VALUE"""),"Tina")</f>
        <v>Tina</v>
      </c>
      <c r="C4523" s="24">
        <f>IFERROR(__xludf.DUMMYFUNCTION("""COMPUTED_VALUE"""),10.0)</f>
        <v>10</v>
      </c>
      <c r="D4523" s="24" t="str">
        <f>IFERROR(__xludf.DUMMYFUNCTION("""COMPUTED_VALUE"""),"Regular (up to 20lbs)")</f>
        <v>Regular (up to 20lbs)</v>
      </c>
      <c r="F4523" s="23">
        <f>IFERROR(__xludf.DUMMYFUNCTION("""COMPUTED_VALUE"""),44926.58048180556)</f>
        <v>44926.58048</v>
      </c>
      <c r="G4523" s="24" t="str">
        <f>IFERROR(__xludf.DUMMYFUNCTION("""COMPUTED_VALUE"""),"JUANITA Chandler ")</f>
        <v>JUANITA Chandler </v>
      </c>
      <c r="H4523" s="24">
        <f>IFERROR(__xludf.DUMMYFUNCTION("""COMPUTED_VALUE"""),375.0)</f>
        <v>375</v>
      </c>
      <c r="I4523" s="24" t="str">
        <f>IFERROR(__xludf.DUMMYFUNCTION("""COMPUTED_VALUE"""),"Meat [Raw]")</f>
        <v>Meat [Raw]</v>
      </c>
    </row>
    <row r="4524">
      <c r="A4524" s="23">
        <f>IFERROR(__xludf.DUMMYFUNCTION("""COMPUTED_VALUE"""),44926.68438309027)</f>
        <v>44926.68438</v>
      </c>
      <c r="B4524" s="24" t="str">
        <f>IFERROR(__xludf.DUMMYFUNCTION("""COMPUTED_VALUE"""),"Nicolle diaz ")</f>
        <v>Nicolle diaz </v>
      </c>
      <c r="C4524" s="24">
        <f>IFERROR(__xludf.DUMMYFUNCTION("""COMPUTED_VALUE"""),15.0)</f>
        <v>15</v>
      </c>
      <c r="D4524" s="24" t="str">
        <f>IFERROR(__xludf.DUMMYFUNCTION("""COMPUTED_VALUE"""),"Regular (up to 20lbs)")</f>
        <v>Regular (up to 20lbs)</v>
      </c>
      <c r="F4524" s="23">
        <f>IFERROR(__xludf.DUMMYFUNCTION("""COMPUTED_VALUE"""),44926.657893171294)</f>
        <v>44926.65789</v>
      </c>
      <c r="G4524" s="24" t="str">
        <f>IFERROR(__xludf.DUMMYFUNCTION("""COMPUTED_VALUE"""),"JUANITA Chandler ")</f>
        <v>JUANITA Chandler </v>
      </c>
      <c r="H4524" s="24">
        <f>IFERROR(__xludf.DUMMYFUNCTION("""COMPUTED_VALUE"""),-138.0)</f>
        <v>-138</v>
      </c>
      <c r="I4524" s="24" t="str">
        <f>IFERROR(__xludf.DUMMYFUNCTION("""COMPUTED_VALUE"""),"Meat [Raw]")</f>
        <v>Meat [Raw]</v>
      </c>
    </row>
    <row r="4525">
      <c r="A4525" s="23">
        <f>IFERROR(__xludf.DUMMYFUNCTION("""COMPUTED_VALUE"""),44926.684491793974)</f>
        <v>44926.68449</v>
      </c>
      <c r="B4525" s="24" t="str">
        <f>IFERROR(__xludf.DUMMYFUNCTION("""COMPUTED_VALUE"""),"Nicolle diaz ")</f>
        <v>Nicolle diaz </v>
      </c>
      <c r="C4525" s="24">
        <f>IFERROR(__xludf.DUMMYFUNCTION("""COMPUTED_VALUE"""),4.0)</f>
        <v>4</v>
      </c>
      <c r="D4525" s="24" t="str">
        <f>IFERROR(__xludf.DUMMYFUNCTION("""COMPUTED_VALUE"""),"Damage/expired/extra")</f>
        <v>Damage/expired/extra</v>
      </c>
      <c r="F4525" s="23">
        <f>IFERROR(__xludf.DUMMYFUNCTION("""COMPUTED_VALUE"""),44926.65838114583)</f>
        <v>44926.65838</v>
      </c>
      <c r="G4525" s="24" t="str">
        <f>IFERROR(__xludf.DUMMYFUNCTION("""COMPUTED_VALUE"""),"JUANITA Chandler ")</f>
        <v>JUANITA Chandler </v>
      </c>
      <c r="H4525" s="24">
        <f>IFERROR(__xludf.DUMMYFUNCTION("""COMPUTED_VALUE"""),-315.0)</f>
        <v>-315</v>
      </c>
      <c r="I4525" s="24" t="str">
        <f>IFERROR(__xludf.DUMMYFUNCTION("""COMPUTED_VALUE"""),"Frozen [Not Meat]")</f>
        <v>Frozen [Not Meat]</v>
      </c>
    </row>
    <row r="4526">
      <c r="A4526" s="23">
        <f>IFERROR(__xludf.DUMMYFUNCTION("""COMPUTED_VALUE"""),44926.68514538195)</f>
        <v>44926.68515</v>
      </c>
      <c r="B4526" s="24" t="str">
        <f>IFERROR(__xludf.DUMMYFUNCTION("""COMPUTED_VALUE"""),"Anna West")</f>
        <v>Anna West</v>
      </c>
      <c r="C4526" s="24">
        <f>IFERROR(__xludf.DUMMYFUNCTION("""COMPUTED_VALUE"""),20.0)</f>
        <v>20</v>
      </c>
      <c r="D4526" s="24" t="str">
        <f>IFERROR(__xludf.DUMMYFUNCTION("""COMPUTED_VALUE"""),"Regular (up to 20lbs)")</f>
        <v>Regular (up to 20lbs)</v>
      </c>
      <c r="F4526" s="23">
        <f>IFERROR(__xludf.DUMMYFUNCTION("""COMPUTED_VALUE"""),44926.66037020833)</f>
        <v>44926.66037</v>
      </c>
      <c r="G4526" s="24" t="str">
        <f>IFERROR(__xludf.DUMMYFUNCTION("""COMPUTED_VALUE"""),"JUANITA Chandler ")</f>
        <v>JUANITA Chandler </v>
      </c>
      <c r="H4526" s="24">
        <f>IFERROR(__xludf.DUMMYFUNCTION("""COMPUTED_VALUE"""),-936.0)</f>
        <v>-936</v>
      </c>
      <c r="I4526" s="24" t="str">
        <f>IFERROR(__xludf.DUMMYFUNCTION("""COMPUTED_VALUE"""),"DOLE Fruit Cup ")</f>
        <v>DOLE Fruit Cup </v>
      </c>
    </row>
    <row r="4527">
      <c r="A4527" s="23">
        <f>IFERROR(__xludf.DUMMYFUNCTION("""COMPUTED_VALUE"""),44926.696406006944)</f>
        <v>44926.69641</v>
      </c>
      <c r="B4527" s="24" t="str">
        <f>IFERROR(__xludf.DUMMYFUNCTION("""COMPUTED_VALUE"""),"Lynnnette c")</f>
        <v>Lynnnette c</v>
      </c>
      <c r="C4527" s="24">
        <f>IFERROR(__xludf.DUMMYFUNCTION("""COMPUTED_VALUE"""),3.0)</f>
        <v>3</v>
      </c>
      <c r="D4527" s="24" t="str">
        <f>IFERROR(__xludf.DUMMYFUNCTION("""COMPUTED_VALUE"""),"Damage/expired/extra")</f>
        <v>Damage/expired/extra</v>
      </c>
      <c r="F4527" s="23">
        <f>IFERROR(__xludf.DUMMYFUNCTION("""COMPUTED_VALUE"""),44926.66318668981)</f>
        <v>44926.66319</v>
      </c>
      <c r="G4527" s="24" t="str">
        <f>IFERROR(__xludf.DUMMYFUNCTION("""COMPUTED_VALUE"""),"JUANITA Chandler ")</f>
        <v>JUANITA Chandler </v>
      </c>
      <c r="H4527" s="24">
        <f>IFERROR(__xludf.DUMMYFUNCTION("""COMPUTED_VALUE"""),-1135.0)</f>
        <v>-1135</v>
      </c>
      <c r="I4527" s="24" t="str">
        <f>IFERROR(__xludf.DUMMYFUNCTION("""COMPUTED_VALUE"""),"Dairy")</f>
        <v>Dairy</v>
      </c>
    </row>
    <row r="4528">
      <c r="A4528" s="23">
        <f>IFERROR(__xludf.DUMMYFUNCTION("""COMPUTED_VALUE"""),44926.0)</f>
        <v>44926</v>
      </c>
      <c r="B4528" s="24" t="str">
        <f>IFERROR(__xludf.DUMMYFUNCTION("""COMPUTED_VALUE"""),"Lynette Cromer")</f>
        <v>Lynette Cromer</v>
      </c>
      <c r="C4528" s="24">
        <f>IFERROR(__xludf.DUMMYFUNCTION("""COMPUTED_VALUE"""),9.0)</f>
        <v>9</v>
      </c>
      <c r="D4528" s="24" t="str">
        <f>IFERROR(__xludf.DUMMYFUNCTION("""COMPUTED_VALUE"""),"Regular (up to 20lbs)")</f>
        <v>Regular (up to 20lbs)</v>
      </c>
      <c r="F4528" s="23">
        <f>IFERROR(__xludf.DUMMYFUNCTION("""COMPUTED_VALUE"""),44926.6661269213)</f>
        <v>44926.66613</v>
      </c>
      <c r="G4528" s="24" t="str">
        <f>IFERROR(__xludf.DUMMYFUNCTION("""COMPUTED_VALUE"""),"JUANITA Chandler ")</f>
        <v>JUANITA Chandler </v>
      </c>
      <c r="H4528" s="24">
        <f>IFERROR(__xludf.DUMMYFUNCTION("""COMPUTED_VALUE"""),-529.0)</f>
        <v>-529</v>
      </c>
      <c r="I4528" s="24" t="str">
        <f>IFERROR(__xludf.DUMMYFUNCTION("""COMPUTED_VALUE"""),"Hand sanitizer ")</f>
        <v>Hand sanitizer </v>
      </c>
    </row>
    <row r="4529">
      <c r="A4529" s="23">
        <f>IFERROR(__xludf.DUMMYFUNCTION("""COMPUTED_VALUE"""),44926.0)</f>
        <v>44926</v>
      </c>
      <c r="B4529" s="24" t="str">
        <f>IFERROR(__xludf.DUMMYFUNCTION("""COMPUTED_VALUE"""),"Denise Rivers")</f>
        <v>Denise Rivers</v>
      </c>
      <c r="C4529" s="24">
        <f>IFERROR(__xludf.DUMMYFUNCTION("""COMPUTED_VALUE"""),19.0)</f>
        <v>19</v>
      </c>
      <c r="D4529" s="24" t="str">
        <f>IFERROR(__xludf.DUMMYFUNCTION("""COMPUTED_VALUE"""),"Regular (up to 20lbs)")</f>
        <v>Regular (up to 20lbs)</v>
      </c>
      <c r="F4529" s="23">
        <f>IFERROR(__xludf.DUMMYFUNCTION("""COMPUTED_VALUE"""),44926.667139398145)</f>
        <v>44926.66714</v>
      </c>
      <c r="G4529" s="24" t="str">
        <f>IFERROR(__xludf.DUMMYFUNCTION("""COMPUTED_VALUE"""),"Beverly Pinn")</f>
        <v>Beverly Pinn</v>
      </c>
      <c r="H4529" s="24">
        <f>IFERROR(__xludf.DUMMYFUNCTION("""COMPUTED_VALUE"""),11.0)</f>
        <v>11</v>
      </c>
      <c r="I4529" s="24" t="str">
        <f>IFERROR(__xludf.DUMMYFUNCTION("""COMPUTED_VALUE"""),"Regular (up to 20lbs)")</f>
        <v>Regular (up to 20lbs)</v>
      </c>
    </row>
    <row r="4530">
      <c r="A4530" s="23">
        <f>IFERROR(__xludf.DUMMYFUNCTION("""COMPUTED_VALUE"""),44926.0)</f>
        <v>44926</v>
      </c>
      <c r="B4530" s="24" t="str">
        <f>IFERROR(__xludf.DUMMYFUNCTION("""COMPUTED_VALUE"""),"Denise Rivers")</f>
        <v>Denise Rivers</v>
      </c>
      <c r="C4530" s="24">
        <f>IFERROR(__xludf.DUMMYFUNCTION("""COMPUTED_VALUE"""),7.0)</f>
        <v>7</v>
      </c>
      <c r="D4530" s="24" t="str">
        <f>IFERROR(__xludf.DUMMYFUNCTION("""COMPUTED_VALUE"""),"Damage/expired/extra")</f>
        <v>Damage/expired/extra</v>
      </c>
      <c r="F4530" s="23">
        <f>IFERROR(__xludf.DUMMYFUNCTION("""COMPUTED_VALUE"""),44926.68262608796)</f>
        <v>44926.68263</v>
      </c>
      <c r="G4530" s="24" t="str">
        <f>IFERROR(__xludf.DUMMYFUNCTION("""COMPUTED_VALUE"""),"Tina")</f>
        <v>Tina</v>
      </c>
      <c r="H4530" s="24">
        <f>IFERROR(__xludf.DUMMYFUNCTION("""COMPUTED_VALUE"""),10.0)</f>
        <v>10</v>
      </c>
      <c r="I4530" s="24" t="str">
        <f>IFERROR(__xludf.DUMMYFUNCTION("""COMPUTED_VALUE"""),"Regular (up to 20lbs)")</f>
        <v>Regular (up to 20lbs)</v>
      </c>
    </row>
    <row r="4531">
      <c r="A4531" s="23">
        <f>IFERROR(__xludf.DUMMYFUNCTION("""COMPUTED_VALUE"""),44926.0)</f>
        <v>44926</v>
      </c>
      <c r="B4531" s="24" t="str">
        <f>IFERROR(__xludf.DUMMYFUNCTION("""COMPUTED_VALUE"""),"Theresa Columbus")</f>
        <v>Theresa Columbus</v>
      </c>
      <c r="C4531" s="24">
        <f>IFERROR(__xludf.DUMMYFUNCTION("""COMPUTED_VALUE"""),14.0)</f>
        <v>14</v>
      </c>
      <c r="D4531" s="24" t="str">
        <f>IFERROR(__xludf.DUMMYFUNCTION("""COMPUTED_VALUE"""),"Regular (up to 20lbs)")</f>
        <v>Regular (up to 20lbs)</v>
      </c>
      <c r="F4531" s="23">
        <f>IFERROR(__xludf.DUMMYFUNCTION("""COMPUTED_VALUE"""),44926.68438309027)</f>
        <v>44926.68438</v>
      </c>
      <c r="G4531" s="24" t="str">
        <f>IFERROR(__xludf.DUMMYFUNCTION("""COMPUTED_VALUE"""),"Nicolle diaz ")</f>
        <v>Nicolle diaz </v>
      </c>
      <c r="H4531" s="24">
        <f>IFERROR(__xludf.DUMMYFUNCTION("""COMPUTED_VALUE"""),15.0)</f>
        <v>15</v>
      </c>
      <c r="I4531" s="24" t="str">
        <f>IFERROR(__xludf.DUMMYFUNCTION("""COMPUTED_VALUE"""),"Regular (up to 20lbs)")</f>
        <v>Regular (up to 20lbs)</v>
      </c>
    </row>
    <row r="4532">
      <c r="A4532" s="23">
        <f>IFERROR(__xludf.DUMMYFUNCTION("""COMPUTED_VALUE"""),44926.0)</f>
        <v>44926</v>
      </c>
      <c r="B4532" s="24" t="str">
        <f>IFERROR(__xludf.DUMMYFUNCTION("""COMPUTED_VALUE"""),"Theresa Columbus")</f>
        <v>Theresa Columbus</v>
      </c>
      <c r="C4532" s="24">
        <f>IFERROR(__xludf.DUMMYFUNCTION("""COMPUTED_VALUE"""),1.0)</f>
        <v>1</v>
      </c>
      <c r="D4532" s="24" t="str">
        <f>IFERROR(__xludf.DUMMYFUNCTION("""COMPUTED_VALUE"""),"Damage/expired/extra")</f>
        <v>Damage/expired/extra</v>
      </c>
      <c r="F4532" s="23">
        <f>IFERROR(__xludf.DUMMYFUNCTION("""COMPUTED_VALUE"""),44926.684491793974)</f>
        <v>44926.68449</v>
      </c>
      <c r="G4532" s="24" t="str">
        <f>IFERROR(__xludf.DUMMYFUNCTION("""COMPUTED_VALUE"""),"Nicolle diaz ")</f>
        <v>Nicolle diaz </v>
      </c>
      <c r="H4532" s="24">
        <f>IFERROR(__xludf.DUMMYFUNCTION("""COMPUTED_VALUE"""),4.0)</f>
        <v>4</v>
      </c>
      <c r="I4532" s="24" t="str">
        <f>IFERROR(__xludf.DUMMYFUNCTION("""COMPUTED_VALUE"""),"Damage/expired/extra")</f>
        <v>Damage/expired/extra</v>
      </c>
    </row>
    <row r="4533">
      <c r="A4533" s="23">
        <f>IFERROR(__xludf.DUMMYFUNCTION("""COMPUTED_VALUE"""),44926.0)</f>
        <v>44926</v>
      </c>
      <c r="B4533" s="24" t="str">
        <f>IFERROR(__xludf.DUMMYFUNCTION("""COMPUTED_VALUE"""),"Juanita Chandler ")</f>
        <v>Juanita Chandler </v>
      </c>
      <c r="C4533" s="24">
        <f>IFERROR(__xludf.DUMMYFUNCTION("""COMPUTED_VALUE"""),8.0)</f>
        <v>8</v>
      </c>
      <c r="D4533" s="24" t="str">
        <f>IFERROR(__xludf.DUMMYFUNCTION("""COMPUTED_VALUE"""),"Regular (up to 20lbs)")</f>
        <v>Regular (up to 20lbs)</v>
      </c>
      <c r="F4533" s="23">
        <f>IFERROR(__xludf.DUMMYFUNCTION("""COMPUTED_VALUE"""),44926.68514538195)</f>
        <v>44926.68515</v>
      </c>
      <c r="G4533" s="24" t="str">
        <f>IFERROR(__xludf.DUMMYFUNCTION("""COMPUTED_VALUE"""),"Anna West")</f>
        <v>Anna West</v>
      </c>
      <c r="H4533" s="24">
        <f>IFERROR(__xludf.DUMMYFUNCTION("""COMPUTED_VALUE"""),20.0)</f>
        <v>20</v>
      </c>
      <c r="I4533" s="24" t="str">
        <f>IFERROR(__xludf.DUMMYFUNCTION("""COMPUTED_VALUE"""),"Regular (up to 20lbs)")</f>
        <v>Regular (up to 20lbs)</v>
      </c>
    </row>
    <row r="4534">
      <c r="A4534" s="23">
        <f>IFERROR(__xludf.DUMMYFUNCTION("""COMPUTED_VALUE"""),44926.0)</f>
        <v>44926</v>
      </c>
      <c r="B4534" s="24" t="str">
        <f>IFERROR(__xludf.DUMMYFUNCTION("""COMPUTED_VALUE"""),"Juanita Chandler ")</f>
        <v>Juanita Chandler </v>
      </c>
      <c r="C4534" s="24">
        <f>IFERROR(__xludf.DUMMYFUNCTION("""COMPUTED_VALUE"""),9.0)</f>
        <v>9</v>
      </c>
      <c r="D4534" s="24" t="str">
        <f>IFERROR(__xludf.DUMMYFUNCTION("""COMPUTED_VALUE"""),"Damage/expired/extra")</f>
        <v>Damage/expired/extra</v>
      </c>
      <c r="F4534" s="23">
        <f>IFERROR(__xludf.DUMMYFUNCTION("""COMPUTED_VALUE"""),44926.696406006944)</f>
        <v>44926.69641</v>
      </c>
      <c r="G4534" s="24" t="str">
        <f>IFERROR(__xludf.DUMMYFUNCTION("""COMPUTED_VALUE"""),"Lynnnette c")</f>
        <v>Lynnnette c</v>
      </c>
      <c r="H4534" s="24">
        <f>IFERROR(__xludf.DUMMYFUNCTION("""COMPUTED_VALUE"""),3.0)</f>
        <v>3</v>
      </c>
      <c r="I4534" s="24" t="str">
        <f>IFERROR(__xludf.DUMMYFUNCTION("""COMPUTED_VALUE"""),"Damage/expired/extra")</f>
        <v>Damage/expired/extra</v>
      </c>
    </row>
  </sheetData>
  <autoFilter ref="$A$1:$D$807"/>
  <customSheetViews>
    <customSheetView guid="{E44C135C-E9BF-4D82-897C-104C646689B3}" filter="1" showAutoFilter="1">
      <autoFilter ref="$F$1:$I$807">
        <sortState ref="F1:I807">
          <sortCondition ref="F1:F807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21" t="s">
        <v>28</v>
      </c>
      <c r="B1" s="21" t="s">
        <v>29</v>
      </c>
      <c r="C1" s="21" t="s">
        <v>30</v>
      </c>
      <c r="D1" s="21" t="s">
        <v>31</v>
      </c>
      <c r="E1" s="21" t="s">
        <v>33</v>
      </c>
      <c r="F1" s="22" t="s">
        <v>34</v>
      </c>
      <c r="G1" s="21"/>
      <c r="H1" s="21"/>
      <c r="I1" s="21"/>
      <c r="J1" s="21"/>
      <c r="K1" s="21"/>
      <c r="L1" s="21"/>
    </row>
    <row r="2">
      <c r="A2" s="26">
        <v>44567.62009578704</v>
      </c>
      <c r="B2" s="20" t="s">
        <v>35</v>
      </c>
      <c r="C2" s="20">
        <v>729.0</v>
      </c>
      <c r="D2" s="20" t="s">
        <v>36</v>
      </c>
      <c r="E2" s="20" t="s">
        <v>37</v>
      </c>
      <c r="F2" s="27"/>
    </row>
    <row r="3">
      <c r="A3" s="26">
        <v>44567.62109519676</v>
      </c>
      <c r="B3" s="20" t="s">
        <v>35</v>
      </c>
      <c r="C3" s="20">
        <v>1090.0</v>
      </c>
      <c r="D3" s="20" t="s">
        <v>38</v>
      </c>
      <c r="E3" s="20" t="s">
        <v>39</v>
      </c>
      <c r="F3" s="27"/>
    </row>
    <row r="4">
      <c r="A4" s="26">
        <v>44567.62176098379</v>
      </c>
      <c r="B4" s="20" t="s">
        <v>35</v>
      </c>
      <c r="C4" s="20">
        <v>998.0</v>
      </c>
      <c r="D4" s="20" t="s">
        <v>40</v>
      </c>
      <c r="E4" s="20" t="s">
        <v>41</v>
      </c>
      <c r="F4" s="27"/>
    </row>
    <row r="5">
      <c r="A5" s="26">
        <v>44567.62219072916</v>
      </c>
      <c r="B5" s="20" t="s">
        <v>37</v>
      </c>
      <c r="C5" s="20">
        <v>601.0</v>
      </c>
      <c r="D5" s="20" t="s">
        <v>36</v>
      </c>
      <c r="E5" s="20" t="s">
        <v>37</v>
      </c>
      <c r="F5" s="27"/>
    </row>
    <row r="6">
      <c r="A6" s="26">
        <v>44567.62259439815</v>
      </c>
      <c r="B6" s="20" t="s">
        <v>35</v>
      </c>
      <c r="C6" s="20">
        <v>637.0</v>
      </c>
      <c r="D6" s="20" t="s">
        <v>40</v>
      </c>
      <c r="E6" s="20" t="s">
        <v>37</v>
      </c>
      <c r="F6" s="27"/>
    </row>
    <row r="7">
      <c r="A7" s="26">
        <v>44567.62298547453</v>
      </c>
      <c r="B7" s="20" t="s">
        <v>35</v>
      </c>
      <c r="C7" s="20">
        <v>1206.0</v>
      </c>
      <c r="D7" s="20" t="s">
        <v>38</v>
      </c>
      <c r="E7" s="20" t="s">
        <v>37</v>
      </c>
      <c r="F7" s="27"/>
    </row>
    <row r="8">
      <c r="A8" s="26">
        <v>44567.62468046296</v>
      </c>
      <c r="B8" s="20" t="s">
        <v>35</v>
      </c>
      <c r="C8" s="20">
        <v>695.0</v>
      </c>
      <c r="D8" s="20" t="s">
        <v>38</v>
      </c>
      <c r="E8" s="20" t="s">
        <v>42</v>
      </c>
      <c r="F8" s="27"/>
    </row>
    <row r="9">
      <c r="A9" s="26">
        <v>44567.625842291665</v>
      </c>
      <c r="B9" s="20" t="s">
        <v>35</v>
      </c>
      <c r="C9" s="20">
        <v>1012.0</v>
      </c>
      <c r="D9" s="20" t="s">
        <v>43</v>
      </c>
      <c r="E9" s="20" t="s">
        <v>44</v>
      </c>
      <c r="F9" s="27"/>
    </row>
    <row r="10">
      <c r="A10" s="26">
        <v>44567.62646225694</v>
      </c>
      <c r="B10" s="20" t="s">
        <v>45</v>
      </c>
      <c r="C10" s="20">
        <v>248.0</v>
      </c>
      <c r="D10" s="20" t="s">
        <v>38</v>
      </c>
      <c r="E10" s="20" t="s">
        <v>46</v>
      </c>
      <c r="F10" s="27"/>
    </row>
    <row r="11">
      <c r="A11" s="26">
        <v>44567.62706989583</v>
      </c>
      <c r="B11" s="20" t="s">
        <v>35</v>
      </c>
      <c r="C11" s="20">
        <v>540.0</v>
      </c>
      <c r="D11" s="20" t="s">
        <v>47</v>
      </c>
      <c r="E11" s="20" t="s">
        <v>42</v>
      </c>
      <c r="F11" s="27"/>
    </row>
    <row r="12">
      <c r="A12" s="26">
        <v>44567.62743232639</v>
      </c>
      <c r="B12" s="20" t="s">
        <v>35</v>
      </c>
      <c r="C12" s="20">
        <v>715.0</v>
      </c>
      <c r="D12" s="20" t="s">
        <v>36</v>
      </c>
      <c r="E12" s="20" t="s">
        <v>46</v>
      </c>
      <c r="F12" s="27"/>
    </row>
    <row r="13">
      <c r="A13" s="26">
        <v>44567.62814289352</v>
      </c>
      <c r="B13" s="20" t="s">
        <v>35</v>
      </c>
      <c r="C13" s="20">
        <v>1155.0</v>
      </c>
      <c r="D13" s="20" t="s">
        <v>38</v>
      </c>
      <c r="E13" s="20" t="s">
        <v>48</v>
      </c>
      <c r="F13" s="27"/>
    </row>
    <row r="14">
      <c r="A14" s="26">
        <v>44567.628478715276</v>
      </c>
      <c r="B14" s="20" t="s">
        <v>35</v>
      </c>
      <c r="C14" s="20">
        <v>162.0</v>
      </c>
      <c r="D14" s="20" t="s">
        <v>40</v>
      </c>
      <c r="E14" s="20" t="s">
        <v>46</v>
      </c>
      <c r="F14" s="27"/>
    </row>
    <row r="15">
      <c r="A15" s="26">
        <v>44567.686249791666</v>
      </c>
      <c r="B15" s="20" t="s">
        <v>49</v>
      </c>
      <c r="C15" s="20">
        <v>366.0</v>
      </c>
      <c r="D15" s="20" t="s">
        <v>40</v>
      </c>
      <c r="E15" s="20" t="s">
        <v>50</v>
      </c>
      <c r="F15" s="27"/>
    </row>
    <row r="16">
      <c r="A16" s="26">
        <v>44567.68649680556</v>
      </c>
      <c r="B16" s="20" t="s">
        <v>49</v>
      </c>
      <c r="C16" s="20">
        <v>313.0</v>
      </c>
      <c r="D16" s="20" t="s">
        <v>38</v>
      </c>
      <c r="E16" s="20" t="s">
        <v>50</v>
      </c>
      <c r="F16" s="27"/>
    </row>
    <row r="17">
      <c r="A17" s="26">
        <v>44567.68681201389</v>
      </c>
      <c r="B17" s="20" t="s">
        <v>49</v>
      </c>
      <c r="C17" s="20">
        <v>986.0</v>
      </c>
      <c r="D17" s="20" t="s">
        <v>38</v>
      </c>
      <c r="E17" s="20" t="s">
        <v>50</v>
      </c>
      <c r="F17" s="27"/>
    </row>
    <row r="18">
      <c r="A18" s="26">
        <v>44567.687206215276</v>
      </c>
      <c r="B18" s="20" t="s">
        <v>49</v>
      </c>
      <c r="C18" s="20">
        <v>817.0</v>
      </c>
      <c r="D18" s="20" t="s">
        <v>40</v>
      </c>
      <c r="E18" s="20" t="s">
        <v>50</v>
      </c>
      <c r="F18" s="27"/>
    </row>
    <row r="19">
      <c r="A19" s="26">
        <v>44567.68818887731</v>
      </c>
      <c r="B19" s="20" t="s">
        <v>49</v>
      </c>
      <c r="C19" s="20">
        <v>817.0</v>
      </c>
      <c r="D19" s="20" t="s">
        <v>40</v>
      </c>
      <c r="E19" s="20" t="s">
        <v>50</v>
      </c>
      <c r="F19" s="27"/>
    </row>
    <row r="20">
      <c r="A20" s="26">
        <v>44567.68866670139</v>
      </c>
      <c r="B20" s="20" t="s">
        <v>49</v>
      </c>
      <c r="C20" s="20">
        <v>802.0</v>
      </c>
      <c r="D20" s="20" t="s">
        <v>40</v>
      </c>
      <c r="E20" s="20" t="s">
        <v>50</v>
      </c>
      <c r="F20" s="27"/>
    </row>
    <row r="21">
      <c r="A21" s="26">
        <v>44567.68888818287</v>
      </c>
      <c r="B21" s="20" t="s">
        <v>49</v>
      </c>
      <c r="C21" s="20">
        <v>833.0</v>
      </c>
      <c r="D21" s="20" t="s">
        <v>36</v>
      </c>
      <c r="E21" s="20" t="s">
        <v>50</v>
      </c>
      <c r="F21" s="27"/>
    </row>
    <row r="22">
      <c r="A22" s="26">
        <v>44567.68923256945</v>
      </c>
      <c r="B22" s="20" t="s">
        <v>49</v>
      </c>
      <c r="C22" s="20">
        <v>449.0</v>
      </c>
      <c r="D22" s="20" t="s">
        <v>40</v>
      </c>
      <c r="E22" s="20" t="s">
        <v>50</v>
      </c>
      <c r="F22" s="27"/>
    </row>
    <row r="23">
      <c r="A23" s="26">
        <v>44567.68947146991</v>
      </c>
      <c r="B23" s="20" t="s">
        <v>49</v>
      </c>
      <c r="C23" s="20">
        <v>332.0</v>
      </c>
      <c r="D23" s="20" t="s">
        <v>36</v>
      </c>
      <c r="E23" s="20" t="s">
        <v>50</v>
      </c>
      <c r="F23" s="27"/>
    </row>
    <row r="24">
      <c r="A24" s="26">
        <v>44567.6897934375</v>
      </c>
      <c r="B24" s="20" t="s">
        <v>49</v>
      </c>
      <c r="C24" s="20">
        <v>218.0</v>
      </c>
      <c r="D24" s="20" t="s">
        <v>36</v>
      </c>
      <c r="E24" s="20" t="s">
        <v>50</v>
      </c>
      <c r="F24" s="27"/>
    </row>
    <row r="25">
      <c r="A25" s="26">
        <v>44567.69005204861</v>
      </c>
      <c r="B25" s="20" t="s">
        <v>49</v>
      </c>
      <c r="C25" s="20">
        <v>330.0</v>
      </c>
      <c r="D25" s="20" t="s">
        <v>40</v>
      </c>
      <c r="E25" s="20" t="s">
        <v>50</v>
      </c>
      <c r="F25" s="27"/>
    </row>
    <row r="26">
      <c r="A26" s="26">
        <v>44567.690624062496</v>
      </c>
      <c r="B26" s="20" t="s">
        <v>49</v>
      </c>
      <c r="C26" s="20">
        <v>1001.0</v>
      </c>
      <c r="D26" s="20" t="s">
        <v>36</v>
      </c>
      <c r="E26" s="20" t="s">
        <v>51</v>
      </c>
      <c r="F26" s="27"/>
    </row>
    <row r="27">
      <c r="A27" s="26">
        <v>44567.69112716435</v>
      </c>
      <c r="B27" s="20" t="s">
        <v>49</v>
      </c>
      <c r="C27" s="20">
        <v>728.0</v>
      </c>
      <c r="D27" s="20" t="s">
        <v>40</v>
      </c>
      <c r="E27" s="20" t="s">
        <v>52</v>
      </c>
      <c r="F27" s="27"/>
    </row>
    <row r="28">
      <c r="A28" s="26">
        <v>44567.694243819446</v>
      </c>
      <c r="B28" s="20" t="s">
        <v>49</v>
      </c>
      <c r="C28" s="20">
        <v>540.0</v>
      </c>
      <c r="D28" s="20" t="s">
        <v>53</v>
      </c>
      <c r="E28" s="20" t="s">
        <v>54</v>
      </c>
      <c r="F28" s="27"/>
    </row>
    <row r="29">
      <c r="A29" s="28">
        <v>44568.0</v>
      </c>
      <c r="B29" s="20" t="s">
        <v>55</v>
      </c>
      <c r="C29" s="20">
        <v>660.0</v>
      </c>
      <c r="D29" s="20" t="s">
        <v>56</v>
      </c>
      <c r="E29" s="20" t="s">
        <v>57</v>
      </c>
      <c r="F29" s="27"/>
    </row>
    <row r="30">
      <c r="A30" s="28">
        <v>44568.0</v>
      </c>
      <c r="B30" s="20" t="s">
        <v>55</v>
      </c>
      <c r="C30" s="20">
        <v>520.0</v>
      </c>
      <c r="D30" s="20" t="s">
        <v>40</v>
      </c>
      <c r="E30" s="20" t="s">
        <v>57</v>
      </c>
      <c r="F30" s="27"/>
    </row>
    <row r="31">
      <c r="A31" s="28">
        <v>44568.0</v>
      </c>
      <c r="B31" s="20" t="s">
        <v>55</v>
      </c>
      <c r="C31" s="20">
        <v>646.0</v>
      </c>
      <c r="D31" s="20" t="s">
        <v>58</v>
      </c>
      <c r="E31" s="20" t="s">
        <v>57</v>
      </c>
      <c r="F31" s="27"/>
    </row>
    <row r="32">
      <c r="A32" s="28">
        <v>44568.0</v>
      </c>
      <c r="B32" s="20" t="s">
        <v>55</v>
      </c>
      <c r="C32" s="20">
        <v>437.0</v>
      </c>
      <c r="D32" s="20" t="s">
        <v>59</v>
      </c>
      <c r="E32" s="20" t="s">
        <v>57</v>
      </c>
      <c r="F32" s="27"/>
    </row>
    <row r="33">
      <c r="A33" s="28">
        <v>44568.0</v>
      </c>
      <c r="B33" s="20" t="s">
        <v>55</v>
      </c>
      <c r="C33" s="20">
        <v>812.0</v>
      </c>
      <c r="D33" s="20" t="s">
        <v>40</v>
      </c>
      <c r="E33" s="20" t="s">
        <v>45</v>
      </c>
      <c r="F33" s="27"/>
    </row>
    <row r="34">
      <c r="A34" s="28">
        <v>44568.0</v>
      </c>
      <c r="B34" s="20" t="s">
        <v>55</v>
      </c>
      <c r="C34" s="20">
        <v>734.0</v>
      </c>
      <c r="D34" s="20" t="s">
        <v>40</v>
      </c>
      <c r="E34" s="20" t="s">
        <v>45</v>
      </c>
      <c r="F34" s="27"/>
    </row>
    <row r="35">
      <c r="A35" s="26">
        <v>44568.71184971065</v>
      </c>
      <c r="B35" s="20" t="s">
        <v>55</v>
      </c>
      <c r="C35" s="20">
        <v>135.0</v>
      </c>
      <c r="D35" s="20" t="s">
        <v>40</v>
      </c>
      <c r="E35" s="20" t="s">
        <v>60</v>
      </c>
      <c r="F35" s="27"/>
    </row>
    <row r="36">
      <c r="A36" s="26">
        <v>44569.74396680556</v>
      </c>
      <c r="B36" s="20" t="s">
        <v>61</v>
      </c>
      <c r="C36" s="20">
        <v>18.6</v>
      </c>
      <c r="D36" s="20" t="s">
        <v>40</v>
      </c>
      <c r="E36" s="20" t="s">
        <v>62</v>
      </c>
      <c r="F36" s="27"/>
    </row>
    <row r="37">
      <c r="A37" s="26">
        <v>44570.514503275466</v>
      </c>
      <c r="B37" s="20" t="s">
        <v>63</v>
      </c>
      <c r="C37" s="20">
        <v>124.0</v>
      </c>
      <c r="D37" s="20" t="s">
        <v>64</v>
      </c>
      <c r="E37" s="20" t="s">
        <v>63</v>
      </c>
      <c r="F37" s="27"/>
    </row>
    <row r="38">
      <c r="A38" s="26">
        <v>44570.5660184375</v>
      </c>
      <c r="B38" s="20" t="s">
        <v>63</v>
      </c>
      <c r="C38" s="20">
        <v>224.0</v>
      </c>
      <c r="D38" s="20" t="s">
        <v>38</v>
      </c>
      <c r="E38" s="20" t="s">
        <v>65</v>
      </c>
      <c r="F38" s="27"/>
    </row>
    <row r="39">
      <c r="A39" s="26">
        <v>44570.56637166667</v>
      </c>
      <c r="B39" s="20" t="s">
        <v>63</v>
      </c>
      <c r="C39" s="20">
        <v>202.0</v>
      </c>
      <c r="D39" s="20" t="s">
        <v>66</v>
      </c>
      <c r="E39" s="20" t="s">
        <v>65</v>
      </c>
      <c r="F39" s="27"/>
    </row>
    <row r="40">
      <c r="A40" s="26">
        <v>44570.56660457176</v>
      </c>
      <c r="B40" s="20" t="s">
        <v>63</v>
      </c>
      <c r="C40" s="20">
        <v>860.0</v>
      </c>
      <c r="D40" s="20" t="s">
        <v>40</v>
      </c>
      <c r="E40" s="20" t="s">
        <v>65</v>
      </c>
      <c r="F40" s="27"/>
    </row>
    <row r="41">
      <c r="A41" s="26">
        <v>44570.59990447917</v>
      </c>
      <c r="B41" s="20" t="s">
        <v>67</v>
      </c>
      <c r="C41" s="20">
        <v>120.0</v>
      </c>
      <c r="D41" s="20" t="s">
        <v>68</v>
      </c>
      <c r="E41" s="20" t="s">
        <v>50</v>
      </c>
      <c r="F41" s="27"/>
    </row>
    <row r="42">
      <c r="A42" s="26">
        <v>44570.687908391206</v>
      </c>
      <c r="B42" s="20" t="s">
        <v>69</v>
      </c>
      <c r="C42" s="20">
        <v>18.0</v>
      </c>
      <c r="D42" s="20" t="s">
        <v>64</v>
      </c>
      <c r="E42" s="20" t="s">
        <v>63</v>
      </c>
      <c r="F42" s="27"/>
    </row>
    <row r="43">
      <c r="A43" s="26">
        <v>44573.58751681713</v>
      </c>
      <c r="B43" s="20" t="s">
        <v>49</v>
      </c>
      <c r="C43" s="20">
        <v>820.0</v>
      </c>
      <c r="D43" s="20" t="s">
        <v>40</v>
      </c>
      <c r="E43" s="20" t="s">
        <v>70</v>
      </c>
      <c r="F43" s="27"/>
    </row>
    <row r="44">
      <c r="A44" s="26">
        <v>44573.58779533565</v>
      </c>
      <c r="B44" s="20" t="s">
        <v>49</v>
      </c>
      <c r="C44" s="20">
        <v>1127.0</v>
      </c>
      <c r="D44" s="20" t="s">
        <v>36</v>
      </c>
      <c r="E44" s="20" t="s">
        <v>70</v>
      </c>
      <c r="F44" s="27"/>
    </row>
    <row r="45">
      <c r="A45" s="26">
        <v>44573.588380416666</v>
      </c>
      <c r="B45" s="20" t="s">
        <v>49</v>
      </c>
      <c r="C45" s="20">
        <v>847.0</v>
      </c>
      <c r="D45" s="20" t="s">
        <v>40</v>
      </c>
      <c r="E45" s="20" t="s">
        <v>70</v>
      </c>
      <c r="F45" s="27"/>
    </row>
    <row r="46">
      <c r="A46" s="26">
        <v>44573.588981168985</v>
      </c>
      <c r="B46" s="20" t="s">
        <v>49</v>
      </c>
      <c r="C46" s="20">
        <v>593.0</v>
      </c>
      <c r="D46" s="20" t="s">
        <v>38</v>
      </c>
      <c r="E46" s="20" t="s">
        <v>70</v>
      </c>
      <c r="F46" s="27"/>
    </row>
    <row r="47">
      <c r="A47" s="26">
        <v>44574.507865775464</v>
      </c>
      <c r="B47" s="20" t="s">
        <v>55</v>
      </c>
      <c r="C47" s="20">
        <v>1388.0</v>
      </c>
      <c r="D47" s="20" t="s">
        <v>40</v>
      </c>
      <c r="E47" s="20" t="s">
        <v>71</v>
      </c>
      <c r="F47" s="27"/>
    </row>
    <row r="48">
      <c r="A48" s="26">
        <v>44574.50873777778</v>
      </c>
      <c r="B48" s="20" t="s">
        <v>55</v>
      </c>
      <c r="C48" s="20">
        <v>286.0</v>
      </c>
      <c r="D48" s="20" t="s">
        <v>38</v>
      </c>
      <c r="E48" s="20" t="s">
        <v>71</v>
      </c>
      <c r="F48" s="27"/>
    </row>
    <row r="49">
      <c r="A49" s="26">
        <v>44574.50922306713</v>
      </c>
      <c r="B49" s="20" t="s">
        <v>55</v>
      </c>
      <c r="C49" s="20">
        <v>264.0</v>
      </c>
      <c r="D49" s="20" t="s">
        <v>47</v>
      </c>
      <c r="E49" s="20" t="s">
        <v>71</v>
      </c>
      <c r="F49" s="27"/>
    </row>
    <row r="50">
      <c r="A50" s="26">
        <v>44574.51010673611</v>
      </c>
      <c r="B50" s="20" t="s">
        <v>55</v>
      </c>
      <c r="C50" s="20">
        <v>1260.0</v>
      </c>
      <c r="D50" s="20" t="s">
        <v>40</v>
      </c>
      <c r="E50" s="20" t="s">
        <v>71</v>
      </c>
      <c r="F50" s="27"/>
    </row>
    <row r="51">
      <c r="A51" s="26">
        <v>44574.510642395835</v>
      </c>
      <c r="B51" s="20" t="s">
        <v>55</v>
      </c>
      <c r="C51" s="20">
        <v>1607.0</v>
      </c>
      <c r="D51" s="20" t="s">
        <v>72</v>
      </c>
      <c r="E51" s="20" t="s">
        <v>46</v>
      </c>
      <c r="F51" s="27"/>
    </row>
    <row r="52">
      <c r="A52" s="26">
        <v>44574.5110388426</v>
      </c>
      <c r="B52" s="20" t="s">
        <v>55</v>
      </c>
      <c r="C52" s="20">
        <v>714.0</v>
      </c>
      <c r="D52" s="20" t="s">
        <v>40</v>
      </c>
      <c r="E52" s="20" t="s">
        <v>46</v>
      </c>
      <c r="F52" s="27"/>
    </row>
    <row r="53">
      <c r="A53" s="26">
        <v>44574.51128861112</v>
      </c>
      <c r="B53" s="20" t="s">
        <v>55</v>
      </c>
      <c r="C53" s="20">
        <v>509.0</v>
      </c>
      <c r="D53" s="20" t="s">
        <v>36</v>
      </c>
      <c r="E53" s="20" t="s">
        <v>46</v>
      </c>
      <c r="F53" s="27"/>
    </row>
    <row r="54">
      <c r="A54" s="26">
        <v>44574.51228802084</v>
      </c>
      <c r="B54" s="20" t="s">
        <v>55</v>
      </c>
      <c r="C54" s="20">
        <v>1162.0</v>
      </c>
      <c r="D54" s="20" t="s">
        <v>40</v>
      </c>
      <c r="E54" s="20" t="s">
        <v>46</v>
      </c>
      <c r="F54" s="27"/>
    </row>
    <row r="55">
      <c r="A55" s="26">
        <v>44574.51877983796</v>
      </c>
      <c r="B55" s="20" t="s">
        <v>55</v>
      </c>
      <c r="C55" s="20">
        <v>445.0</v>
      </c>
      <c r="D55" s="20" t="s">
        <v>40</v>
      </c>
      <c r="E55" s="20" t="s">
        <v>46</v>
      </c>
      <c r="F55" s="27"/>
    </row>
    <row r="56">
      <c r="A56" s="26">
        <v>44574.52011940972</v>
      </c>
      <c r="B56" s="20" t="s">
        <v>55</v>
      </c>
      <c r="C56" s="20">
        <v>266.0</v>
      </c>
      <c r="D56" s="20" t="s">
        <v>40</v>
      </c>
      <c r="E56" s="20" t="s">
        <v>46</v>
      </c>
      <c r="F56" s="27"/>
    </row>
    <row r="57">
      <c r="A57" s="26">
        <v>44574.59033835648</v>
      </c>
      <c r="B57" s="20" t="s">
        <v>49</v>
      </c>
      <c r="C57" s="20">
        <v>266.0</v>
      </c>
      <c r="D57" s="20" t="s">
        <v>36</v>
      </c>
      <c r="E57" s="20" t="s">
        <v>46</v>
      </c>
      <c r="F57" s="27"/>
    </row>
    <row r="58">
      <c r="A58" s="26">
        <v>44574.59059502315</v>
      </c>
      <c r="B58" s="20" t="s">
        <v>49</v>
      </c>
      <c r="C58" s="20">
        <v>42.0</v>
      </c>
      <c r="D58" s="20" t="s">
        <v>36</v>
      </c>
      <c r="E58" s="20" t="s">
        <v>46</v>
      </c>
      <c r="F58" s="27"/>
    </row>
    <row r="59">
      <c r="A59" s="26">
        <v>44574.59108923611</v>
      </c>
      <c r="B59" s="20" t="s">
        <v>49</v>
      </c>
      <c r="C59" s="20">
        <v>197.0</v>
      </c>
      <c r="D59" s="20" t="s">
        <v>73</v>
      </c>
      <c r="E59" s="20" t="s">
        <v>74</v>
      </c>
      <c r="F59" s="27"/>
    </row>
    <row r="60">
      <c r="A60" s="26">
        <v>44574.71404372685</v>
      </c>
      <c r="B60" s="20" t="s">
        <v>49</v>
      </c>
      <c r="C60" s="20">
        <v>2.0</v>
      </c>
      <c r="D60" s="20" t="s">
        <v>38</v>
      </c>
      <c r="E60" s="20" t="s">
        <v>46</v>
      </c>
      <c r="F60" s="27"/>
    </row>
    <row r="61">
      <c r="A61" s="26">
        <v>44576.688827418984</v>
      </c>
      <c r="B61" s="20" t="s">
        <v>49</v>
      </c>
      <c r="C61" s="20">
        <v>1544.0</v>
      </c>
      <c r="D61" s="20" t="s">
        <v>53</v>
      </c>
      <c r="E61" s="20" t="s">
        <v>75</v>
      </c>
      <c r="F61" s="27"/>
    </row>
    <row r="62">
      <c r="A62" s="26">
        <v>44576.68905148148</v>
      </c>
      <c r="B62" s="20" t="s">
        <v>49</v>
      </c>
      <c r="C62" s="20">
        <v>424.0</v>
      </c>
      <c r="D62" s="20" t="s">
        <v>76</v>
      </c>
      <c r="E62" s="20" t="s">
        <v>75</v>
      </c>
      <c r="F62" s="27"/>
    </row>
    <row r="63">
      <c r="A63" s="26">
        <v>44576.68927107639</v>
      </c>
      <c r="B63" s="20" t="s">
        <v>49</v>
      </c>
      <c r="C63" s="20">
        <v>65.0</v>
      </c>
      <c r="D63" s="20" t="s">
        <v>38</v>
      </c>
      <c r="E63" s="20" t="s">
        <v>75</v>
      </c>
      <c r="F63" s="27"/>
    </row>
    <row r="64">
      <c r="A64" s="26">
        <v>44576.68970902778</v>
      </c>
      <c r="B64" s="20" t="s">
        <v>49</v>
      </c>
      <c r="C64" s="20">
        <v>765.0</v>
      </c>
      <c r="D64" s="20" t="s">
        <v>77</v>
      </c>
      <c r="E64" s="20" t="s">
        <v>75</v>
      </c>
      <c r="F64" s="27"/>
    </row>
    <row r="65">
      <c r="A65" s="26">
        <v>44576.68999142361</v>
      </c>
      <c r="B65" s="20" t="s">
        <v>49</v>
      </c>
      <c r="C65" s="20">
        <v>529.0</v>
      </c>
      <c r="D65" s="20" t="s">
        <v>77</v>
      </c>
      <c r="E65" s="20" t="s">
        <v>75</v>
      </c>
      <c r="F65" s="27"/>
    </row>
    <row r="66">
      <c r="A66" s="26">
        <v>44576.69019903935</v>
      </c>
      <c r="B66" s="20" t="s">
        <v>49</v>
      </c>
      <c r="C66" s="20">
        <v>722.0</v>
      </c>
      <c r="D66" s="20" t="s">
        <v>40</v>
      </c>
      <c r="E66" s="20" t="s">
        <v>75</v>
      </c>
      <c r="F66" s="27"/>
    </row>
    <row r="67">
      <c r="A67" s="26">
        <v>44576.690872673615</v>
      </c>
      <c r="B67" s="20" t="s">
        <v>49</v>
      </c>
      <c r="C67" s="20">
        <v>920.0</v>
      </c>
      <c r="D67" s="20" t="s">
        <v>40</v>
      </c>
      <c r="E67" s="20" t="s">
        <v>75</v>
      </c>
      <c r="F67" s="27"/>
    </row>
    <row r="68">
      <c r="A68" s="26">
        <v>44576.691359178236</v>
      </c>
      <c r="B68" s="20" t="s">
        <v>49</v>
      </c>
      <c r="C68" s="20">
        <v>821.0</v>
      </c>
      <c r="D68" s="20" t="s">
        <v>40</v>
      </c>
      <c r="E68" s="20" t="s">
        <v>75</v>
      </c>
      <c r="F68" s="27"/>
    </row>
    <row r="69">
      <c r="A69" s="26">
        <v>44576.69159107639</v>
      </c>
      <c r="B69" s="20" t="s">
        <v>49</v>
      </c>
      <c r="C69" s="20">
        <v>363.0</v>
      </c>
      <c r="D69" s="20" t="s">
        <v>76</v>
      </c>
      <c r="E69" s="20" t="s">
        <v>75</v>
      </c>
      <c r="F69" s="27"/>
    </row>
    <row r="70">
      <c r="A70" s="26">
        <v>44576.691855173616</v>
      </c>
      <c r="B70" s="20" t="s">
        <v>49</v>
      </c>
      <c r="C70" s="20">
        <v>2198.0</v>
      </c>
      <c r="D70" s="20" t="s">
        <v>53</v>
      </c>
      <c r="E70" s="20" t="s">
        <v>75</v>
      </c>
      <c r="F70" s="27"/>
    </row>
    <row r="71">
      <c r="A71" s="26">
        <v>44576.692122939814</v>
      </c>
      <c r="B71" s="20" t="s">
        <v>49</v>
      </c>
      <c r="C71" s="20">
        <v>870.0</v>
      </c>
      <c r="D71" s="20" t="s">
        <v>40</v>
      </c>
      <c r="E71" s="20" t="s">
        <v>75</v>
      </c>
      <c r="F71" s="27"/>
    </row>
    <row r="72">
      <c r="A72" s="26">
        <v>44576.69304460648</v>
      </c>
      <c r="B72" s="20" t="s">
        <v>49</v>
      </c>
      <c r="C72" s="20">
        <v>1010.0</v>
      </c>
      <c r="D72" s="20" t="s">
        <v>78</v>
      </c>
      <c r="E72" s="20" t="s">
        <v>75</v>
      </c>
      <c r="F72" s="27"/>
    </row>
    <row r="73">
      <c r="A73" s="26">
        <v>44576.693357951386</v>
      </c>
      <c r="B73" s="20" t="s">
        <v>49</v>
      </c>
      <c r="C73" s="20">
        <v>907.0</v>
      </c>
      <c r="D73" s="20" t="s">
        <v>40</v>
      </c>
      <c r="E73" s="20" t="s">
        <v>75</v>
      </c>
      <c r="F73" s="27"/>
    </row>
    <row r="74">
      <c r="A74" s="26">
        <v>44576.693578819446</v>
      </c>
      <c r="B74" s="20" t="s">
        <v>49</v>
      </c>
      <c r="C74" s="20">
        <v>821.0</v>
      </c>
      <c r="D74" s="20" t="s">
        <v>40</v>
      </c>
      <c r="E74" s="20" t="s">
        <v>75</v>
      </c>
      <c r="F74" s="27"/>
    </row>
    <row r="75">
      <c r="A75" s="26">
        <v>44576.693768321755</v>
      </c>
      <c r="B75" s="20" t="s">
        <v>49</v>
      </c>
      <c r="C75" s="20">
        <v>1057.0</v>
      </c>
      <c r="D75" s="20" t="s">
        <v>38</v>
      </c>
      <c r="E75" s="20" t="s">
        <v>75</v>
      </c>
      <c r="F75" s="27"/>
    </row>
    <row r="76">
      <c r="A76" s="26">
        <v>44577.597231782405</v>
      </c>
      <c r="B76" s="20" t="s">
        <v>79</v>
      </c>
      <c r="C76" s="20">
        <v>981.0</v>
      </c>
      <c r="D76" s="20" t="s">
        <v>80</v>
      </c>
      <c r="E76" s="20" t="s">
        <v>81</v>
      </c>
      <c r="F76" s="27"/>
    </row>
    <row r="77">
      <c r="A77" s="26">
        <v>44577.597665636575</v>
      </c>
      <c r="B77" s="20" t="s">
        <v>79</v>
      </c>
      <c r="C77" s="20">
        <v>396.0</v>
      </c>
      <c r="D77" s="20" t="s">
        <v>80</v>
      </c>
      <c r="E77" s="20" t="s">
        <v>37</v>
      </c>
      <c r="F77" s="27"/>
    </row>
    <row r="78">
      <c r="A78" s="26">
        <v>44577.598054201386</v>
      </c>
      <c r="B78" s="20" t="s">
        <v>79</v>
      </c>
      <c r="C78" s="20">
        <v>488.0</v>
      </c>
      <c r="D78" s="20" t="s">
        <v>40</v>
      </c>
      <c r="E78" s="20" t="s">
        <v>81</v>
      </c>
      <c r="F78" s="27"/>
    </row>
    <row r="79">
      <c r="A79" s="26">
        <v>44577.60024811343</v>
      </c>
      <c r="B79" s="20" t="s">
        <v>79</v>
      </c>
      <c r="C79" s="20">
        <v>961.0</v>
      </c>
      <c r="D79" s="20" t="s">
        <v>40</v>
      </c>
      <c r="E79" s="20" t="s">
        <v>50</v>
      </c>
      <c r="F79" s="27"/>
    </row>
    <row r="80">
      <c r="A80" s="26">
        <v>44577.60088559028</v>
      </c>
      <c r="B80" s="20" t="s">
        <v>79</v>
      </c>
      <c r="C80" s="20">
        <v>92.0</v>
      </c>
      <c r="D80" s="20" t="s">
        <v>82</v>
      </c>
      <c r="E80" s="20" t="s">
        <v>50</v>
      </c>
      <c r="F80" s="27"/>
    </row>
    <row r="81">
      <c r="A81" s="26">
        <v>44577.60127212963</v>
      </c>
      <c r="B81" s="20" t="s">
        <v>79</v>
      </c>
      <c r="C81" s="20">
        <v>478.0</v>
      </c>
      <c r="D81" s="20" t="s">
        <v>38</v>
      </c>
      <c r="E81" s="20" t="s">
        <v>81</v>
      </c>
      <c r="F81" s="27"/>
    </row>
    <row r="82">
      <c r="A82" s="26">
        <v>44577.612632662036</v>
      </c>
      <c r="B82" s="20" t="s">
        <v>79</v>
      </c>
      <c r="C82" s="20">
        <v>70.0</v>
      </c>
      <c r="D82" s="20" t="s">
        <v>80</v>
      </c>
      <c r="E82" s="20" t="s">
        <v>83</v>
      </c>
      <c r="F82" s="27"/>
    </row>
    <row r="83">
      <c r="A83" s="26">
        <v>44581.52064556713</v>
      </c>
      <c r="B83" s="20" t="s">
        <v>49</v>
      </c>
      <c r="C83" s="20">
        <v>628.0</v>
      </c>
      <c r="D83" s="20" t="s">
        <v>40</v>
      </c>
      <c r="E83" s="20" t="s">
        <v>46</v>
      </c>
      <c r="F83" s="27"/>
    </row>
    <row r="84">
      <c r="A84" s="26">
        <v>44581.52085541667</v>
      </c>
      <c r="B84" s="20" t="s">
        <v>49</v>
      </c>
      <c r="C84" s="20">
        <v>401.0</v>
      </c>
      <c r="D84" s="20" t="s">
        <v>36</v>
      </c>
      <c r="E84" s="20" t="s">
        <v>46</v>
      </c>
      <c r="F84" s="27"/>
    </row>
    <row r="85">
      <c r="A85" s="26">
        <v>44581.521105486114</v>
      </c>
      <c r="B85" s="20" t="s">
        <v>49</v>
      </c>
      <c r="C85" s="20">
        <v>368.0</v>
      </c>
      <c r="D85" s="20" t="s">
        <v>40</v>
      </c>
      <c r="E85" s="20" t="s">
        <v>46</v>
      </c>
      <c r="F85" s="27"/>
    </row>
    <row r="86">
      <c r="A86" s="26">
        <v>44581.52132534722</v>
      </c>
      <c r="B86" s="20" t="s">
        <v>49</v>
      </c>
      <c r="C86" s="20">
        <v>303.0</v>
      </c>
      <c r="D86" s="20" t="s">
        <v>40</v>
      </c>
      <c r="E86" s="20" t="s">
        <v>46</v>
      </c>
      <c r="F86" s="27"/>
    </row>
    <row r="87">
      <c r="A87" s="26">
        <v>44581.52155148148</v>
      </c>
      <c r="B87" s="20" t="s">
        <v>49</v>
      </c>
      <c r="C87" s="20">
        <v>693.0</v>
      </c>
      <c r="D87" s="20" t="s">
        <v>40</v>
      </c>
      <c r="E87" s="20" t="s">
        <v>46</v>
      </c>
      <c r="F87" s="27"/>
    </row>
    <row r="88">
      <c r="A88" s="26">
        <v>44581.521871840276</v>
      </c>
      <c r="B88" s="20" t="s">
        <v>49</v>
      </c>
      <c r="C88" s="20">
        <v>444.0</v>
      </c>
      <c r="D88" s="20" t="s">
        <v>40</v>
      </c>
      <c r="E88" s="20" t="s">
        <v>46</v>
      </c>
      <c r="F88" s="27"/>
    </row>
    <row r="89">
      <c r="A89" s="26">
        <v>44581.52212224537</v>
      </c>
      <c r="B89" s="20" t="s">
        <v>49</v>
      </c>
      <c r="C89" s="20">
        <v>61.0</v>
      </c>
      <c r="D89" s="20" t="s">
        <v>73</v>
      </c>
      <c r="E89" s="20" t="s">
        <v>46</v>
      </c>
      <c r="F89" s="27"/>
    </row>
    <row r="90">
      <c r="A90" s="26">
        <v>44581.52238556713</v>
      </c>
      <c r="B90" s="20" t="s">
        <v>49</v>
      </c>
      <c r="C90" s="20">
        <v>162.0</v>
      </c>
      <c r="D90" s="20" t="s">
        <v>73</v>
      </c>
      <c r="E90" s="20" t="s">
        <v>46</v>
      </c>
      <c r="F90" s="27"/>
    </row>
    <row r="91">
      <c r="A91" s="26">
        <v>44581.552329479164</v>
      </c>
      <c r="B91" s="20" t="s">
        <v>84</v>
      </c>
      <c r="C91" s="20">
        <v>139.0</v>
      </c>
      <c r="D91" s="20" t="s">
        <v>85</v>
      </c>
      <c r="E91" s="20" t="s">
        <v>86</v>
      </c>
      <c r="F91" s="27"/>
    </row>
    <row r="92">
      <c r="A92" s="26">
        <v>44581.68217366898</v>
      </c>
      <c r="B92" s="20" t="s">
        <v>49</v>
      </c>
      <c r="C92" s="20">
        <v>1108.0</v>
      </c>
      <c r="D92" s="20" t="s">
        <v>87</v>
      </c>
      <c r="E92" s="20" t="s">
        <v>88</v>
      </c>
      <c r="F92" s="27"/>
    </row>
    <row r="93">
      <c r="A93" s="26">
        <v>44581.68248037037</v>
      </c>
      <c r="B93" s="20" t="s">
        <v>49</v>
      </c>
      <c r="C93" s="20">
        <v>989.0</v>
      </c>
      <c r="D93" s="20" t="s">
        <v>40</v>
      </c>
      <c r="E93" s="20" t="s">
        <v>89</v>
      </c>
      <c r="F93" s="27"/>
    </row>
    <row r="94">
      <c r="A94" s="26">
        <v>44581.68288729167</v>
      </c>
      <c r="B94" s="20" t="s">
        <v>49</v>
      </c>
      <c r="C94" s="20">
        <v>493.0</v>
      </c>
      <c r="D94" s="20" t="s">
        <v>40</v>
      </c>
      <c r="E94" s="20" t="s">
        <v>89</v>
      </c>
      <c r="F94" s="27"/>
    </row>
    <row r="95">
      <c r="A95" s="26">
        <v>44581.68381744213</v>
      </c>
      <c r="B95" s="20" t="s">
        <v>49</v>
      </c>
      <c r="C95" s="20">
        <v>577.0</v>
      </c>
      <c r="D95" s="20" t="s">
        <v>38</v>
      </c>
      <c r="E95" s="20" t="s">
        <v>89</v>
      </c>
      <c r="F95" s="27"/>
    </row>
    <row r="96">
      <c r="A96" s="26">
        <v>44581.68411743056</v>
      </c>
      <c r="B96" s="20" t="s">
        <v>49</v>
      </c>
      <c r="C96" s="20">
        <v>45.0</v>
      </c>
      <c r="D96" s="20" t="s">
        <v>90</v>
      </c>
      <c r="E96" s="20" t="s">
        <v>89</v>
      </c>
      <c r="F96" s="27"/>
    </row>
    <row r="97">
      <c r="A97" s="26">
        <v>44583.54630912037</v>
      </c>
      <c r="B97" s="20" t="s">
        <v>91</v>
      </c>
      <c r="C97" s="20">
        <v>732.0</v>
      </c>
      <c r="D97" s="20" t="s">
        <v>78</v>
      </c>
      <c r="E97" s="20" t="s">
        <v>75</v>
      </c>
      <c r="F97" s="27"/>
    </row>
    <row r="98">
      <c r="A98" s="26">
        <v>44583.54660263889</v>
      </c>
      <c r="B98" s="20" t="s">
        <v>92</v>
      </c>
      <c r="C98" s="20">
        <v>1491.0</v>
      </c>
      <c r="D98" s="20" t="s">
        <v>53</v>
      </c>
      <c r="E98" s="20" t="s">
        <v>75</v>
      </c>
      <c r="F98" s="27"/>
    </row>
    <row r="99">
      <c r="A99" s="26">
        <v>44583.546818206014</v>
      </c>
      <c r="B99" s="20" t="s">
        <v>92</v>
      </c>
      <c r="C99" s="20">
        <v>1038.0</v>
      </c>
      <c r="D99" s="20" t="s">
        <v>93</v>
      </c>
      <c r="E99" s="20" t="s">
        <v>75</v>
      </c>
      <c r="F99" s="27"/>
    </row>
    <row r="100">
      <c r="A100" s="26">
        <v>44583.547037129625</v>
      </c>
      <c r="B100" s="20" t="s">
        <v>94</v>
      </c>
      <c r="C100" s="20">
        <v>221.0</v>
      </c>
      <c r="D100" s="20" t="s">
        <v>95</v>
      </c>
      <c r="E100" s="20" t="s">
        <v>75</v>
      </c>
      <c r="F100" s="27"/>
    </row>
    <row r="101">
      <c r="A101" s="26">
        <v>44583.547397476854</v>
      </c>
      <c r="B101" s="20" t="s">
        <v>92</v>
      </c>
      <c r="C101" s="20">
        <v>266.0</v>
      </c>
      <c r="D101" s="20" t="s">
        <v>76</v>
      </c>
      <c r="E101" s="20" t="s">
        <v>75</v>
      </c>
      <c r="F101" s="27"/>
    </row>
    <row r="102">
      <c r="A102" s="26">
        <v>44583.547773171296</v>
      </c>
      <c r="B102" s="20" t="s">
        <v>92</v>
      </c>
      <c r="C102" s="20">
        <v>880.0</v>
      </c>
      <c r="D102" s="20" t="s">
        <v>40</v>
      </c>
      <c r="E102" s="20" t="s">
        <v>75</v>
      </c>
      <c r="F102" s="27"/>
    </row>
    <row r="103">
      <c r="A103" s="26">
        <v>44583.548131585645</v>
      </c>
      <c r="B103" s="20" t="s">
        <v>94</v>
      </c>
      <c r="C103" s="20">
        <v>861.0</v>
      </c>
      <c r="D103" s="20" t="s">
        <v>40</v>
      </c>
      <c r="E103" s="20" t="s">
        <v>75</v>
      </c>
      <c r="F103" s="27"/>
    </row>
    <row r="104">
      <c r="A104" s="26">
        <v>44583.54917491898</v>
      </c>
      <c r="B104" s="20" t="s">
        <v>92</v>
      </c>
      <c r="C104" s="20">
        <v>821.0</v>
      </c>
      <c r="D104" s="20" t="s">
        <v>40</v>
      </c>
      <c r="E104" s="20" t="s">
        <v>75</v>
      </c>
      <c r="F104" s="27"/>
    </row>
    <row r="105">
      <c r="A105" s="26">
        <v>44583.549495416664</v>
      </c>
      <c r="B105" s="20" t="s">
        <v>92</v>
      </c>
      <c r="C105" s="20">
        <v>874.0</v>
      </c>
      <c r="D105" s="20" t="s">
        <v>40</v>
      </c>
      <c r="E105" s="20" t="s">
        <v>75</v>
      </c>
      <c r="F105" s="27"/>
    </row>
    <row r="106">
      <c r="A106" s="26">
        <v>44583.54966099537</v>
      </c>
      <c r="B106" s="20" t="s">
        <v>92</v>
      </c>
      <c r="C106" s="20">
        <v>459.0</v>
      </c>
      <c r="D106" s="20" t="s">
        <v>38</v>
      </c>
      <c r="E106" s="20" t="s">
        <v>75</v>
      </c>
      <c r="F106" s="27"/>
    </row>
    <row r="107">
      <c r="A107" s="26">
        <v>44583.55002347223</v>
      </c>
      <c r="B107" s="20" t="s">
        <v>92</v>
      </c>
      <c r="C107" s="20">
        <v>1829.0</v>
      </c>
      <c r="D107" s="20" t="s">
        <v>36</v>
      </c>
      <c r="E107" s="20" t="s">
        <v>75</v>
      </c>
      <c r="F107" s="27"/>
    </row>
    <row r="108">
      <c r="A108" s="26">
        <v>44583.55059484954</v>
      </c>
      <c r="B108" s="20" t="s">
        <v>92</v>
      </c>
      <c r="C108" s="20">
        <v>327.0</v>
      </c>
      <c r="D108" s="20" t="s">
        <v>76</v>
      </c>
      <c r="E108" s="20" t="s">
        <v>96</v>
      </c>
      <c r="F108" s="27"/>
    </row>
    <row r="109">
      <c r="A109" s="26">
        <v>44583.550858206014</v>
      </c>
      <c r="B109" s="20" t="s">
        <v>92</v>
      </c>
      <c r="C109" s="20">
        <v>1043.0</v>
      </c>
      <c r="D109" s="20" t="s">
        <v>93</v>
      </c>
      <c r="E109" s="20" t="s">
        <v>96</v>
      </c>
      <c r="F109" s="27"/>
    </row>
    <row r="110">
      <c r="A110" s="26">
        <v>44583.55118653935</v>
      </c>
      <c r="B110" s="20" t="s">
        <v>94</v>
      </c>
      <c r="C110" s="20">
        <v>446.0</v>
      </c>
      <c r="D110" s="20" t="s">
        <v>97</v>
      </c>
      <c r="E110" s="20" t="s">
        <v>96</v>
      </c>
      <c r="F110" s="27"/>
    </row>
    <row r="111">
      <c r="A111" s="26">
        <v>44583.55137635417</v>
      </c>
      <c r="B111" s="20" t="s">
        <v>94</v>
      </c>
      <c r="C111" s="20">
        <v>337.0</v>
      </c>
      <c r="D111" s="20" t="s">
        <v>80</v>
      </c>
      <c r="E111" s="20" t="s">
        <v>96</v>
      </c>
      <c r="F111" s="27"/>
    </row>
    <row r="112">
      <c r="A112" s="26">
        <v>44583.55158179398</v>
      </c>
      <c r="B112" s="20" t="s">
        <v>92</v>
      </c>
      <c r="C112" s="20">
        <v>432.0</v>
      </c>
      <c r="D112" s="20" t="s">
        <v>38</v>
      </c>
      <c r="E112" s="20" t="s">
        <v>96</v>
      </c>
      <c r="F112" s="27"/>
    </row>
    <row r="113">
      <c r="A113" s="26">
        <v>44583.55199087963</v>
      </c>
      <c r="B113" s="20" t="s">
        <v>92</v>
      </c>
      <c r="C113" s="20">
        <v>60.0</v>
      </c>
      <c r="D113" s="20" t="s">
        <v>64</v>
      </c>
      <c r="E113" s="20" t="s">
        <v>98</v>
      </c>
      <c r="F113" s="27"/>
    </row>
    <row r="114">
      <c r="A114" s="26">
        <v>44583.63959280093</v>
      </c>
      <c r="B114" s="20" t="s">
        <v>49</v>
      </c>
      <c r="C114" s="20">
        <v>807.0</v>
      </c>
      <c r="D114" s="20" t="s">
        <v>40</v>
      </c>
      <c r="E114" s="20" t="s">
        <v>75</v>
      </c>
      <c r="F114" s="27"/>
    </row>
    <row r="115">
      <c r="A115" s="26">
        <v>44583.64001537037</v>
      </c>
      <c r="B115" s="20" t="s">
        <v>49</v>
      </c>
      <c r="C115" s="20">
        <v>874.0</v>
      </c>
      <c r="D115" s="20" t="s">
        <v>99</v>
      </c>
      <c r="E115" s="20" t="s">
        <v>75</v>
      </c>
      <c r="F115" s="27"/>
    </row>
    <row r="116">
      <c r="A116" s="26">
        <v>44583.64036019676</v>
      </c>
      <c r="B116" s="20" t="s">
        <v>49</v>
      </c>
      <c r="C116" s="20">
        <v>382.0</v>
      </c>
      <c r="D116" s="20" t="s">
        <v>76</v>
      </c>
      <c r="E116" s="20" t="s">
        <v>75</v>
      </c>
      <c r="F116" s="27"/>
    </row>
    <row r="117">
      <c r="A117" s="26">
        <v>44583.64222122685</v>
      </c>
      <c r="B117" s="20" t="s">
        <v>49</v>
      </c>
      <c r="C117" s="20">
        <v>894.0</v>
      </c>
      <c r="D117" s="20" t="s">
        <v>53</v>
      </c>
      <c r="E117" s="20" t="s">
        <v>75</v>
      </c>
      <c r="F117" s="27"/>
    </row>
    <row r="118">
      <c r="A118" s="26">
        <v>44583.64242209491</v>
      </c>
      <c r="B118" s="20" t="s">
        <v>49</v>
      </c>
      <c r="C118" s="20">
        <v>405.0</v>
      </c>
      <c r="D118" s="20" t="s">
        <v>38</v>
      </c>
      <c r="E118" s="20" t="s">
        <v>75</v>
      </c>
      <c r="F118" s="27"/>
    </row>
    <row r="119">
      <c r="A119" s="26">
        <v>44584.52443506944</v>
      </c>
      <c r="B119" s="20" t="s">
        <v>63</v>
      </c>
      <c r="C119" s="20">
        <v>144.0</v>
      </c>
      <c r="D119" s="20" t="s">
        <v>64</v>
      </c>
      <c r="E119" s="20" t="s">
        <v>63</v>
      </c>
      <c r="F119" s="27"/>
    </row>
    <row r="120">
      <c r="A120" s="26">
        <v>44584.549982743054</v>
      </c>
      <c r="B120" s="20" t="s">
        <v>37</v>
      </c>
      <c r="C120" s="20">
        <v>1168.0</v>
      </c>
      <c r="D120" s="20" t="s">
        <v>36</v>
      </c>
      <c r="E120" s="20" t="s">
        <v>100</v>
      </c>
      <c r="F120" s="27"/>
    </row>
    <row r="121">
      <c r="A121" s="26">
        <v>44584.550253113426</v>
      </c>
      <c r="C121" s="20">
        <v>443.0</v>
      </c>
      <c r="D121" s="20" t="s">
        <v>80</v>
      </c>
      <c r="E121" s="20" t="s">
        <v>101</v>
      </c>
      <c r="F121" s="27"/>
    </row>
    <row r="122">
      <c r="A122" s="26">
        <v>44584.55051353009</v>
      </c>
      <c r="C122" s="20">
        <v>396.0</v>
      </c>
      <c r="D122" s="20" t="s">
        <v>40</v>
      </c>
      <c r="E122" s="20" t="s">
        <v>101</v>
      </c>
      <c r="F122" s="27"/>
    </row>
    <row r="123">
      <c r="A123" s="26">
        <v>44584.550638518514</v>
      </c>
      <c r="C123" s="20">
        <v>50.0</v>
      </c>
      <c r="D123" s="20" t="s">
        <v>38</v>
      </c>
      <c r="E123" s="20" t="s">
        <v>101</v>
      </c>
      <c r="F123" s="27"/>
    </row>
    <row r="124">
      <c r="A124" s="26">
        <v>44584.550852002314</v>
      </c>
      <c r="C124" s="20">
        <v>165.0</v>
      </c>
      <c r="D124" s="20" t="s">
        <v>40</v>
      </c>
      <c r="E124" s="20" t="s">
        <v>101</v>
      </c>
      <c r="F124" s="27"/>
    </row>
    <row r="125">
      <c r="A125" s="26">
        <v>44584.55113548611</v>
      </c>
      <c r="C125" s="20">
        <v>110.0</v>
      </c>
      <c r="D125" s="20" t="s">
        <v>73</v>
      </c>
      <c r="E125" s="20" t="s">
        <v>101</v>
      </c>
      <c r="F125" s="27"/>
    </row>
    <row r="126">
      <c r="A126" s="26">
        <v>44584.551424930556</v>
      </c>
      <c r="C126" s="20">
        <v>767.0</v>
      </c>
      <c r="D126" s="20" t="s">
        <v>40</v>
      </c>
      <c r="E126" s="20" t="s">
        <v>50</v>
      </c>
      <c r="F126" s="27"/>
    </row>
    <row r="127">
      <c r="A127" s="26">
        <v>44584.55422730324</v>
      </c>
      <c r="C127" s="20">
        <v>1143.0</v>
      </c>
      <c r="D127" s="20" t="s">
        <v>38</v>
      </c>
      <c r="E127" s="20" t="s">
        <v>46</v>
      </c>
      <c r="F127" s="27"/>
    </row>
    <row r="128">
      <c r="A128" s="26">
        <v>44584.55843618055</v>
      </c>
      <c r="C128" s="20">
        <v>267.0</v>
      </c>
      <c r="D128" s="20" t="s">
        <v>102</v>
      </c>
      <c r="E128" s="20" t="s">
        <v>50</v>
      </c>
      <c r="F128" s="27"/>
    </row>
    <row r="129">
      <c r="A129" s="26">
        <v>44584.559482916666</v>
      </c>
      <c r="C129" s="20">
        <v>752.0</v>
      </c>
      <c r="D129" s="20" t="s">
        <v>38</v>
      </c>
      <c r="E129" s="20" t="s">
        <v>103</v>
      </c>
      <c r="F129" s="27"/>
    </row>
    <row r="130">
      <c r="A130" s="26">
        <v>44584.5617808449</v>
      </c>
      <c r="C130" s="20">
        <v>968.0</v>
      </c>
      <c r="D130" s="20" t="s">
        <v>36</v>
      </c>
      <c r="E130" s="20" t="s">
        <v>88</v>
      </c>
      <c r="F130" s="27"/>
    </row>
    <row r="131">
      <c r="A131" s="26">
        <v>44584.564294675925</v>
      </c>
      <c r="C131" s="20">
        <v>612.0</v>
      </c>
      <c r="D131" s="20" t="s">
        <v>40</v>
      </c>
      <c r="E131" s="20" t="s">
        <v>104</v>
      </c>
      <c r="F131" s="27"/>
    </row>
    <row r="132">
      <c r="A132" s="26">
        <v>44584.566568877315</v>
      </c>
      <c r="C132" s="20">
        <v>891.0</v>
      </c>
      <c r="D132" s="20" t="s">
        <v>40</v>
      </c>
      <c r="E132" s="20" t="s">
        <v>88</v>
      </c>
      <c r="F132" s="27"/>
    </row>
    <row r="133">
      <c r="A133" s="26">
        <v>44584.57197416667</v>
      </c>
      <c r="C133" s="20">
        <v>443.0</v>
      </c>
      <c r="D133" s="20" t="s">
        <v>40</v>
      </c>
      <c r="E133" s="20" t="s">
        <v>46</v>
      </c>
      <c r="F133" s="27"/>
    </row>
    <row r="134">
      <c r="A134" s="26">
        <v>44584.573737557876</v>
      </c>
      <c r="C134" s="20">
        <v>1374.0</v>
      </c>
      <c r="D134" s="20" t="s">
        <v>36</v>
      </c>
      <c r="E134" s="20" t="s">
        <v>46</v>
      </c>
      <c r="F134" s="27"/>
    </row>
    <row r="135">
      <c r="A135" s="26">
        <v>44584.57716572916</v>
      </c>
      <c r="C135" s="20">
        <v>306.0</v>
      </c>
      <c r="D135" s="20" t="s">
        <v>40</v>
      </c>
      <c r="E135" s="20" t="s">
        <v>46</v>
      </c>
      <c r="F135" s="27"/>
    </row>
    <row r="136">
      <c r="A136" s="26">
        <v>44584.578377557875</v>
      </c>
      <c r="C136" s="20">
        <v>327.0</v>
      </c>
      <c r="D136" s="20" t="s">
        <v>40</v>
      </c>
      <c r="E136" s="20" t="s">
        <v>46</v>
      </c>
      <c r="F136" s="27"/>
    </row>
    <row r="137">
      <c r="A137" s="26">
        <v>44584.61593295139</v>
      </c>
      <c r="C137" s="20">
        <v>116.0</v>
      </c>
      <c r="D137" s="20" t="s">
        <v>38</v>
      </c>
      <c r="E137" s="20" t="s">
        <v>65</v>
      </c>
      <c r="F137" s="27"/>
    </row>
    <row r="138">
      <c r="A138" s="26">
        <v>44584.61613142361</v>
      </c>
      <c r="C138" s="20">
        <v>313.0</v>
      </c>
      <c r="D138" s="20" t="s">
        <v>47</v>
      </c>
      <c r="E138" s="20" t="s">
        <v>65</v>
      </c>
      <c r="F138" s="27"/>
    </row>
    <row r="139">
      <c r="A139" s="26">
        <v>44584.616552210646</v>
      </c>
      <c r="C139" s="20">
        <v>443.0</v>
      </c>
      <c r="D139" s="20" t="s">
        <v>40</v>
      </c>
      <c r="E139" s="20" t="s">
        <v>65</v>
      </c>
      <c r="F139" s="27"/>
    </row>
    <row r="140">
      <c r="A140" s="26">
        <v>44584.619341944446</v>
      </c>
      <c r="C140" s="20">
        <v>333.0</v>
      </c>
      <c r="D140" s="20" t="s">
        <v>40</v>
      </c>
      <c r="E140" s="20" t="s">
        <v>65</v>
      </c>
      <c r="F140" s="27"/>
    </row>
    <row r="141">
      <c r="A141" s="26">
        <v>44584.6239321412</v>
      </c>
      <c r="C141" s="20">
        <v>24.0</v>
      </c>
      <c r="D141" s="20" t="s">
        <v>38</v>
      </c>
      <c r="E141" s="20" t="s">
        <v>96</v>
      </c>
      <c r="F141" s="27"/>
    </row>
    <row r="142">
      <c r="A142" s="26">
        <v>44584.69902768519</v>
      </c>
      <c r="B142" s="20" t="s">
        <v>63</v>
      </c>
      <c r="C142" s="20">
        <v>19.0</v>
      </c>
      <c r="D142" s="20" t="s">
        <v>64</v>
      </c>
      <c r="E142" s="20" t="s">
        <v>63</v>
      </c>
      <c r="F142" s="27"/>
    </row>
    <row r="143">
      <c r="A143" s="26">
        <v>44584.699547384254</v>
      </c>
      <c r="B143" s="20" t="s">
        <v>63</v>
      </c>
      <c r="C143" s="20">
        <v>14.0</v>
      </c>
      <c r="D143" s="20" t="s">
        <v>64</v>
      </c>
      <c r="E143" s="20" t="s">
        <v>63</v>
      </c>
      <c r="F143" s="27"/>
    </row>
    <row r="144">
      <c r="A144" s="26">
        <v>44584.699951793984</v>
      </c>
      <c r="B144" s="20" t="s">
        <v>69</v>
      </c>
      <c r="C144" s="20">
        <v>14.0</v>
      </c>
      <c r="D144" s="20" t="s">
        <v>64</v>
      </c>
      <c r="E144" s="20" t="s">
        <v>63</v>
      </c>
      <c r="F144" s="27"/>
    </row>
    <row r="145">
      <c r="A145" s="26">
        <v>44587.6067091088</v>
      </c>
      <c r="B145" s="20" t="s">
        <v>49</v>
      </c>
      <c r="C145" s="20">
        <v>988.0</v>
      </c>
      <c r="D145" s="20" t="s">
        <v>40</v>
      </c>
      <c r="E145" s="20" t="s">
        <v>105</v>
      </c>
      <c r="F145" s="27"/>
    </row>
    <row r="146">
      <c r="A146" s="26">
        <v>44587.60702101851</v>
      </c>
      <c r="B146" s="20" t="s">
        <v>49</v>
      </c>
      <c r="C146" s="20">
        <v>733.0</v>
      </c>
      <c r="D146" s="20" t="s">
        <v>40</v>
      </c>
      <c r="E146" s="20" t="s">
        <v>105</v>
      </c>
      <c r="F146" s="27"/>
    </row>
    <row r="147">
      <c r="A147" s="26">
        <v>44587.60727503472</v>
      </c>
      <c r="B147" s="20" t="s">
        <v>49</v>
      </c>
      <c r="C147" s="20">
        <v>230.0</v>
      </c>
      <c r="D147" s="20" t="s">
        <v>40</v>
      </c>
      <c r="E147" s="20" t="s">
        <v>106</v>
      </c>
      <c r="F147" s="27"/>
    </row>
    <row r="148">
      <c r="A148" s="26">
        <v>44587.60774096065</v>
      </c>
      <c r="B148" s="20" t="s">
        <v>49</v>
      </c>
      <c r="C148" s="20">
        <v>700.0</v>
      </c>
      <c r="D148" s="20" t="s">
        <v>107</v>
      </c>
      <c r="E148" s="20" t="s">
        <v>105</v>
      </c>
      <c r="F148" s="27"/>
    </row>
    <row r="149">
      <c r="A149" s="26">
        <v>44587.64796905093</v>
      </c>
      <c r="B149" s="20" t="s">
        <v>49</v>
      </c>
      <c r="C149" s="20">
        <v>427.0</v>
      </c>
      <c r="D149" s="20" t="s">
        <v>47</v>
      </c>
      <c r="E149" s="20" t="s">
        <v>46</v>
      </c>
      <c r="F149" s="27"/>
    </row>
    <row r="150">
      <c r="A150" s="26">
        <v>44587.648206342594</v>
      </c>
      <c r="B150" s="20" t="s">
        <v>49</v>
      </c>
      <c r="C150" s="20">
        <v>446.0</v>
      </c>
      <c r="D150" s="20" t="s">
        <v>36</v>
      </c>
      <c r="E150" s="20" t="s">
        <v>46</v>
      </c>
      <c r="F150" s="27"/>
    </row>
    <row r="151">
      <c r="A151" s="26">
        <v>44587.64844771991</v>
      </c>
      <c r="B151" s="20" t="s">
        <v>49</v>
      </c>
      <c r="C151" s="20">
        <v>440.0</v>
      </c>
      <c r="D151" s="20" t="s">
        <v>40</v>
      </c>
      <c r="E151" s="20" t="s">
        <v>46</v>
      </c>
      <c r="F151" s="27"/>
    </row>
    <row r="152">
      <c r="A152" s="26">
        <v>44587.64864672454</v>
      </c>
      <c r="B152" s="20" t="s">
        <v>49</v>
      </c>
      <c r="C152" s="20">
        <v>290.0</v>
      </c>
      <c r="D152" s="20" t="s">
        <v>40</v>
      </c>
      <c r="E152" s="20" t="s">
        <v>46</v>
      </c>
      <c r="F152" s="27"/>
    </row>
    <row r="153">
      <c r="A153" s="26">
        <v>44587.6489027662</v>
      </c>
      <c r="B153" s="20" t="s">
        <v>49</v>
      </c>
      <c r="C153" s="20">
        <v>506.0</v>
      </c>
      <c r="D153" s="20" t="s">
        <v>40</v>
      </c>
      <c r="E153" s="20" t="s">
        <v>46</v>
      </c>
      <c r="F153" s="27"/>
    </row>
    <row r="154">
      <c r="A154" s="26">
        <v>44587.64922649306</v>
      </c>
      <c r="B154" s="20" t="s">
        <v>49</v>
      </c>
      <c r="C154" s="20">
        <v>564.0</v>
      </c>
      <c r="D154" s="20" t="s">
        <v>40</v>
      </c>
      <c r="E154" s="20" t="s">
        <v>46</v>
      </c>
      <c r="F154" s="27"/>
    </row>
    <row r="155">
      <c r="A155" s="26">
        <v>44588.552729675925</v>
      </c>
      <c r="B155" s="20" t="s">
        <v>84</v>
      </c>
      <c r="C155" s="20">
        <v>240.0</v>
      </c>
      <c r="D155" s="20" t="s">
        <v>108</v>
      </c>
      <c r="E155" s="20" t="s">
        <v>86</v>
      </c>
      <c r="F155" s="27"/>
    </row>
    <row r="156">
      <c r="A156" s="26">
        <v>44588.56127451389</v>
      </c>
      <c r="B156" s="20" t="s">
        <v>84</v>
      </c>
      <c r="C156" s="20">
        <v>110.0</v>
      </c>
      <c r="D156" s="20" t="s">
        <v>64</v>
      </c>
      <c r="E156" s="20" t="s">
        <v>109</v>
      </c>
      <c r="F156" s="27"/>
    </row>
    <row r="157">
      <c r="A157" s="26">
        <v>44588.609843067126</v>
      </c>
      <c r="B157" s="20" t="s">
        <v>110</v>
      </c>
      <c r="C157" s="20">
        <v>47.0</v>
      </c>
      <c r="D157" s="20" t="s">
        <v>64</v>
      </c>
      <c r="E157" s="20" t="s">
        <v>111</v>
      </c>
      <c r="F157" s="27"/>
    </row>
    <row r="158">
      <c r="A158" s="26">
        <v>44590.52230363426</v>
      </c>
      <c r="B158" s="20" t="s">
        <v>112</v>
      </c>
      <c r="C158" s="20">
        <v>2316.0</v>
      </c>
      <c r="D158" s="20" t="s">
        <v>53</v>
      </c>
      <c r="E158" s="20" t="s">
        <v>75</v>
      </c>
      <c r="F158" s="27"/>
    </row>
    <row r="159">
      <c r="A159" s="26">
        <v>44590.522931643514</v>
      </c>
      <c r="B159" s="20" t="s">
        <v>112</v>
      </c>
      <c r="C159" s="20">
        <v>1642.0</v>
      </c>
      <c r="D159" s="20" t="s">
        <v>93</v>
      </c>
      <c r="E159" s="20" t="s">
        <v>75</v>
      </c>
      <c r="F159" s="27"/>
    </row>
    <row r="160">
      <c r="A160" s="26">
        <v>44590.52602942129</v>
      </c>
      <c r="B160" s="20" t="s">
        <v>112</v>
      </c>
      <c r="C160" s="20">
        <v>1570.0</v>
      </c>
      <c r="D160" s="20" t="s">
        <v>53</v>
      </c>
      <c r="E160" s="20" t="s">
        <v>75</v>
      </c>
      <c r="F160" s="27"/>
    </row>
    <row r="161">
      <c r="A161" s="26">
        <v>44590.52892534722</v>
      </c>
      <c r="B161" s="20" t="s">
        <v>112</v>
      </c>
      <c r="C161" s="20">
        <v>862.0</v>
      </c>
      <c r="D161" s="20" t="s">
        <v>40</v>
      </c>
      <c r="E161" s="20" t="s">
        <v>75</v>
      </c>
      <c r="F161" s="27"/>
    </row>
    <row r="162">
      <c r="A162" s="26">
        <v>44590.5303134375</v>
      </c>
      <c r="B162" s="20" t="s">
        <v>112</v>
      </c>
      <c r="C162" s="20">
        <v>869.0</v>
      </c>
      <c r="D162" s="20" t="s">
        <v>40</v>
      </c>
      <c r="E162" s="20" t="s">
        <v>75</v>
      </c>
      <c r="F162" s="27"/>
    </row>
    <row r="163">
      <c r="A163" s="26">
        <v>44590.5331368287</v>
      </c>
      <c r="B163" s="20" t="s">
        <v>112</v>
      </c>
      <c r="C163" s="20">
        <v>960.0</v>
      </c>
      <c r="D163" s="20" t="s">
        <v>40</v>
      </c>
      <c r="E163" s="20" t="s">
        <v>75</v>
      </c>
      <c r="F163" s="27"/>
    </row>
    <row r="164">
      <c r="A164" s="26">
        <v>44590.556694687504</v>
      </c>
      <c r="B164" s="20" t="s">
        <v>112</v>
      </c>
      <c r="C164" s="20">
        <v>321.0</v>
      </c>
      <c r="D164" s="20" t="s">
        <v>76</v>
      </c>
      <c r="E164" s="20" t="s">
        <v>75</v>
      </c>
      <c r="F164" s="27"/>
    </row>
    <row r="165">
      <c r="A165" s="26">
        <v>44590.55723106481</v>
      </c>
      <c r="B165" s="20" t="s">
        <v>112</v>
      </c>
      <c r="C165" s="20">
        <v>465.0</v>
      </c>
      <c r="D165" s="20" t="s">
        <v>113</v>
      </c>
      <c r="E165" s="20" t="s">
        <v>75</v>
      </c>
      <c r="F165" s="27"/>
    </row>
    <row r="166">
      <c r="A166" s="26">
        <v>44590.5581340162</v>
      </c>
      <c r="B166" s="20" t="s">
        <v>112</v>
      </c>
      <c r="C166" s="20">
        <v>465.0</v>
      </c>
      <c r="D166" s="20" t="s">
        <v>77</v>
      </c>
      <c r="E166" s="20" t="s">
        <v>75</v>
      </c>
      <c r="F166" s="27"/>
    </row>
    <row r="167">
      <c r="A167" s="26">
        <v>44590.5605721875</v>
      </c>
      <c r="B167" s="20" t="s">
        <v>112</v>
      </c>
      <c r="C167" s="20">
        <v>440.0</v>
      </c>
      <c r="D167" s="20" t="s">
        <v>77</v>
      </c>
      <c r="E167" s="20" t="s">
        <v>75</v>
      </c>
      <c r="F167" s="27"/>
    </row>
    <row r="168">
      <c r="A168" s="26">
        <v>44590.561290150465</v>
      </c>
      <c r="B168" s="20" t="s">
        <v>112</v>
      </c>
      <c r="C168" s="20">
        <v>470.0</v>
      </c>
      <c r="D168" s="20" t="s">
        <v>77</v>
      </c>
      <c r="E168" s="20" t="s">
        <v>75</v>
      </c>
      <c r="F168" s="27"/>
    </row>
    <row r="169">
      <c r="A169" s="26">
        <v>44590.56189199074</v>
      </c>
      <c r="B169" s="20" t="s">
        <v>112</v>
      </c>
      <c r="C169" s="20">
        <v>1271.0</v>
      </c>
      <c r="D169" s="20" t="s">
        <v>114</v>
      </c>
      <c r="E169" s="20" t="s">
        <v>75</v>
      </c>
      <c r="F169" s="27"/>
    </row>
    <row r="170">
      <c r="A170" s="26">
        <v>44590.56736296296</v>
      </c>
      <c r="B170" s="20" t="s">
        <v>112</v>
      </c>
      <c r="C170" s="20">
        <v>730.0</v>
      </c>
      <c r="D170" s="20" t="s">
        <v>38</v>
      </c>
      <c r="E170" s="20" t="s">
        <v>75</v>
      </c>
      <c r="F170" s="27"/>
    </row>
    <row r="171">
      <c r="A171" s="26">
        <v>44590.57485621527</v>
      </c>
      <c r="B171" s="20" t="s">
        <v>112</v>
      </c>
      <c r="C171" s="20">
        <v>265.0</v>
      </c>
      <c r="D171" s="20" t="s">
        <v>76</v>
      </c>
      <c r="E171" s="20" t="s">
        <v>75</v>
      </c>
      <c r="F171" s="27"/>
    </row>
    <row r="172">
      <c r="A172" s="26">
        <v>44590.57889449074</v>
      </c>
      <c r="B172" s="20" t="s">
        <v>112</v>
      </c>
      <c r="C172" s="20">
        <v>761.0</v>
      </c>
      <c r="D172" s="20" t="s">
        <v>38</v>
      </c>
      <c r="E172" s="20" t="s">
        <v>75</v>
      </c>
      <c r="F172" s="27"/>
    </row>
    <row r="173">
      <c r="A173" s="26">
        <v>44590.655556412035</v>
      </c>
      <c r="B173" s="20" t="s">
        <v>112</v>
      </c>
      <c r="C173" s="20">
        <v>715.0</v>
      </c>
      <c r="D173" s="20" t="s">
        <v>36</v>
      </c>
      <c r="E173" s="20" t="s">
        <v>75</v>
      </c>
      <c r="F173" s="27"/>
    </row>
    <row r="174">
      <c r="A174" s="26">
        <v>44590.65599366898</v>
      </c>
      <c r="B174" s="20" t="s">
        <v>112</v>
      </c>
      <c r="C174" s="20">
        <v>201.0</v>
      </c>
      <c r="D174" s="20" t="s">
        <v>77</v>
      </c>
      <c r="E174" s="20" t="s">
        <v>75</v>
      </c>
      <c r="F174" s="27"/>
    </row>
    <row r="175">
      <c r="A175" s="26">
        <v>44590.656907083336</v>
      </c>
      <c r="B175" s="20" t="s">
        <v>112</v>
      </c>
      <c r="C175" s="20">
        <v>623.0</v>
      </c>
      <c r="D175" s="20" t="s">
        <v>115</v>
      </c>
      <c r="E175" s="20" t="s">
        <v>75</v>
      </c>
      <c r="F175" s="27"/>
    </row>
    <row r="176">
      <c r="A176" s="26">
        <v>44590.65729567129</v>
      </c>
      <c r="B176" s="20" t="s">
        <v>112</v>
      </c>
      <c r="C176" s="20">
        <v>961.0</v>
      </c>
      <c r="D176" s="20" t="s">
        <v>40</v>
      </c>
      <c r="E176" s="20" t="s">
        <v>75</v>
      </c>
      <c r="F176" s="27"/>
    </row>
    <row r="177">
      <c r="A177" s="26">
        <v>44590.65770649306</v>
      </c>
      <c r="B177" s="20" t="s">
        <v>112</v>
      </c>
      <c r="C177" s="20">
        <v>552.0</v>
      </c>
      <c r="D177" s="20" t="s">
        <v>113</v>
      </c>
      <c r="E177" s="20" t="s">
        <v>75</v>
      </c>
      <c r="F177" s="27"/>
    </row>
    <row r="178">
      <c r="A178" s="26">
        <v>44590.658016076384</v>
      </c>
      <c r="B178" s="20" t="s">
        <v>112</v>
      </c>
      <c r="C178" s="20">
        <v>377.0</v>
      </c>
      <c r="D178" s="20" t="s">
        <v>76</v>
      </c>
      <c r="E178" s="20" t="s">
        <v>75</v>
      </c>
      <c r="F178" s="27"/>
    </row>
    <row r="179">
      <c r="A179" s="26">
        <v>44590.65839619213</v>
      </c>
      <c r="B179" s="20" t="s">
        <v>112</v>
      </c>
      <c r="C179" s="20">
        <v>501.0</v>
      </c>
      <c r="D179" s="20" t="s">
        <v>43</v>
      </c>
      <c r="E179" s="20" t="s">
        <v>75</v>
      </c>
      <c r="F179" s="27"/>
    </row>
    <row r="180">
      <c r="A180" s="26">
        <v>44591.54074409722</v>
      </c>
      <c r="C180" s="20">
        <v>966.0</v>
      </c>
      <c r="D180" s="20" t="s">
        <v>47</v>
      </c>
      <c r="E180" s="20" t="s">
        <v>46</v>
      </c>
      <c r="F180" s="27"/>
    </row>
    <row r="181">
      <c r="A181" s="26">
        <v>44591.54091685185</v>
      </c>
      <c r="C181" s="20">
        <v>832.0</v>
      </c>
      <c r="D181" s="20" t="s">
        <v>40</v>
      </c>
      <c r="E181" s="20" t="s">
        <v>81</v>
      </c>
      <c r="F181" s="27"/>
    </row>
    <row r="182">
      <c r="A182" s="26">
        <v>44591.54108622685</v>
      </c>
      <c r="C182" s="20">
        <v>306.0</v>
      </c>
      <c r="D182" s="20" t="s">
        <v>36</v>
      </c>
      <c r="E182" s="20" t="s">
        <v>46</v>
      </c>
      <c r="F182" s="27"/>
    </row>
    <row r="183">
      <c r="A183" s="26">
        <v>44591.54131655092</v>
      </c>
      <c r="C183" s="20">
        <v>825.0</v>
      </c>
      <c r="D183" s="20" t="s">
        <v>47</v>
      </c>
      <c r="E183" s="20" t="s">
        <v>46</v>
      </c>
      <c r="F183" s="27"/>
    </row>
    <row r="184">
      <c r="A184" s="26">
        <v>44591.541466319446</v>
      </c>
      <c r="C184" s="20">
        <v>252.0</v>
      </c>
      <c r="D184" s="20" t="s">
        <v>47</v>
      </c>
      <c r="E184" s="20" t="s">
        <v>46</v>
      </c>
      <c r="F184" s="27"/>
    </row>
    <row r="185">
      <c r="A185" s="26">
        <v>44591.541811793984</v>
      </c>
      <c r="C185" s="20">
        <v>215.0</v>
      </c>
      <c r="D185" s="20" t="s">
        <v>116</v>
      </c>
      <c r="E185" s="20" t="s">
        <v>37</v>
      </c>
      <c r="F185" s="27"/>
    </row>
    <row r="186">
      <c r="A186" s="26">
        <v>44591.54195611111</v>
      </c>
      <c r="C186" s="20">
        <v>308.0</v>
      </c>
      <c r="D186" s="20" t="s">
        <v>36</v>
      </c>
      <c r="E186" s="20" t="s">
        <v>81</v>
      </c>
      <c r="F186" s="27"/>
    </row>
    <row r="187">
      <c r="A187" s="26">
        <v>44591.542071840275</v>
      </c>
      <c r="C187" s="20">
        <v>310.0</v>
      </c>
      <c r="D187" s="20" t="s">
        <v>36</v>
      </c>
      <c r="E187" s="20" t="s">
        <v>37</v>
      </c>
      <c r="F187" s="27"/>
    </row>
    <row r="188">
      <c r="A188" s="26">
        <v>44591.616871886574</v>
      </c>
      <c r="B188" s="20" t="s">
        <v>49</v>
      </c>
      <c r="C188" s="20">
        <v>627.0</v>
      </c>
      <c r="D188" s="20" t="s">
        <v>40</v>
      </c>
      <c r="E188" s="20" t="s">
        <v>46</v>
      </c>
      <c r="F188" s="27"/>
    </row>
    <row r="189">
      <c r="A189" s="26">
        <v>44591.61708282407</v>
      </c>
      <c r="B189" s="20" t="s">
        <v>49</v>
      </c>
      <c r="C189" s="20">
        <v>998.0</v>
      </c>
      <c r="D189" s="20" t="s">
        <v>36</v>
      </c>
      <c r="E189" s="20" t="s">
        <v>46</v>
      </c>
      <c r="F189" s="27"/>
    </row>
    <row r="190">
      <c r="A190" s="26">
        <v>44591.617451157406</v>
      </c>
      <c r="B190" s="20" t="s">
        <v>49</v>
      </c>
      <c r="C190" s="20">
        <v>667.0</v>
      </c>
      <c r="D190" s="20" t="s">
        <v>40</v>
      </c>
      <c r="E190" s="20" t="s">
        <v>46</v>
      </c>
      <c r="F190" s="27"/>
    </row>
    <row r="191">
      <c r="A191" s="26">
        <v>44591.61768599537</v>
      </c>
      <c r="B191" s="20" t="s">
        <v>49</v>
      </c>
      <c r="C191" s="20">
        <v>743.0</v>
      </c>
      <c r="D191" s="20" t="s">
        <v>40</v>
      </c>
      <c r="E191" s="20" t="s">
        <v>46</v>
      </c>
      <c r="F191" s="27"/>
    </row>
    <row r="192">
      <c r="A192" s="26">
        <v>44591.618200763885</v>
      </c>
      <c r="B192" s="20" t="s">
        <v>49</v>
      </c>
      <c r="C192" s="20">
        <v>821.0</v>
      </c>
      <c r="D192" s="20" t="s">
        <v>40</v>
      </c>
      <c r="E192" s="20" t="s">
        <v>46</v>
      </c>
      <c r="F192" s="27"/>
    </row>
    <row r="193">
      <c r="A193" s="26">
        <v>44591.618427511574</v>
      </c>
      <c r="B193" s="20" t="s">
        <v>49</v>
      </c>
      <c r="C193" s="20">
        <v>991.0</v>
      </c>
      <c r="D193" s="20" t="s">
        <v>40</v>
      </c>
      <c r="E193" s="20" t="s">
        <v>46</v>
      </c>
      <c r="F193" s="27"/>
    </row>
    <row r="194">
      <c r="A194" s="26">
        <v>44591.618612708335</v>
      </c>
      <c r="B194" s="20" t="s">
        <v>49</v>
      </c>
      <c r="C194" s="20">
        <v>865.0</v>
      </c>
      <c r="D194" s="20" t="s">
        <v>53</v>
      </c>
      <c r="E194" s="20" t="s">
        <v>46</v>
      </c>
      <c r="F194" s="27"/>
    </row>
    <row r="195">
      <c r="A195" s="26">
        <v>44591.61888555555</v>
      </c>
      <c r="B195" s="20" t="s">
        <v>49</v>
      </c>
      <c r="C195" s="20">
        <v>743.0</v>
      </c>
      <c r="D195" s="20" t="s">
        <v>40</v>
      </c>
      <c r="E195" s="20" t="s">
        <v>46</v>
      </c>
      <c r="F195" s="27"/>
    </row>
    <row r="196">
      <c r="A196" s="26">
        <v>44591.61912177083</v>
      </c>
      <c r="B196" s="20" t="s">
        <v>49</v>
      </c>
      <c r="C196" s="20">
        <v>865.0</v>
      </c>
      <c r="D196" s="20" t="s">
        <v>53</v>
      </c>
      <c r="E196" s="20" t="s">
        <v>46</v>
      </c>
      <c r="F196" s="27"/>
    </row>
    <row r="197">
      <c r="A197" s="26">
        <v>44591.6192896875</v>
      </c>
      <c r="B197" s="20" t="s">
        <v>49</v>
      </c>
      <c r="C197" s="20">
        <v>340.0</v>
      </c>
      <c r="D197" s="20" t="s">
        <v>36</v>
      </c>
      <c r="E197" s="20" t="s">
        <v>46</v>
      </c>
      <c r="F197" s="27"/>
    </row>
    <row r="198">
      <c r="A198" s="26">
        <v>44591.61959869213</v>
      </c>
      <c r="B198" s="20" t="s">
        <v>49</v>
      </c>
      <c r="C198" s="20">
        <v>763.0</v>
      </c>
      <c r="D198" s="20" t="s">
        <v>47</v>
      </c>
      <c r="E198" s="20" t="s">
        <v>46</v>
      </c>
      <c r="F198" s="27"/>
    </row>
    <row r="199">
      <c r="A199" s="26">
        <v>44591.61981371528</v>
      </c>
      <c r="B199" s="20" t="s">
        <v>49</v>
      </c>
      <c r="C199" s="20">
        <v>633.0</v>
      </c>
      <c r="D199" s="20" t="s">
        <v>47</v>
      </c>
      <c r="E199" s="20" t="s">
        <v>46</v>
      </c>
      <c r="F199" s="27"/>
    </row>
    <row r="200">
      <c r="A200" s="26">
        <v>44591.62025986111</v>
      </c>
      <c r="B200" s="20" t="s">
        <v>49</v>
      </c>
      <c r="C200" s="20">
        <v>180.0</v>
      </c>
      <c r="D200" s="20" t="s">
        <v>76</v>
      </c>
      <c r="E200" s="20" t="s">
        <v>81</v>
      </c>
      <c r="F200" s="27"/>
    </row>
    <row r="201">
      <c r="A201" s="26">
        <v>44591.62056149305</v>
      </c>
      <c r="B201" s="20" t="s">
        <v>49</v>
      </c>
      <c r="C201" s="20">
        <v>801.0</v>
      </c>
      <c r="D201" s="20" t="s">
        <v>40</v>
      </c>
      <c r="E201" s="20" t="s">
        <v>50</v>
      </c>
      <c r="F201" s="27"/>
    </row>
    <row r="202">
      <c r="A202" s="26">
        <v>44591.62080471065</v>
      </c>
      <c r="B202" s="20" t="s">
        <v>49</v>
      </c>
      <c r="C202" s="20">
        <v>640.0</v>
      </c>
      <c r="D202" s="20" t="s">
        <v>40</v>
      </c>
      <c r="E202" s="20" t="s">
        <v>50</v>
      </c>
      <c r="F202" s="27"/>
    </row>
    <row r="203">
      <c r="A203" s="26">
        <v>44591.621282314816</v>
      </c>
      <c r="B203" s="20" t="s">
        <v>49</v>
      </c>
      <c r="C203" s="20">
        <v>422.0</v>
      </c>
      <c r="D203" s="20" t="s">
        <v>117</v>
      </c>
      <c r="E203" s="20" t="s">
        <v>50</v>
      </c>
      <c r="F203" s="27"/>
    </row>
    <row r="204">
      <c r="A204" s="26">
        <v>44591.62166870371</v>
      </c>
      <c r="B204" s="20" t="s">
        <v>49</v>
      </c>
      <c r="C204" s="20">
        <v>190.0</v>
      </c>
      <c r="D204" s="20" t="s">
        <v>118</v>
      </c>
      <c r="E204" s="20" t="s">
        <v>50</v>
      </c>
      <c r="F204" s="27"/>
    </row>
    <row r="205">
      <c r="A205" s="26">
        <v>44591.62202126157</v>
      </c>
      <c r="B205" s="20" t="s">
        <v>49</v>
      </c>
      <c r="C205" s="20">
        <v>340.0</v>
      </c>
      <c r="D205" s="20" t="s">
        <v>118</v>
      </c>
      <c r="E205" s="20" t="s">
        <v>37</v>
      </c>
      <c r="F205" s="27"/>
    </row>
    <row r="206">
      <c r="A206" s="20" t="s">
        <v>119</v>
      </c>
      <c r="D206" s="20"/>
      <c r="E206" s="20"/>
      <c r="F206" s="27"/>
      <c r="G206" s="24">
        <f>sum(C2:C205)</f>
        <v>124300.6</v>
      </c>
    </row>
    <row r="207">
      <c r="A207" s="26">
        <v>44593.68946129629</v>
      </c>
      <c r="B207" s="20" t="s">
        <v>120</v>
      </c>
      <c r="C207" s="20">
        <v>0.0</v>
      </c>
      <c r="D207" s="20" t="s">
        <v>121</v>
      </c>
      <c r="E207" s="20" t="s">
        <v>121</v>
      </c>
      <c r="F207" s="27"/>
    </row>
    <row r="208">
      <c r="A208" s="26">
        <v>44594.67871910879</v>
      </c>
      <c r="B208" s="20" t="s">
        <v>122</v>
      </c>
      <c r="C208" s="20">
        <v>20.0</v>
      </c>
      <c r="D208" s="20" t="s">
        <v>64</v>
      </c>
      <c r="E208" s="20" t="s">
        <v>123</v>
      </c>
      <c r="F208" s="27"/>
    </row>
    <row r="209">
      <c r="A209" s="26">
        <v>44594.79597034722</v>
      </c>
      <c r="B209" s="20" t="s">
        <v>124</v>
      </c>
      <c r="C209" s="20">
        <v>831.0</v>
      </c>
      <c r="D209" s="20" t="s">
        <v>36</v>
      </c>
      <c r="E209" s="20" t="s">
        <v>88</v>
      </c>
      <c r="F209" s="27"/>
    </row>
    <row r="210">
      <c r="A210" s="26">
        <v>44594.79620956018</v>
      </c>
      <c r="B210" s="20" t="s">
        <v>124</v>
      </c>
      <c r="C210" s="20">
        <v>750.0</v>
      </c>
      <c r="D210" s="20" t="s">
        <v>40</v>
      </c>
      <c r="E210" s="20" t="s">
        <v>88</v>
      </c>
      <c r="F210" s="27"/>
    </row>
    <row r="211">
      <c r="A211" s="26">
        <v>44594.79648725694</v>
      </c>
      <c r="B211" s="20" t="s">
        <v>124</v>
      </c>
      <c r="C211" s="20">
        <v>598.0</v>
      </c>
      <c r="D211" s="20" t="s">
        <v>47</v>
      </c>
      <c r="E211" s="20" t="s">
        <v>88</v>
      </c>
      <c r="F211" s="27"/>
    </row>
    <row r="212">
      <c r="A212" s="26">
        <v>44594.79687085648</v>
      </c>
      <c r="B212" s="20" t="s">
        <v>124</v>
      </c>
      <c r="C212" s="20">
        <v>613.0</v>
      </c>
      <c r="D212" s="20" t="s">
        <v>125</v>
      </c>
      <c r="E212" s="20" t="s">
        <v>88</v>
      </c>
      <c r="F212" s="27"/>
    </row>
    <row r="213">
      <c r="A213" s="26">
        <v>44594.79786619213</v>
      </c>
      <c r="B213" s="20" t="s">
        <v>124</v>
      </c>
      <c r="C213" s="20">
        <v>293.0</v>
      </c>
      <c r="D213" s="20" t="s">
        <v>76</v>
      </c>
      <c r="E213" s="20" t="s">
        <v>46</v>
      </c>
      <c r="F213" s="27"/>
    </row>
    <row r="214">
      <c r="A214" s="26">
        <v>44594.798149560185</v>
      </c>
      <c r="B214" s="20" t="s">
        <v>126</v>
      </c>
      <c r="C214" s="20">
        <v>547.0</v>
      </c>
      <c r="D214" s="20" t="s">
        <v>40</v>
      </c>
      <c r="E214" s="20" t="s">
        <v>103</v>
      </c>
      <c r="F214" s="27"/>
    </row>
    <row r="215">
      <c r="A215" s="26">
        <v>44594.798273981476</v>
      </c>
      <c r="B215" s="20" t="s">
        <v>124</v>
      </c>
      <c r="C215" s="20">
        <v>665.0</v>
      </c>
      <c r="D215" s="20" t="s">
        <v>115</v>
      </c>
      <c r="E215" s="20" t="s">
        <v>46</v>
      </c>
      <c r="F215" s="27"/>
    </row>
    <row r="216">
      <c r="A216" s="26">
        <v>44594.7984237037</v>
      </c>
      <c r="B216" s="20" t="s">
        <v>126</v>
      </c>
      <c r="C216" s="20">
        <v>541.0</v>
      </c>
      <c r="D216" s="20" t="s">
        <v>40</v>
      </c>
      <c r="E216" s="20" t="s">
        <v>46</v>
      </c>
      <c r="F216" s="27"/>
    </row>
    <row r="217">
      <c r="A217" s="26">
        <v>44594.798601620365</v>
      </c>
      <c r="B217" s="20" t="s">
        <v>124</v>
      </c>
      <c r="C217" s="20">
        <v>323.0</v>
      </c>
      <c r="D217" s="20" t="s">
        <v>47</v>
      </c>
      <c r="E217" s="20" t="s">
        <v>46</v>
      </c>
      <c r="F217" s="27"/>
    </row>
    <row r="218">
      <c r="A218" s="26">
        <v>44594.798726168985</v>
      </c>
      <c r="B218" s="20" t="s">
        <v>126</v>
      </c>
      <c r="C218" s="20">
        <v>400.0</v>
      </c>
      <c r="D218" s="20" t="s">
        <v>47</v>
      </c>
      <c r="E218" s="20" t="s">
        <v>46</v>
      </c>
      <c r="F218" s="27"/>
    </row>
    <row r="219">
      <c r="A219" s="26">
        <v>44594.798851886575</v>
      </c>
      <c r="B219" s="20" t="s">
        <v>124</v>
      </c>
      <c r="C219" s="20">
        <v>750.0</v>
      </c>
      <c r="D219" s="20" t="s">
        <v>47</v>
      </c>
      <c r="E219" s="20" t="s">
        <v>46</v>
      </c>
      <c r="F219" s="27"/>
    </row>
    <row r="220">
      <c r="A220" s="26">
        <v>44595.567474375</v>
      </c>
      <c r="B220" s="20" t="s">
        <v>84</v>
      </c>
      <c r="C220" s="20">
        <v>52.0</v>
      </c>
      <c r="D220" s="20" t="s">
        <v>64</v>
      </c>
      <c r="E220" s="20" t="s">
        <v>86</v>
      </c>
      <c r="F220" s="27"/>
    </row>
    <row r="221">
      <c r="A221" s="26">
        <v>44595.612754131944</v>
      </c>
      <c r="B221" s="20" t="s">
        <v>127</v>
      </c>
      <c r="C221" s="20">
        <v>68.0</v>
      </c>
      <c r="D221" s="20" t="s">
        <v>64</v>
      </c>
      <c r="E221" s="20" t="s">
        <v>65</v>
      </c>
      <c r="F221" s="27"/>
    </row>
    <row r="222">
      <c r="A222" s="26">
        <v>44595.66052615741</v>
      </c>
      <c r="B222" s="20" t="s">
        <v>49</v>
      </c>
      <c r="C222" s="20">
        <v>2105.0</v>
      </c>
      <c r="D222" s="20" t="s">
        <v>53</v>
      </c>
      <c r="E222" s="20" t="s">
        <v>46</v>
      </c>
      <c r="F222" s="27"/>
    </row>
    <row r="223">
      <c r="A223" s="26">
        <v>44595.66082736111</v>
      </c>
      <c r="B223" s="20" t="s">
        <v>49</v>
      </c>
      <c r="C223" s="20">
        <v>446.0</v>
      </c>
      <c r="D223" s="20" t="s">
        <v>40</v>
      </c>
      <c r="E223" s="20" t="s">
        <v>46</v>
      </c>
      <c r="F223" s="27"/>
    </row>
    <row r="224">
      <c r="A224" s="26">
        <v>44595.66161513889</v>
      </c>
      <c r="B224" s="20" t="s">
        <v>49</v>
      </c>
      <c r="C224" s="20">
        <v>2105.0</v>
      </c>
      <c r="D224" s="20" t="s">
        <v>53</v>
      </c>
      <c r="E224" s="20" t="s">
        <v>46</v>
      </c>
      <c r="F224" s="27"/>
    </row>
    <row r="225">
      <c r="A225" s="26">
        <v>44595.66207763889</v>
      </c>
      <c r="B225" s="20" t="s">
        <v>49</v>
      </c>
      <c r="C225" s="20">
        <v>968.0</v>
      </c>
      <c r="D225" s="20" t="s">
        <v>47</v>
      </c>
      <c r="E225" s="20" t="s">
        <v>128</v>
      </c>
      <c r="F225" s="27"/>
    </row>
    <row r="226">
      <c r="A226" s="26">
        <v>44595.731108900465</v>
      </c>
      <c r="B226" s="20" t="s">
        <v>129</v>
      </c>
      <c r="C226" s="20">
        <v>422.0</v>
      </c>
      <c r="D226" s="20" t="s">
        <v>130</v>
      </c>
      <c r="E226" s="20" t="s">
        <v>74</v>
      </c>
      <c r="F226" s="27"/>
    </row>
    <row r="227">
      <c r="A227" s="26">
        <v>44595.731479699076</v>
      </c>
      <c r="B227" s="20" t="s">
        <v>129</v>
      </c>
      <c r="C227" s="20">
        <v>191.0</v>
      </c>
      <c r="D227" s="20" t="s">
        <v>95</v>
      </c>
      <c r="E227" s="20" t="s">
        <v>131</v>
      </c>
      <c r="F227" s="27"/>
    </row>
    <row r="228">
      <c r="A228" s="26">
        <v>44595.731866331014</v>
      </c>
      <c r="B228" s="20" t="s">
        <v>129</v>
      </c>
      <c r="C228" s="20">
        <v>419.0</v>
      </c>
      <c r="D228" s="20" t="s">
        <v>38</v>
      </c>
      <c r="E228" s="20" t="s">
        <v>74</v>
      </c>
      <c r="F228" s="27"/>
    </row>
    <row r="229">
      <c r="A229" s="26">
        <v>44595.73218017361</v>
      </c>
      <c r="B229" s="20" t="s">
        <v>129</v>
      </c>
      <c r="C229" s="20">
        <v>132.0</v>
      </c>
      <c r="D229" s="20" t="s">
        <v>76</v>
      </c>
      <c r="E229" s="20" t="s">
        <v>74</v>
      </c>
      <c r="F229" s="27"/>
    </row>
    <row r="230">
      <c r="A230" s="26">
        <v>44595.732534282404</v>
      </c>
      <c r="B230" s="20" t="s">
        <v>129</v>
      </c>
      <c r="C230" s="20">
        <v>849.0</v>
      </c>
      <c r="D230" s="20" t="s">
        <v>87</v>
      </c>
      <c r="E230" s="20" t="s">
        <v>74</v>
      </c>
      <c r="F230" s="27"/>
    </row>
    <row r="231">
      <c r="A231" s="26">
        <v>44595.73347274306</v>
      </c>
      <c r="B231" s="20" t="s">
        <v>129</v>
      </c>
      <c r="C231" s="20">
        <v>1173.0</v>
      </c>
      <c r="D231" s="20" t="s">
        <v>38</v>
      </c>
      <c r="E231" s="20" t="s">
        <v>128</v>
      </c>
      <c r="F231" s="27"/>
    </row>
    <row r="232">
      <c r="A232" s="26">
        <v>44595.73381351852</v>
      </c>
      <c r="B232" s="20" t="s">
        <v>132</v>
      </c>
      <c r="C232" s="20">
        <v>909.0</v>
      </c>
      <c r="D232" s="20" t="s">
        <v>47</v>
      </c>
      <c r="E232" s="20" t="s">
        <v>133</v>
      </c>
      <c r="F232" s="27"/>
    </row>
    <row r="233">
      <c r="A233" s="26">
        <v>44595.73403622685</v>
      </c>
      <c r="B233" s="20" t="s">
        <v>129</v>
      </c>
      <c r="C233" s="20">
        <v>2188.0</v>
      </c>
      <c r="D233" s="20" t="s">
        <v>53</v>
      </c>
      <c r="E233" s="20" t="s">
        <v>133</v>
      </c>
      <c r="F233" s="27"/>
    </row>
    <row r="234">
      <c r="A234" s="26">
        <v>44595.73438201389</v>
      </c>
      <c r="B234" s="20" t="s">
        <v>134</v>
      </c>
      <c r="C234" s="20">
        <v>2307.0</v>
      </c>
      <c r="D234" s="20" t="s">
        <v>135</v>
      </c>
      <c r="E234" s="20" t="s">
        <v>133</v>
      </c>
      <c r="F234" s="27"/>
    </row>
    <row r="235">
      <c r="A235" s="26">
        <v>44595.7360300463</v>
      </c>
      <c r="B235" s="20" t="s">
        <v>134</v>
      </c>
      <c r="C235" s="20">
        <v>2390.0</v>
      </c>
      <c r="D235" s="20" t="s">
        <v>53</v>
      </c>
      <c r="E235" s="20" t="s">
        <v>46</v>
      </c>
      <c r="F235" s="27"/>
    </row>
    <row r="236">
      <c r="A236" s="26">
        <v>44595.73653040509</v>
      </c>
      <c r="B236" s="20" t="s">
        <v>129</v>
      </c>
      <c r="C236" s="20">
        <v>629.0</v>
      </c>
      <c r="D236" s="20" t="s">
        <v>47</v>
      </c>
      <c r="E236" s="20" t="s">
        <v>46</v>
      </c>
      <c r="F236" s="27"/>
    </row>
    <row r="237">
      <c r="A237" s="26">
        <v>44595.7367600463</v>
      </c>
      <c r="B237" s="20" t="s">
        <v>129</v>
      </c>
      <c r="C237" s="20">
        <v>521.0</v>
      </c>
      <c r="D237" s="20" t="s">
        <v>136</v>
      </c>
      <c r="E237" s="20" t="s">
        <v>46</v>
      </c>
      <c r="F237" s="27"/>
    </row>
    <row r="238">
      <c r="A238" s="26">
        <v>44595.737209074076</v>
      </c>
      <c r="B238" s="20" t="s">
        <v>129</v>
      </c>
      <c r="C238" s="20">
        <v>1213.0</v>
      </c>
      <c r="D238" s="20" t="s">
        <v>40</v>
      </c>
      <c r="E238" s="20" t="s">
        <v>46</v>
      </c>
      <c r="F238" s="27"/>
    </row>
    <row r="239">
      <c r="A239" s="26">
        <v>44595.738549525464</v>
      </c>
      <c r="B239" s="20" t="s">
        <v>134</v>
      </c>
      <c r="C239" s="20">
        <v>953.0</v>
      </c>
      <c r="D239" s="20" t="s">
        <v>47</v>
      </c>
      <c r="E239" s="20" t="s">
        <v>46</v>
      </c>
      <c r="F239" s="27"/>
    </row>
    <row r="240">
      <c r="A240" s="26">
        <v>44595.73910265046</v>
      </c>
      <c r="B240" s="20" t="s">
        <v>129</v>
      </c>
      <c r="C240" s="20">
        <v>1108.0</v>
      </c>
      <c r="D240" s="20" t="s">
        <v>38</v>
      </c>
      <c r="E240" s="20" t="s">
        <v>46</v>
      </c>
      <c r="F240" s="27"/>
    </row>
    <row r="241">
      <c r="A241" s="26">
        <v>44595.73944125</v>
      </c>
      <c r="B241" s="20" t="s">
        <v>129</v>
      </c>
      <c r="C241" s="20">
        <v>300.0</v>
      </c>
      <c r="D241" s="20" t="s">
        <v>137</v>
      </c>
      <c r="E241" s="20" t="s">
        <v>46</v>
      </c>
      <c r="F241" s="27"/>
    </row>
    <row r="242">
      <c r="A242" s="26">
        <v>44596.57864128472</v>
      </c>
      <c r="B242" s="20" t="s">
        <v>55</v>
      </c>
      <c r="C242" s="20">
        <v>1486.0</v>
      </c>
      <c r="D242" s="20" t="s">
        <v>93</v>
      </c>
      <c r="E242" s="20" t="s">
        <v>46</v>
      </c>
      <c r="F242" s="27"/>
    </row>
    <row r="243">
      <c r="A243" s="26">
        <v>44596.57905650463</v>
      </c>
      <c r="B243" s="20" t="s">
        <v>55</v>
      </c>
      <c r="C243" s="20">
        <v>1254.0</v>
      </c>
      <c r="D243" s="20">
        <v>1254.0</v>
      </c>
      <c r="E243" s="20" t="s">
        <v>46</v>
      </c>
      <c r="F243" s="27"/>
    </row>
    <row r="244">
      <c r="A244" s="26">
        <v>44596.5796225463</v>
      </c>
      <c r="B244" s="20" t="s">
        <v>55</v>
      </c>
      <c r="C244" s="20">
        <v>1087.0</v>
      </c>
      <c r="D244" s="20">
        <v>1254.0</v>
      </c>
      <c r="E244" s="20" t="s">
        <v>46</v>
      </c>
      <c r="F244" s="27"/>
    </row>
    <row r="245">
      <c r="A245" s="26">
        <v>44596.57990197917</v>
      </c>
      <c r="B245" s="20" t="s">
        <v>55</v>
      </c>
      <c r="C245" s="20">
        <v>2107.0</v>
      </c>
      <c r="D245" s="20" t="s">
        <v>53</v>
      </c>
      <c r="E245" s="20" t="s">
        <v>46</v>
      </c>
      <c r="F245" s="27"/>
    </row>
    <row r="246">
      <c r="A246" s="26">
        <v>44596.58014733796</v>
      </c>
      <c r="B246" s="20" t="s">
        <v>55</v>
      </c>
      <c r="C246" s="20">
        <v>863.0</v>
      </c>
      <c r="D246" s="20" t="s">
        <v>40</v>
      </c>
      <c r="E246" s="20" t="s">
        <v>46</v>
      </c>
      <c r="F246" s="27"/>
    </row>
    <row r="247">
      <c r="A247" s="26">
        <v>44596.58045542824</v>
      </c>
      <c r="B247" s="20" t="s">
        <v>55</v>
      </c>
      <c r="C247" s="20">
        <v>323.0</v>
      </c>
      <c r="D247" s="20" t="s">
        <v>138</v>
      </c>
      <c r="E247" s="20" t="s">
        <v>46</v>
      </c>
      <c r="F247" s="27"/>
    </row>
    <row r="248">
      <c r="A248" s="26">
        <v>44596.601261006945</v>
      </c>
      <c r="B248" s="20" t="s">
        <v>55</v>
      </c>
      <c r="C248" s="20">
        <v>615.0</v>
      </c>
      <c r="D248" s="20" t="s">
        <v>40</v>
      </c>
      <c r="E248" s="20" t="s">
        <v>46</v>
      </c>
      <c r="F248" s="27"/>
    </row>
    <row r="249">
      <c r="A249" s="26">
        <v>44596.69451732639</v>
      </c>
      <c r="B249" s="20" t="s">
        <v>49</v>
      </c>
      <c r="C249" s="20">
        <v>36.0</v>
      </c>
      <c r="D249" s="20" t="s">
        <v>64</v>
      </c>
      <c r="E249" s="20" t="s">
        <v>46</v>
      </c>
      <c r="F249" s="27"/>
    </row>
    <row r="250">
      <c r="A250" s="26">
        <v>44596.69479472222</v>
      </c>
      <c r="B250" s="20" t="s">
        <v>49</v>
      </c>
      <c r="C250" s="20">
        <v>138.0</v>
      </c>
      <c r="D250" s="20" t="s">
        <v>64</v>
      </c>
      <c r="E250" s="20" t="s">
        <v>96</v>
      </c>
      <c r="F250" s="27"/>
    </row>
    <row r="251">
      <c r="A251" s="26">
        <v>44597.546010266204</v>
      </c>
      <c r="B251" s="20" t="s">
        <v>91</v>
      </c>
      <c r="C251" s="20">
        <v>802.0</v>
      </c>
      <c r="D251" s="20" t="s">
        <v>40</v>
      </c>
      <c r="E251" s="20" t="s">
        <v>139</v>
      </c>
      <c r="F251" s="27"/>
    </row>
    <row r="252">
      <c r="A252" s="26">
        <v>44597.54632010417</v>
      </c>
      <c r="B252" s="20" t="s">
        <v>92</v>
      </c>
      <c r="C252" s="20">
        <v>900.0</v>
      </c>
      <c r="D252" s="20" t="s">
        <v>53</v>
      </c>
      <c r="E252" s="20" t="s">
        <v>139</v>
      </c>
      <c r="F252" s="27"/>
    </row>
    <row r="253">
      <c r="A253" s="26">
        <v>44597.546605578704</v>
      </c>
      <c r="B253" s="20" t="s">
        <v>92</v>
      </c>
      <c r="C253" s="20">
        <v>111.0</v>
      </c>
      <c r="D253" s="20" t="s">
        <v>76</v>
      </c>
      <c r="E253" s="20" t="s">
        <v>139</v>
      </c>
      <c r="F253" s="27"/>
    </row>
    <row r="254">
      <c r="A254" s="26">
        <v>44597.546940636574</v>
      </c>
      <c r="B254" s="20" t="s">
        <v>92</v>
      </c>
      <c r="C254" s="20">
        <v>1452.0</v>
      </c>
      <c r="D254" s="20" t="s">
        <v>115</v>
      </c>
      <c r="E254" s="20" t="s">
        <v>75</v>
      </c>
      <c r="F254" s="27"/>
    </row>
    <row r="255">
      <c r="A255" s="26">
        <v>44597.547403715274</v>
      </c>
      <c r="B255" s="20" t="s">
        <v>92</v>
      </c>
      <c r="C255" s="20">
        <v>1462.0</v>
      </c>
      <c r="D255" s="20" t="s">
        <v>115</v>
      </c>
      <c r="E255" s="20" t="s">
        <v>75</v>
      </c>
      <c r="F255" s="27"/>
    </row>
    <row r="256">
      <c r="A256" s="26">
        <v>44597.54759480324</v>
      </c>
      <c r="B256" s="20" t="s">
        <v>92</v>
      </c>
      <c r="C256" s="20">
        <v>2159.0</v>
      </c>
      <c r="D256" s="20" t="s">
        <v>53</v>
      </c>
      <c r="E256" s="20" t="s">
        <v>75</v>
      </c>
      <c r="F256" s="27"/>
    </row>
    <row r="257">
      <c r="A257" s="26">
        <v>44597.54782792824</v>
      </c>
      <c r="B257" s="20" t="s">
        <v>92</v>
      </c>
      <c r="C257" s="20">
        <v>988.0</v>
      </c>
      <c r="D257" s="20" t="s">
        <v>140</v>
      </c>
      <c r="E257" s="20" t="s">
        <v>75</v>
      </c>
      <c r="F257" s="27"/>
    </row>
    <row r="258">
      <c r="A258" s="26">
        <v>44597.5480043287</v>
      </c>
      <c r="B258" s="20" t="s">
        <v>92</v>
      </c>
      <c r="C258" s="20">
        <v>843.0</v>
      </c>
      <c r="D258" s="20" t="s">
        <v>40</v>
      </c>
      <c r="E258" s="20" t="s">
        <v>75</v>
      </c>
      <c r="F258" s="27"/>
    </row>
    <row r="259">
      <c r="A259" s="26">
        <v>44597.548204189814</v>
      </c>
      <c r="B259" s="20" t="s">
        <v>92</v>
      </c>
      <c r="C259" s="20">
        <v>905.0</v>
      </c>
      <c r="D259" s="20" t="s">
        <v>40</v>
      </c>
      <c r="E259" s="20" t="s">
        <v>75</v>
      </c>
      <c r="F259" s="27"/>
    </row>
    <row r="260">
      <c r="A260" s="26">
        <v>44597.54842104166</v>
      </c>
      <c r="B260" s="20" t="s">
        <v>92</v>
      </c>
      <c r="C260" s="20">
        <v>945.0</v>
      </c>
      <c r="D260" s="20" t="s">
        <v>40</v>
      </c>
      <c r="E260" s="20" t="s">
        <v>75</v>
      </c>
      <c r="F260" s="27"/>
    </row>
    <row r="261">
      <c r="A261" s="26">
        <v>44597.54859627315</v>
      </c>
      <c r="B261" s="20" t="s">
        <v>92</v>
      </c>
      <c r="C261" s="20">
        <v>843.0</v>
      </c>
      <c r="D261" s="20" t="s">
        <v>40</v>
      </c>
      <c r="E261" s="20" t="s">
        <v>75</v>
      </c>
      <c r="F261" s="27"/>
    </row>
    <row r="262">
      <c r="A262" s="26">
        <v>44597.54901422454</v>
      </c>
      <c r="B262" s="20" t="s">
        <v>92</v>
      </c>
      <c r="C262" s="20">
        <v>37.0</v>
      </c>
      <c r="D262" s="20" t="s">
        <v>141</v>
      </c>
      <c r="E262" s="20" t="s">
        <v>142</v>
      </c>
      <c r="F262" s="27"/>
    </row>
    <row r="263">
      <c r="A263" s="26">
        <v>44597.54931436342</v>
      </c>
      <c r="B263" s="20" t="s">
        <v>92</v>
      </c>
      <c r="C263" s="20">
        <v>204.0</v>
      </c>
      <c r="D263" s="20" t="s">
        <v>76</v>
      </c>
      <c r="E263" s="20" t="s">
        <v>75</v>
      </c>
      <c r="F263" s="27"/>
    </row>
    <row r="264">
      <c r="A264" s="26">
        <v>44597.5495321412</v>
      </c>
      <c r="B264" s="20" t="s">
        <v>92</v>
      </c>
      <c r="C264" s="20">
        <v>279.0</v>
      </c>
      <c r="D264" s="20" t="s">
        <v>76</v>
      </c>
      <c r="E264" s="20" t="s">
        <v>75</v>
      </c>
      <c r="F264" s="27"/>
    </row>
    <row r="265">
      <c r="A265" s="26">
        <v>44597.555910717594</v>
      </c>
      <c r="B265" s="20" t="s">
        <v>92</v>
      </c>
      <c r="C265" s="20">
        <v>1480.0</v>
      </c>
      <c r="D265" s="20" t="s">
        <v>38</v>
      </c>
      <c r="E265" s="20" t="s">
        <v>75</v>
      </c>
      <c r="F265" s="27"/>
    </row>
    <row r="266">
      <c r="A266" s="26">
        <v>44597.56210045139</v>
      </c>
      <c r="B266" s="20" t="s">
        <v>92</v>
      </c>
      <c r="C266" s="20">
        <v>2154.0</v>
      </c>
      <c r="D266" s="20" t="s">
        <v>53</v>
      </c>
      <c r="E266" s="20" t="s">
        <v>75</v>
      </c>
      <c r="F266" s="27"/>
    </row>
    <row r="267">
      <c r="A267" s="26">
        <v>44597.56659671296</v>
      </c>
      <c r="B267" s="20" t="s">
        <v>92</v>
      </c>
      <c r="C267" s="20">
        <v>850.0</v>
      </c>
      <c r="D267" s="20" t="s">
        <v>117</v>
      </c>
      <c r="E267" s="20" t="s">
        <v>75</v>
      </c>
      <c r="F267" s="27"/>
    </row>
    <row r="268">
      <c r="A268" s="26">
        <v>44597.571582476856</v>
      </c>
      <c r="B268" s="20" t="s">
        <v>92</v>
      </c>
      <c r="C268" s="20">
        <v>886.0</v>
      </c>
      <c r="D268" s="20" t="s">
        <v>38</v>
      </c>
      <c r="E268" s="20" t="s">
        <v>75</v>
      </c>
      <c r="F268" s="27"/>
    </row>
    <row r="269">
      <c r="A269" s="26">
        <v>44597.68236233796</v>
      </c>
      <c r="B269" s="20" t="s">
        <v>92</v>
      </c>
      <c r="C269" s="20">
        <v>1645.0</v>
      </c>
      <c r="D269" s="20" t="s">
        <v>135</v>
      </c>
      <c r="E269" s="20" t="s">
        <v>75</v>
      </c>
      <c r="F269" s="27"/>
    </row>
    <row r="270">
      <c r="A270" s="26">
        <v>44597.68254383102</v>
      </c>
      <c r="B270" s="20" t="s">
        <v>92</v>
      </c>
      <c r="C270" s="20">
        <v>2160.0</v>
      </c>
      <c r="D270" s="20" t="s">
        <v>53</v>
      </c>
      <c r="E270" s="20" t="s">
        <v>75</v>
      </c>
      <c r="F270" s="27"/>
    </row>
    <row r="271">
      <c r="A271" s="26">
        <v>44597.682708657405</v>
      </c>
      <c r="B271" s="20" t="s">
        <v>92</v>
      </c>
      <c r="C271" s="20">
        <v>207.0</v>
      </c>
      <c r="D271" s="20" t="s">
        <v>76</v>
      </c>
      <c r="E271" s="20" t="s">
        <v>75</v>
      </c>
      <c r="F271" s="27"/>
    </row>
    <row r="272">
      <c r="A272" s="26">
        <v>44598.664086006946</v>
      </c>
      <c r="B272" s="20" t="s">
        <v>55</v>
      </c>
      <c r="C272" s="20">
        <v>342.0</v>
      </c>
      <c r="D272" s="20" t="s">
        <v>95</v>
      </c>
      <c r="E272" s="20" t="s">
        <v>46</v>
      </c>
      <c r="F272" s="27"/>
    </row>
    <row r="273">
      <c r="A273" s="26">
        <v>44598.6650628125</v>
      </c>
      <c r="B273" s="20" t="s">
        <v>55</v>
      </c>
      <c r="C273" s="20">
        <v>717.0</v>
      </c>
      <c r="D273" s="20" t="s">
        <v>73</v>
      </c>
      <c r="E273" s="20" t="s">
        <v>46</v>
      </c>
      <c r="F273" s="27"/>
    </row>
    <row r="274">
      <c r="A274" s="26">
        <v>44598.665383796295</v>
      </c>
      <c r="B274" s="20" t="s">
        <v>55</v>
      </c>
      <c r="C274" s="20">
        <v>753.0</v>
      </c>
      <c r="D274" s="20" t="s">
        <v>38</v>
      </c>
      <c r="E274" s="20" t="s">
        <v>143</v>
      </c>
      <c r="F274" s="27"/>
    </row>
    <row r="275">
      <c r="A275" s="26">
        <v>44598.66563230324</v>
      </c>
      <c r="B275" s="20" t="s">
        <v>55</v>
      </c>
      <c r="C275" s="20">
        <v>821.0</v>
      </c>
      <c r="D275" s="20" t="s">
        <v>40</v>
      </c>
      <c r="E275" s="20" t="s">
        <v>143</v>
      </c>
      <c r="F275" s="27"/>
    </row>
    <row r="276">
      <c r="A276" s="26">
        <v>44598.6661572338</v>
      </c>
      <c r="B276" s="20" t="s">
        <v>55</v>
      </c>
      <c r="C276" s="20">
        <v>172.0</v>
      </c>
      <c r="D276" s="20" t="s">
        <v>95</v>
      </c>
      <c r="E276" s="20" t="s">
        <v>143</v>
      </c>
      <c r="F276" s="27"/>
    </row>
    <row r="277">
      <c r="A277" s="26">
        <v>44598.66663603009</v>
      </c>
      <c r="B277" s="20" t="s">
        <v>55</v>
      </c>
      <c r="D277" s="20" t="s">
        <v>47</v>
      </c>
      <c r="E277" s="20" t="s">
        <v>46</v>
      </c>
      <c r="F277" s="27"/>
    </row>
    <row r="278">
      <c r="A278" s="26">
        <v>44598.66693490741</v>
      </c>
      <c r="B278" s="20" t="s">
        <v>55</v>
      </c>
      <c r="C278" s="20">
        <v>400.0</v>
      </c>
      <c r="D278" s="20" t="s">
        <v>40</v>
      </c>
      <c r="E278" s="20" t="s">
        <v>46</v>
      </c>
      <c r="F278" s="27"/>
    </row>
    <row r="279">
      <c r="A279" s="26">
        <v>44598.66719545139</v>
      </c>
      <c r="B279" s="20" t="s">
        <v>55</v>
      </c>
      <c r="C279" s="20">
        <v>730.0</v>
      </c>
      <c r="D279" s="20" t="s">
        <v>47</v>
      </c>
      <c r="E279" s="20" t="s">
        <v>143</v>
      </c>
      <c r="F279" s="27"/>
    </row>
    <row r="280">
      <c r="A280" s="26">
        <v>44598.667717187505</v>
      </c>
      <c r="B280" s="20" t="s">
        <v>55</v>
      </c>
      <c r="C280" s="20">
        <v>874.0</v>
      </c>
      <c r="D280" s="20" t="s">
        <v>40</v>
      </c>
      <c r="E280" s="20" t="s">
        <v>46</v>
      </c>
      <c r="F280" s="27"/>
    </row>
    <row r="281">
      <c r="A281" s="26">
        <v>44598.67172204861</v>
      </c>
      <c r="B281" s="20" t="s">
        <v>79</v>
      </c>
      <c r="C281" s="20">
        <v>543.0</v>
      </c>
      <c r="D281" s="20" t="s">
        <v>36</v>
      </c>
      <c r="E281" s="20" t="s">
        <v>50</v>
      </c>
      <c r="F281" s="27"/>
    </row>
    <row r="282">
      <c r="A282" s="26">
        <v>44598.67221642361</v>
      </c>
      <c r="B282" s="20" t="s">
        <v>144</v>
      </c>
      <c r="C282" s="20">
        <v>620.0</v>
      </c>
      <c r="D282" s="20" t="s">
        <v>40</v>
      </c>
      <c r="E282" s="20" t="s">
        <v>101</v>
      </c>
      <c r="F282" s="27"/>
    </row>
    <row r="283">
      <c r="A283" s="26">
        <v>44598.67264462963</v>
      </c>
      <c r="B283" s="20" t="s">
        <v>79</v>
      </c>
      <c r="C283" s="20">
        <v>100.0</v>
      </c>
      <c r="D283" s="20" t="s">
        <v>87</v>
      </c>
      <c r="E283" s="20" t="s">
        <v>50</v>
      </c>
      <c r="F283" s="27"/>
    </row>
    <row r="284">
      <c r="A284" s="26">
        <v>44598.672894386575</v>
      </c>
      <c r="B284" s="20" t="s">
        <v>79</v>
      </c>
      <c r="C284" s="20">
        <v>1600.0</v>
      </c>
      <c r="D284" s="20" t="s">
        <v>53</v>
      </c>
      <c r="E284" s="20" t="s">
        <v>145</v>
      </c>
      <c r="F284" s="27"/>
    </row>
    <row r="285">
      <c r="A285" s="26">
        <v>44598.67322243056</v>
      </c>
      <c r="B285" s="20" t="s">
        <v>144</v>
      </c>
      <c r="C285" s="20">
        <v>250.0</v>
      </c>
      <c r="D285" s="20" t="s">
        <v>146</v>
      </c>
      <c r="E285" s="20" t="s">
        <v>145</v>
      </c>
      <c r="F285" s="27"/>
    </row>
    <row r="286">
      <c r="A286" s="26">
        <v>44598.67361893519</v>
      </c>
      <c r="B286" s="20" t="s">
        <v>79</v>
      </c>
      <c r="C286" s="20">
        <v>338.0</v>
      </c>
      <c r="D286" s="20" t="s">
        <v>73</v>
      </c>
      <c r="E286" s="20" t="s">
        <v>50</v>
      </c>
      <c r="F286" s="27"/>
    </row>
    <row r="287">
      <c r="A287" s="26">
        <v>44598.67380638889</v>
      </c>
      <c r="B287" s="20" t="s">
        <v>79</v>
      </c>
      <c r="C287" s="20">
        <v>723.0</v>
      </c>
      <c r="D287" s="20" t="s">
        <v>40</v>
      </c>
      <c r="E287" s="20" t="s">
        <v>46</v>
      </c>
      <c r="F287" s="27"/>
    </row>
    <row r="288">
      <c r="A288" s="26">
        <v>44598.674122847224</v>
      </c>
      <c r="B288" s="20" t="s">
        <v>79</v>
      </c>
      <c r="C288" s="20">
        <v>340.0</v>
      </c>
      <c r="D288" s="20" t="s">
        <v>95</v>
      </c>
      <c r="E288" s="20" t="s">
        <v>145</v>
      </c>
      <c r="F288" s="27"/>
    </row>
    <row r="289">
      <c r="A289" s="26">
        <v>44598.67444501157</v>
      </c>
      <c r="B289" s="20" t="s">
        <v>144</v>
      </c>
      <c r="C289" s="20">
        <v>2138.0</v>
      </c>
      <c r="D289" s="20" t="s">
        <v>36</v>
      </c>
      <c r="E289" s="20" t="s">
        <v>46</v>
      </c>
      <c r="F289" s="27"/>
    </row>
    <row r="290">
      <c r="A290" s="26">
        <v>44598.6748090162</v>
      </c>
      <c r="B290" s="20" t="s">
        <v>144</v>
      </c>
      <c r="C290" s="20">
        <v>540.0</v>
      </c>
      <c r="D290" s="20" t="s">
        <v>40</v>
      </c>
      <c r="E290" s="20" t="s">
        <v>46</v>
      </c>
      <c r="F290" s="27"/>
    </row>
    <row r="291">
      <c r="A291" s="26">
        <v>44598.675036875</v>
      </c>
      <c r="B291" s="20" t="s">
        <v>79</v>
      </c>
      <c r="C291" s="20">
        <v>1689.0</v>
      </c>
      <c r="D291" s="20" t="s">
        <v>38</v>
      </c>
      <c r="E291" s="20" t="s">
        <v>46</v>
      </c>
      <c r="F291" s="27"/>
    </row>
    <row r="292">
      <c r="A292" s="26">
        <v>44598.675368854165</v>
      </c>
      <c r="B292" s="20" t="s">
        <v>79</v>
      </c>
      <c r="C292" s="20">
        <v>425.0</v>
      </c>
      <c r="D292" s="20" t="s">
        <v>40</v>
      </c>
      <c r="E292" s="20" t="s">
        <v>46</v>
      </c>
      <c r="F292" s="27"/>
    </row>
    <row r="293">
      <c r="A293" s="26">
        <v>44598.67585398148</v>
      </c>
      <c r="B293" s="20" t="s">
        <v>79</v>
      </c>
      <c r="C293" s="20">
        <v>552.0</v>
      </c>
      <c r="D293" s="20" t="s">
        <v>40</v>
      </c>
      <c r="E293" s="20" t="s">
        <v>88</v>
      </c>
      <c r="F293" s="27"/>
    </row>
    <row r="294">
      <c r="A294" s="26">
        <v>44598.676174988424</v>
      </c>
      <c r="B294" s="20" t="s">
        <v>144</v>
      </c>
      <c r="C294" s="20">
        <v>1229.0</v>
      </c>
      <c r="D294" s="20" t="s">
        <v>38</v>
      </c>
      <c r="E294" s="20" t="s">
        <v>145</v>
      </c>
      <c r="F294" s="27"/>
    </row>
    <row r="295">
      <c r="A295" s="26">
        <v>44598.6764290625</v>
      </c>
      <c r="B295" s="20" t="s">
        <v>79</v>
      </c>
      <c r="C295" s="20">
        <v>806.0</v>
      </c>
      <c r="D295" s="20" t="s">
        <v>40</v>
      </c>
      <c r="E295" s="20" t="s">
        <v>145</v>
      </c>
      <c r="F295" s="27"/>
    </row>
    <row r="296">
      <c r="A296" s="26">
        <v>44598.67676960648</v>
      </c>
      <c r="B296" s="20" t="s">
        <v>144</v>
      </c>
      <c r="C296" s="20">
        <v>1626.0</v>
      </c>
      <c r="D296" s="20" t="s">
        <v>38</v>
      </c>
      <c r="E296" s="20" t="s">
        <v>88</v>
      </c>
      <c r="F296" s="27"/>
    </row>
    <row r="297">
      <c r="A297" s="26">
        <v>44598.67702883102</v>
      </c>
      <c r="B297" s="20" t="s">
        <v>144</v>
      </c>
      <c r="C297" s="20">
        <v>432.0</v>
      </c>
      <c r="D297" s="20" t="s">
        <v>40</v>
      </c>
      <c r="E297" s="20" t="s">
        <v>50</v>
      </c>
      <c r="F297" s="27"/>
    </row>
    <row r="298">
      <c r="A298" s="26">
        <v>44598.67738638889</v>
      </c>
      <c r="B298" s="20" t="s">
        <v>144</v>
      </c>
      <c r="C298" s="20">
        <v>1360.0</v>
      </c>
      <c r="D298" s="20" t="s">
        <v>135</v>
      </c>
      <c r="E298" s="20" t="s">
        <v>145</v>
      </c>
      <c r="F298" s="27"/>
    </row>
    <row r="299">
      <c r="A299" s="26">
        <v>44598.67771393518</v>
      </c>
      <c r="B299" s="20" t="s">
        <v>79</v>
      </c>
      <c r="C299" s="20">
        <v>1360.0</v>
      </c>
      <c r="D299" s="20" t="s">
        <v>135</v>
      </c>
      <c r="E299" s="20" t="s">
        <v>88</v>
      </c>
      <c r="F299" s="27"/>
    </row>
    <row r="300">
      <c r="A300" s="26">
        <v>44598.67801498843</v>
      </c>
      <c r="B300" s="20" t="s">
        <v>144</v>
      </c>
      <c r="C300" s="20">
        <v>859.0</v>
      </c>
      <c r="D300" s="20" t="s">
        <v>36</v>
      </c>
      <c r="E300" s="20" t="s">
        <v>145</v>
      </c>
      <c r="F300" s="27"/>
    </row>
    <row r="301">
      <c r="A301" s="26">
        <v>44598.67831496528</v>
      </c>
      <c r="B301" s="20" t="s">
        <v>79</v>
      </c>
      <c r="C301" s="20">
        <v>204.0</v>
      </c>
      <c r="D301" s="20" t="s">
        <v>80</v>
      </c>
      <c r="E301" s="20" t="s">
        <v>145</v>
      </c>
      <c r="F301" s="27"/>
    </row>
    <row r="302">
      <c r="A302" s="26">
        <v>44598.67862554398</v>
      </c>
      <c r="B302" s="20" t="s">
        <v>79</v>
      </c>
      <c r="C302" s="20">
        <v>1004.0</v>
      </c>
      <c r="D302" s="20" t="s">
        <v>40</v>
      </c>
      <c r="E302" s="20" t="s">
        <v>88</v>
      </c>
      <c r="F302" s="27"/>
    </row>
    <row r="303">
      <c r="A303" s="26">
        <v>44598.67884916667</v>
      </c>
      <c r="B303" s="20" t="s">
        <v>79</v>
      </c>
      <c r="C303" s="20">
        <v>452.0</v>
      </c>
      <c r="D303" s="20" t="s">
        <v>36</v>
      </c>
      <c r="E303" s="20" t="s">
        <v>88</v>
      </c>
      <c r="F303" s="27"/>
    </row>
    <row r="304">
      <c r="A304" s="26">
        <v>44598.67912021991</v>
      </c>
      <c r="B304" s="20" t="s">
        <v>79</v>
      </c>
      <c r="C304" s="20">
        <v>1751.0</v>
      </c>
      <c r="D304" s="20" t="s">
        <v>38</v>
      </c>
      <c r="E304" s="20" t="s">
        <v>88</v>
      </c>
      <c r="F304" s="27"/>
    </row>
    <row r="305">
      <c r="A305" s="26">
        <v>44598.70714623843</v>
      </c>
      <c r="B305" s="20" t="s">
        <v>63</v>
      </c>
      <c r="C305" s="20">
        <v>12.0</v>
      </c>
      <c r="D305" s="20" t="s">
        <v>64</v>
      </c>
      <c r="E305" s="20" t="s">
        <v>63</v>
      </c>
      <c r="F305" s="27"/>
    </row>
    <row r="306">
      <c r="A306" s="26">
        <v>44598.70910791667</v>
      </c>
      <c r="B306" s="20" t="s">
        <v>63</v>
      </c>
      <c r="C306" s="20">
        <v>11.0</v>
      </c>
      <c r="D306" s="20" t="s">
        <v>80</v>
      </c>
      <c r="E306" s="20" t="s">
        <v>63</v>
      </c>
      <c r="F306" s="27"/>
    </row>
    <row r="307">
      <c r="A307" s="26">
        <v>44598.71173311342</v>
      </c>
      <c r="B307" s="20" t="s">
        <v>147</v>
      </c>
      <c r="C307" s="20">
        <v>0.0</v>
      </c>
      <c r="D307" s="20" t="s">
        <v>115</v>
      </c>
      <c r="E307" s="20" t="s">
        <v>148</v>
      </c>
      <c r="F307" s="27"/>
    </row>
    <row r="308">
      <c r="A308" s="26">
        <v>44598.71481024305</v>
      </c>
      <c r="B308" s="20" t="s">
        <v>149</v>
      </c>
      <c r="C308" s="20">
        <v>13.0</v>
      </c>
      <c r="D308" s="20" t="s">
        <v>64</v>
      </c>
      <c r="E308" s="20" t="s">
        <v>63</v>
      </c>
      <c r="F308" s="27"/>
    </row>
    <row r="309">
      <c r="A309" s="26">
        <v>44600.583157500005</v>
      </c>
      <c r="B309" s="20" t="s">
        <v>150</v>
      </c>
      <c r="C309" s="20">
        <v>10.0</v>
      </c>
      <c r="D309" s="20" t="s">
        <v>151</v>
      </c>
      <c r="E309" s="20" t="s">
        <v>152</v>
      </c>
      <c r="F309" s="27"/>
    </row>
    <row r="310">
      <c r="A310" s="26">
        <v>44601.7143441088</v>
      </c>
      <c r="B310" s="20" t="s">
        <v>153</v>
      </c>
      <c r="C310" s="20">
        <v>23.0</v>
      </c>
      <c r="D310" s="20" t="s">
        <v>64</v>
      </c>
      <c r="E310" s="20" t="s">
        <v>154</v>
      </c>
      <c r="F310" s="27"/>
    </row>
    <row r="311">
      <c r="A311" s="26">
        <v>44601.79960892361</v>
      </c>
      <c r="B311" s="20" t="s">
        <v>155</v>
      </c>
      <c r="C311" s="20">
        <v>323.0</v>
      </c>
      <c r="D311" s="20" t="s">
        <v>156</v>
      </c>
      <c r="E311" s="20" t="s">
        <v>88</v>
      </c>
      <c r="F311" s="27"/>
    </row>
    <row r="312">
      <c r="A312" s="26">
        <v>44601.800703518515</v>
      </c>
      <c r="B312" s="20" t="s">
        <v>155</v>
      </c>
      <c r="C312" s="20">
        <v>1267.0</v>
      </c>
      <c r="D312" s="20" t="s">
        <v>157</v>
      </c>
      <c r="E312" s="20" t="s">
        <v>88</v>
      </c>
      <c r="F312" s="27"/>
    </row>
    <row r="313">
      <c r="A313" s="26">
        <v>44601.80100302083</v>
      </c>
      <c r="B313" s="20" t="s">
        <v>88</v>
      </c>
      <c r="C313" s="20">
        <v>1526.0</v>
      </c>
      <c r="D313" s="20" t="s">
        <v>115</v>
      </c>
      <c r="E313" s="20" t="s">
        <v>88</v>
      </c>
      <c r="F313" s="27"/>
    </row>
    <row r="314">
      <c r="A314" s="26">
        <v>44601.80194819444</v>
      </c>
      <c r="B314" s="20" t="s">
        <v>155</v>
      </c>
      <c r="C314" s="20">
        <v>955.0</v>
      </c>
      <c r="D314" s="20" t="s">
        <v>137</v>
      </c>
      <c r="E314" s="20" t="s">
        <v>88</v>
      </c>
      <c r="F314" s="27"/>
    </row>
    <row r="315">
      <c r="A315" s="26">
        <v>44601.80240678241</v>
      </c>
      <c r="B315" s="20" t="s">
        <v>158</v>
      </c>
      <c r="C315" s="20">
        <v>1454.0</v>
      </c>
      <c r="D315" s="20" t="s">
        <v>38</v>
      </c>
      <c r="E315" s="20" t="s">
        <v>88</v>
      </c>
      <c r="F315" s="27"/>
    </row>
    <row r="316">
      <c r="A316" s="26">
        <v>44601.80298865741</v>
      </c>
      <c r="B316" s="20" t="s">
        <v>133</v>
      </c>
      <c r="C316" s="20">
        <v>329.0</v>
      </c>
      <c r="D316" s="20" t="s">
        <v>95</v>
      </c>
      <c r="E316" s="20" t="s">
        <v>88</v>
      </c>
      <c r="F316" s="27"/>
    </row>
    <row r="317">
      <c r="A317" s="26">
        <v>44601.80345413194</v>
      </c>
      <c r="B317" s="20" t="s">
        <v>155</v>
      </c>
      <c r="C317" s="20">
        <v>623.0</v>
      </c>
      <c r="D317" s="20" t="s">
        <v>40</v>
      </c>
      <c r="E317" s="20" t="s">
        <v>133</v>
      </c>
      <c r="F317" s="27"/>
    </row>
    <row r="318">
      <c r="A318" s="26">
        <v>44601.803949548615</v>
      </c>
      <c r="B318" s="20" t="s">
        <v>158</v>
      </c>
      <c r="C318" s="20">
        <v>360.0</v>
      </c>
      <c r="D318" s="20" t="s">
        <v>156</v>
      </c>
      <c r="E318" s="20" t="s">
        <v>88</v>
      </c>
      <c r="F318" s="27"/>
    </row>
    <row r="319">
      <c r="A319" s="26">
        <v>44601.80424334491</v>
      </c>
      <c r="B319" s="20" t="s">
        <v>155</v>
      </c>
      <c r="C319" s="20">
        <v>358.0</v>
      </c>
      <c r="D319" s="20" t="s">
        <v>76</v>
      </c>
      <c r="E319" s="20" t="s">
        <v>88</v>
      </c>
      <c r="F319" s="27"/>
    </row>
    <row r="320">
      <c r="A320" s="26">
        <v>44601.80480268519</v>
      </c>
      <c r="B320" s="20" t="s">
        <v>158</v>
      </c>
      <c r="C320" s="20">
        <v>358.0</v>
      </c>
      <c r="D320" s="20" t="s">
        <v>76</v>
      </c>
      <c r="E320" s="20" t="s">
        <v>88</v>
      </c>
      <c r="F320" s="27"/>
    </row>
    <row r="321">
      <c r="A321" s="26">
        <v>44601.80555329861</v>
      </c>
      <c r="B321" s="20" t="s">
        <v>155</v>
      </c>
      <c r="C321" s="20">
        <v>1310.0</v>
      </c>
      <c r="D321" s="20" t="s">
        <v>93</v>
      </c>
      <c r="E321" s="20" t="s">
        <v>88</v>
      </c>
      <c r="F321" s="27"/>
    </row>
    <row r="322">
      <c r="A322" s="26">
        <v>44601.806081504634</v>
      </c>
      <c r="B322" s="20" t="s">
        <v>155</v>
      </c>
      <c r="C322" s="20">
        <v>1106.0</v>
      </c>
      <c r="D322" s="20" t="s">
        <v>93</v>
      </c>
      <c r="E322" s="20" t="s">
        <v>46</v>
      </c>
      <c r="F322" s="27"/>
    </row>
    <row r="323">
      <c r="A323" s="26">
        <v>44601.80671005787</v>
      </c>
      <c r="B323" s="20" t="s">
        <v>158</v>
      </c>
      <c r="C323" s="20">
        <v>850.0</v>
      </c>
      <c r="D323" s="20" t="s">
        <v>64</v>
      </c>
      <c r="E323" s="20" t="s">
        <v>46</v>
      </c>
      <c r="F323" s="27"/>
    </row>
    <row r="324">
      <c r="A324" s="26">
        <v>44601.80693944445</v>
      </c>
      <c r="B324" s="20" t="s">
        <v>155</v>
      </c>
      <c r="C324" s="20">
        <v>283.0</v>
      </c>
      <c r="D324" s="20" t="s">
        <v>64</v>
      </c>
      <c r="E324" s="20" t="s">
        <v>46</v>
      </c>
      <c r="F324" s="27"/>
    </row>
    <row r="325">
      <c r="A325" s="26">
        <v>44602.59004746527</v>
      </c>
      <c r="B325" s="20" t="s">
        <v>84</v>
      </c>
      <c r="C325" s="20">
        <v>224.0</v>
      </c>
      <c r="D325" s="20" t="s">
        <v>64</v>
      </c>
      <c r="E325" s="20" t="s">
        <v>86</v>
      </c>
      <c r="F325" s="27"/>
    </row>
    <row r="326">
      <c r="A326" s="26">
        <v>44602.61353640046</v>
      </c>
      <c r="B326" s="20" t="s">
        <v>159</v>
      </c>
      <c r="C326" s="20">
        <v>234.0</v>
      </c>
      <c r="D326" s="20" t="s">
        <v>64</v>
      </c>
      <c r="E326" s="20" t="s">
        <v>159</v>
      </c>
      <c r="F326" s="27"/>
    </row>
    <row r="327">
      <c r="A327" s="26">
        <v>44602.615031469904</v>
      </c>
      <c r="B327" s="20" t="s">
        <v>160</v>
      </c>
      <c r="C327" s="20">
        <v>345.0</v>
      </c>
      <c r="D327" s="20" t="s">
        <v>161</v>
      </c>
      <c r="E327" s="20" t="s">
        <v>162</v>
      </c>
      <c r="F327" s="27"/>
    </row>
    <row r="328">
      <c r="A328" s="26">
        <v>44602.6158209375</v>
      </c>
      <c r="B328" s="20" t="s">
        <v>160</v>
      </c>
      <c r="C328" s="20">
        <v>2959.0</v>
      </c>
      <c r="D328" s="20" t="s">
        <v>53</v>
      </c>
      <c r="E328" s="20" t="s">
        <v>160</v>
      </c>
      <c r="F328" s="27"/>
    </row>
    <row r="329">
      <c r="A329" s="26">
        <v>44602.61654809028</v>
      </c>
      <c r="B329" s="20" t="s">
        <v>163</v>
      </c>
      <c r="C329" s="20">
        <v>420.0</v>
      </c>
      <c r="D329" s="20" t="s">
        <v>38</v>
      </c>
      <c r="E329" s="20" t="s">
        <v>160</v>
      </c>
      <c r="F329" s="27"/>
    </row>
    <row r="330">
      <c r="A330" s="26">
        <v>44602.61720219908</v>
      </c>
      <c r="B330" s="20" t="s">
        <v>163</v>
      </c>
      <c r="C330" s="20">
        <v>140.0</v>
      </c>
      <c r="D330" s="20" t="s">
        <v>95</v>
      </c>
      <c r="E330" s="20" t="s">
        <v>164</v>
      </c>
      <c r="F330" s="27"/>
    </row>
    <row r="331">
      <c r="A331" s="26">
        <v>44602.666672974534</v>
      </c>
      <c r="B331" s="20" t="s">
        <v>163</v>
      </c>
      <c r="C331" s="20">
        <v>730.0</v>
      </c>
      <c r="D331" s="20" t="s">
        <v>64</v>
      </c>
      <c r="E331" s="20" t="s">
        <v>165</v>
      </c>
      <c r="F331" s="27"/>
    </row>
    <row r="332">
      <c r="A332" s="26">
        <v>44602.66719943287</v>
      </c>
      <c r="B332" s="20" t="s">
        <v>163</v>
      </c>
      <c r="C332" s="20">
        <v>933.0</v>
      </c>
      <c r="D332" s="20" t="s">
        <v>80</v>
      </c>
      <c r="E332" s="20" t="s">
        <v>165</v>
      </c>
      <c r="F332" s="27"/>
    </row>
    <row r="333">
      <c r="A333" s="26">
        <v>44602.66819252315</v>
      </c>
      <c r="B333" s="20" t="s">
        <v>163</v>
      </c>
      <c r="C333" s="20">
        <v>982.0</v>
      </c>
      <c r="D333" s="20" t="s">
        <v>93</v>
      </c>
      <c r="E333" s="20" t="s">
        <v>165</v>
      </c>
      <c r="F333" s="27"/>
    </row>
    <row r="334">
      <c r="A334" s="26">
        <v>44602.6694946412</v>
      </c>
      <c r="B334" s="20" t="s">
        <v>166</v>
      </c>
      <c r="C334" s="20">
        <v>1054.0</v>
      </c>
      <c r="D334" s="20" t="s">
        <v>93</v>
      </c>
      <c r="E334" s="20" t="s">
        <v>165</v>
      </c>
      <c r="F334" s="27"/>
    </row>
    <row r="335">
      <c r="A335" s="26">
        <v>44602.78535340278</v>
      </c>
      <c r="B335" s="20" t="s">
        <v>167</v>
      </c>
      <c r="C335" s="20">
        <v>1811.0</v>
      </c>
      <c r="D335" s="20" t="s">
        <v>53</v>
      </c>
      <c r="E335" s="20" t="s">
        <v>46</v>
      </c>
      <c r="F335" s="27"/>
    </row>
    <row r="336">
      <c r="A336" s="26">
        <v>44602.78580333333</v>
      </c>
      <c r="B336" s="20" t="s">
        <v>167</v>
      </c>
      <c r="C336" s="20">
        <v>1823.0</v>
      </c>
      <c r="D336" s="20" t="s">
        <v>53</v>
      </c>
      <c r="E336" s="20" t="s">
        <v>46</v>
      </c>
      <c r="F336" s="27"/>
    </row>
    <row r="337">
      <c r="A337" s="26">
        <v>44602.78609584491</v>
      </c>
      <c r="B337" s="20" t="s">
        <v>167</v>
      </c>
      <c r="C337" s="20">
        <v>1486.0</v>
      </c>
      <c r="D337" s="20" t="s">
        <v>53</v>
      </c>
      <c r="E337" s="20" t="s">
        <v>46</v>
      </c>
      <c r="F337" s="27"/>
    </row>
    <row r="338">
      <c r="A338" s="26">
        <v>44602.786291655095</v>
      </c>
      <c r="B338" s="20" t="s">
        <v>167</v>
      </c>
      <c r="C338" s="20">
        <v>1907.0</v>
      </c>
      <c r="D338" s="20" t="s">
        <v>53</v>
      </c>
      <c r="E338" s="20" t="s">
        <v>46</v>
      </c>
      <c r="F338" s="27"/>
    </row>
    <row r="339">
      <c r="A339" s="26">
        <v>44602.78661649306</v>
      </c>
      <c r="B339" s="20" t="s">
        <v>167</v>
      </c>
      <c r="C339" s="20">
        <v>1370.0</v>
      </c>
      <c r="D339" s="20" t="s">
        <v>53</v>
      </c>
      <c r="E339" s="20" t="s">
        <v>46</v>
      </c>
      <c r="F339" s="27"/>
    </row>
    <row r="340">
      <c r="A340" s="26">
        <v>44602.78750219908</v>
      </c>
      <c r="B340" s="20" t="s">
        <v>167</v>
      </c>
      <c r="C340" s="20">
        <v>1490.0</v>
      </c>
      <c r="D340" s="20" t="s">
        <v>53</v>
      </c>
      <c r="E340" s="20" t="s">
        <v>46</v>
      </c>
      <c r="F340" s="27"/>
    </row>
    <row r="341">
      <c r="A341" s="26">
        <v>44602.788538078705</v>
      </c>
      <c r="B341" s="20" t="s">
        <v>167</v>
      </c>
      <c r="C341" s="20">
        <v>730.0</v>
      </c>
      <c r="D341" s="20" t="s">
        <v>64</v>
      </c>
      <c r="E341" s="20" t="s">
        <v>168</v>
      </c>
      <c r="F341" s="27"/>
    </row>
    <row r="342">
      <c r="A342" s="26">
        <v>44602.78887081018</v>
      </c>
      <c r="B342" s="20" t="s">
        <v>167</v>
      </c>
      <c r="C342" s="20">
        <v>933.0</v>
      </c>
      <c r="D342" s="20" t="s">
        <v>64</v>
      </c>
      <c r="E342" s="20" t="s">
        <v>165</v>
      </c>
      <c r="F342" s="27"/>
    </row>
    <row r="343">
      <c r="A343" s="26">
        <v>44602.78937297454</v>
      </c>
      <c r="B343" s="20" t="s">
        <v>167</v>
      </c>
      <c r="C343" s="20">
        <v>982.0</v>
      </c>
      <c r="D343" s="20" t="s">
        <v>93</v>
      </c>
      <c r="E343" s="20" t="s">
        <v>168</v>
      </c>
      <c r="F343" s="27"/>
    </row>
    <row r="344">
      <c r="A344" s="26">
        <v>44602.78976773148</v>
      </c>
      <c r="B344" s="20" t="s">
        <v>167</v>
      </c>
      <c r="C344" s="20">
        <v>1054.0</v>
      </c>
      <c r="D344" s="20" t="s">
        <v>93</v>
      </c>
      <c r="E344" s="20" t="s">
        <v>168</v>
      </c>
      <c r="F344" s="27"/>
    </row>
    <row r="345">
      <c r="A345" s="26">
        <v>44602.790043298606</v>
      </c>
      <c r="B345" s="20" t="s">
        <v>167</v>
      </c>
      <c r="C345" s="20">
        <v>1043.0</v>
      </c>
      <c r="D345" s="20" t="s">
        <v>93</v>
      </c>
      <c r="E345" s="20" t="s">
        <v>96</v>
      </c>
      <c r="F345" s="27"/>
    </row>
    <row r="346">
      <c r="A346" s="26">
        <v>44602.790236493056</v>
      </c>
      <c r="B346" s="20" t="s">
        <v>167</v>
      </c>
      <c r="C346" s="20">
        <v>1106.0</v>
      </c>
      <c r="D346" s="20" t="s">
        <v>93</v>
      </c>
      <c r="E346" s="20" t="s">
        <v>96</v>
      </c>
      <c r="F346" s="27"/>
    </row>
    <row r="347">
      <c r="A347" s="26">
        <v>44602.791101678245</v>
      </c>
      <c r="B347" s="20" t="s">
        <v>167</v>
      </c>
      <c r="C347" s="20">
        <v>751.0</v>
      </c>
      <c r="D347" s="20" t="s">
        <v>64</v>
      </c>
      <c r="E347" s="20" t="s">
        <v>96</v>
      </c>
      <c r="F347" s="27"/>
    </row>
    <row r="348">
      <c r="A348" s="26">
        <v>44602.79144685185</v>
      </c>
      <c r="B348" s="20" t="s">
        <v>167</v>
      </c>
      <c r="C348" s="20">
        <v>246.0</v>
      </c>
      <c r="D348" s="20" t="s">
        <v>95</v>
      </c>
      <c r="E348" s="20" t="s">
        <v>96</v>
      </c>
      <c r="F348" s="27"/>
    </row>
    <row r="349">
      <c r="A349" s="26">
        <v>44602.808085682875</v>
      </c>
      <c r="B349" s="20" t="s">
        <v>167</v>
      </c>
      <c r="C349" s="20">
        <v>230.0</v>
      </c>
      <c r="D349" s="20" t="s">
        <v>169</v>
      </c>
      <c r="E349" s="20" t="s">
        <v>96</v>
      </c>
      <c r="F349" s="27"/>
    </row>
    <row r="350">
      <c r="A350" s="26">
        <v>44602.86386298611</v>
      </c>
      <c r="B350" s="20" t="s">
        <v>63</v>
      </c>
      <c r="C350" s="20">
        <v>63.0</v>
      </c>
      <c r="D350" s="20" t="s">
        <v>64</v>
      </c>
      <c r="E350" s="20" t="s">
        <v>63</v>
      </c>
      <c r="F350" s="27"/>
    </row>
    <row r="351">
      <c r="A351" s="26">
        <v>44603.54914048611</v>
      </c>
      <c r="B351" s="20" t="s">
        <v>163</v>
      </c>
      <c r="C351" s="20">
        <v>1453.0</v>
      </c>
      <c r="D351" s="20" t="s">
        <v>170</v>
      </c>
      <c r="E351" s="20" t="s">
        <v>105</v>
      </c>
      <c r="F351" s="27"/>
    </row>
    <row r="352">
      <c r="A352" s="26">
        <v>44603.55002214121</v>
      </c>
      <c r="B352" s="20" t="s">
        <v>163</v>
      </c>
      <c r="C352" s="20">
        <v>1467.0</v>
      </c>
      <c r="D352" s="20" t="s">
        <v>170</v>
      </c>
      <c r="E352" s="20" t="s">
        <v>105</v>
      </c>
      <c r="F352" s="27"/>
    </row>
    <row r="353">
      <c r="A353" s="26">
        <v>44603.55081880787</v>
      </c>
      <c r="B353" s="20" t="s">
        <v>163</v>
      </c>
      <c r="C353" s="20">
        <v>1483.0</v>
      </c>
      <c r="D353" s="20" t="s">
        <v>170</v>
      </c>
      <c r="E353" s="20" t="s">
        <v>105</v>
      </c>
      <c r="F353" s="27"/>
    </row>
    <row r="354">
      <c r="A354" s="26">
        <v>44603.55154644676</v>
      </c>
      <c r="B354" s="20" t="s">
        <v>163</v>
      </c>
      <c r="C354" s="20">
        <v>1471.0</v>
      </c>
      <c r="D354" s="20" t="s">
        <v>170</v>
      </c>
      <c r="E354" s="20" t="s">
        <v>105</v>
      </c>
      <c r="F354" s="27"/>
    </row>
    <row r="355">
      <c r="A355" s="26">
        <v>44603.55226229166</v>
      </c>
      <c r="B355" s="20" t="s">
        <v>163</v>
      </c>
      <c r="C355" s="20">
        <v>1640.0</v>
      </c>
      <c r="D355" s="20" t="s">
        <v>53</v>
      </c>
      <c r="E355" s="20" t="s">
        <v>105</v>
      </c>
      <c r="F355" s="27"/>
    </row>
    <row r="356">
      <c r="A356" s="26">
        <v>44603.552889803235</v>
      </c>
      <c r="B356" s="20" t="s">
        <v>163</v>
      </c>
      <c r="C356" s="20">
        <v>1620.0</v>
      </c>
      <c r="D356" s="20" t="s">
        <v>53</v>
      </c>
      <c r="E356" s="20" t="s">
        <v>105</v>
      </c>
      <c r="F356" s="27"/>
    </row>
    <row r="357">
      <c r="A357" s="26">
        <v>44603.561115439814</v>
      </c>
      <c r="B357" s="20" t="s">
        <v>163</v>
      </c>
      <c r="C357" s="20">
        <v>666.0</v>
      </c>
      <c r="D357" s="20" t="s">
        <v>47</v>
      </c>
      <c r="E357" s="20" t="s">
        <v>171</v>
      </c>
      <c r="F357" s="27"/>
    </row>
    <row r="358">
      <c r="A358" s="26">
        <v>44603.576648159724</v>
      </c>
      <c r="B358" s="20" t="s">
        <v>163</v>
      </c>
      <c r="C358" s="20">
        <v>26.0</v>
      </c>
      <c r="D358" s="20" t="s">
        <v>80</v>
      </c>
      <c r="E358" s="20" t="s">
        <v>172</v>
      </c>
      <c r="F358" s="27"/>
    </row>
    <row r="359">
      <c r="A359" s="26">
        <v>44603.65249608796</v>
      </c>
      <c r="B359" s="20" t="s">
        <v>55</v>
      </c>
      <c r="C359" s="20">
        <v>626.0</v>
      </c>
      <c r="D359" s="20" t="s">
        <v>38</v>
      </c>
      <c r="E359" s="20" t="s">
        <v>96</v>
      </c>
      <c r="F359" s="27"/>
    </row>
    <row r="360">
      <c r="A360" s="26">
        <v>44603.656608958336</v>
      </c>
      <c r="B360" s="20" t="s">
        <v>173</v>
      </c>
      <c r="C360" s="20">
        <v>21.0</v>
      </c>
      <c r="D360" s="20" t="s">
        <v>64</v>
      </c>
      <c r="E360" s="20" t="s">
        <v>96</v>
      </c>
      <c r="F360" s="27"/>
    </row>
    <row r="361">
      <c r="A361" s="26">
        <v>44603.717893877314</v>
      </c>
      <c r="B361" s="20" t="s">
        <v>55</v>
      </c>
      <c r="C361" s="20">
        <v>629.0</v>
      </c>
      <c r="D361" s="20" t="s">
        <v>58</v>
      </c>
      <c r="E361" s="20" t="s">
        <v>75</v>
      </c>
      <c r="F361" s="27"/>
    </row>
    <row r="362">
      <c r="A362" s="26">
        <v>44603.71836398148</v>
      </c>
      <c r="B362" s="20" t="s">
        <v>55</v>
      </c>
      <c r="C362" s="20">
        <v>2093.0</v>
      </c>
      <c r="D362" s="20" t="s">
        <v>174</v>
      </c>
      <c r="E362" s="20" t="s">
        <v>75</v>
      </c>
      <c r="F362" s="27"/>
    </row>
    <row r="363">
      <c r="A363" s="26">
        <v>44603.71873270834</v>
      </c>
      <c r="B363" s="20" t="s">
        <v>55</v>
      </c>
      <c r="C363" s="20">
        <v>134.0</v>
      </c>
      <c r="D363" s="20" t="s">
        <v>175</v>
      </c>
      <c r="E363" s="20" t="s">
        <v>75</v>
      </c>
      <c r="F363" s="27"/>
    </row>
    <row r="364">
      <c r="A364" s="26">
        <v>44603.718930787036</v>
      </c>
      <c r="B364" s="20" t="s">
        <v>55</v>
      </c>
      <c r="C364" s="20">
        <v>320.0</v>
      </c>
      <c r="D364" s="20" t="s">
        <v>76</v>
      </c>
      <c r="E364" s="20" t="s">
        <v>75</v>
      </c>
      <c r="F364" s="27"/>
    </row>
    <row r="365">
      <c r="A365" s="26">
        <v>44603.719135266205</v>
      </c>
      <c r="B365" s="20" t="s">
        <v>55</v>
      </c>
      <c r="C365" s="20">
        <v>2309.0</v>
      </c>
      <c r="D365" s="20" t="s">
        <v>53</v>
      </c>
      <c r="E365" s="20" t="s">
        <v>75</v>
      </c>
      <c r="F365" s="27"/>
    </row>
    <row r="366">
      <c r="A366" s="26">
        <v>44603.71940928241</v>
      </c>
      <c r="B366" s="20" t="s">
        <v>55</v>
      </c>
      <c r="C366" s="20">
        <v>1454.0</v>
      </c>
      <c r="D366" s="20" t="s">
        <v>135</v>
      </c>
      <c r="E366" s="20" t="s">
        <v>75</v>
      </c>
      <c r="F366" s="27"/>
    </row>
    <row r="367">
      <c r="A367" s="26">
        <v>44603.72131565972</v>
      </c>
      <c r="B367" s="20" t="s">
        <v>176</v>
      </c>
      <c r="C367" s="29">
        <v>4640.0</v>
      </c>
      <c r="D367" s="20" t="s">
        <v>40</v>
      </c>
      <c r="E367" s="20" t="s">
        <v>75</v>
      </c>
      <c r="F367" s="27"/>
    </row>
    <row r="368">
      <c r="A368" s="26">
        <v>44604.55072349537</v>
      </c>
      <c r="B368" s="20" t="s">
        <v>55</v>
      </c>
      <c r="C368" s="20">
        <v>1863.0</v>
      </c>
      <c r="D368" s="20" t="s">
        <v>115</v>
      </c>
      <c r="E368" s="20" t="s">
        <v>177</v>
      </c>
      <c r="F368" s="27"/>
    </row>
    <row r="369">
      <c r="A369" s="26">
        <v>44604.55104528935</v>
      </c>
      <c r="B369" s="20" t="s">
        <v>55</v>
      </c>
      <c r="C369" s="20">
        <v>197.0</v>
      </c>
      <c r="D369" s="20" t="s">
        <v>38</v>
      </c>
      <c r="E369" s="20" t="s">
        <v>177</v>
      </c>
      <c r="F369" s="27"/>
    </row>
    <row r="370">
      <c r="A370" s="26">
        <v>44604.55166709491</v>
      </c>
      <c r="B370" s="20" t="s">
        <v>55</v>
      </c>
      <c r="C370" s="20">
        <v>2083.0</v>
      </c>
      <c r="D370" s="20" t="s">
        <v>93</v>
      </c>
      <c r="E370" s="20" t="s">
        <v>75</v>
      </c>
      <c r="F370" s="27"/>
    </row>
    <row r="371">
      <c r="A371" s="26">
        <v>44604.55260047453</v>
      </c>
      <c r="B371" s="20" t="s">
        <v>55</v>
      </c>
      <c r="C371" s="20">
        <v>269.0</v>
      </c>
      <c r="D371" s="20" t="s">
        <v>95</v>
      </c>
      <c r="E371" s="20" t="s">
        <v>177</v>
      </c>
      <c r="F371" s="27"/>
    </row>
    <row r="372">
      <c r="A372" s="26">
        <v>44604.552992453704</v>
      </c>
      <c r="B372" s="20" t="s">
        <v>55</v>
      </c>
      <c r="C372" s="20">
        <v>136.0</v>
      </c>
      <c r="D372" s="20" t="s">
        <v>80</v>
      </c>
      <c r="E372" s="20" t="s">
        <v>177</v>
      </c>
      <c r="F372" s="27"/>
    </row>
    <row r="373">
      <c r="A373" s="26">
        <v>44604.55324670138</v>
      </c>
      <c r="B373" s="20" t="s">
        <v>55</v>
      </c>
      <c r="C373" s="20">
        <v>1054.0</v>
      </c>
      <c r="D373" s="20" t="s">
        <v>38</v>
      </c>
      <c r="E373" s="20" t="s">
        <v>75</v>
      </c>
      <c r="F373" s="27"/>
    </row>
    <row r="374">
      <c r="A374" s="26">
        <v>44604.553480208335</v>
      </c>
      <c r="B374" s="20" t="s">
        <v>55</v>
      </c>
      <c r="C374" s="20">
        <v>1182.0</v>
      </c>
      <c r="D374" s="20" t="s">
        <v>38</v>
      </c>
      <c r="E374" s="20" t="s">
        <v>75</v>
      </c>
      <c r="F374" s="27"/>
    </row>
    <row r="375">
      <c r="A375" s="26">
        <v>44604.56310896991</v>
      </c>
      <c r="B375" s="20" t="s">
        <v>178</v>
      </c>
      <c r="C375" s="20">
        <v>1466.0</v>
      </c>
      <c r="D375" s="20" t="s">
        <v>170</v>
      </c>
      <c r="E375" s="20" t="s">
        <v>75</v>
      </c>
      <c r="F375" s="27"/>
    </row>
    <row r="376">
      <c r="A376" s="26">
        <v>44604.6999796412</v>
      </c>
      <c r="B376" s="20" t="s">
        <v>55</v>
      </c>
      <c r="C376" s="20">
        <v>649.0</v>
      </c>
      <c r="D376" s="20" t="s">
        <v>76</v>
      </c>
      <c r="E376" s="20" t="s">
        <v>75</v>
      </c>
      <c r="F376" s="27"/>
    </row>
    <row r="377">
      <c r="A377" s="26">
        <v>44604.70033649306</v>
      </c>
      <c r="B377" s="20" t="s">
        <v>55</v>
      </c>
      <c r="C377" s="20">
        <v>1141.0</v>
      </c>
      <c r="D377" s="20" t="s">
        <v>53</v>
      </c>
      <c r="E377" s="20" t="s">
        <v>75</v>
      </c>
      <c r="F377" s="27"/>
    </row>
    <row r="378">
      <c r="A378" s="26">
        <v>44604.7006152199</v>
      </c>
      <c r="B378" s="20" t="s">
        <v>55</v>
      </c>
      <c r="C378" s="20">
        <v>2045.0</v>
      </c>
      <c r="D378" s="20" t="s">
        <v>179</v>
      </c>
      <c r="E378" s="20" t="s">
        <v>75</v>
      </c>
      <c r="F378" s="27"/>
    </row>
    <row r="379">
      <c r="A379" s="26">
        <v>44604.70132943287</v>
      </c>
      <c r="B379" s="20" t="s">
        <v>55</v>
      </c>
      <c r="C379" s="20">
        <v>1470.0</v>
      </c>
      <c r="D379" s="20" t="s">
        <v>115</v>
      </c>
      <c r="E379" s="20" t="s">
        <v>75</v>
      </c>
      <c r="F379" s="27"/>
    </row>
    <row r="380">
      <c r="A380" s="26">
        <v>44604.701568125005</v>
      </c>
      <c r="B380" s="20" t="s">
        <v>55</v>
      </c>
      <c r="C380" s="20">
        <v>1064.0</v>
      </c>
      <c r="D380" s="20" t="s">
        <v>53</v>
      </c>
      <c r="E380" s="20" t="s">
        <v>75</v>
      </c>
      <c r="F380" s="27"/>
    </row>
    <row r="381">
      <c r="A381" s="26">
        <v>44604.70200653935</v>
      </c>
      <c r="B381" s="20" t="s">
        <v>55</v>
      </c>
      <c r="C381" s="20">
        <v>101.0</v>
      </c>
      <c r="D381" s="20" t="s">
        <v>95</v>
      </c>
      <c r="E381" s="20" t="s">
        <v>75</v>
      </c>
      <c r="F381" s="27"/>
    </row>
    <row r="382">
      <c r="A382" s="26">
        <v>44604.71429189815</v>
      </c>
      <c r="B382" s="20" t="s">
        <v>49</v>
      </c>
      <c r="C382" s="20">
        <v>245.0</v>
      </c>
      <c r="D382" s="20" t="s">
        <v>40</v>
      </c>
      <c r="E382" s="20" t="s">
        <v>75</v>
      </c>
      <c r="F382" s="27"/>
    </row>
    <row r="383">
      <c r="A383" s="26">
        <v>44604.71458998843</v>
      </c>
      <c r="B383" s="20" t="s">
        <v>49</v>
      </c>
      <c r="C383" s="20">
        <v>1202.0</v>
      </c>
      <c r="D383" s="20" t="s">
        <v>53</v>
      </c>
      <c r="E383" s="20" t="s">
        <v>75</v>
      </c>
      <c r="F383" s="27"/>
    </row>
    <row r="384">
      <c r="A384" s="26">
        <v>44604.71539302083</v>
      </c>
      <c r="B384" s="20" t="s">
        <v>49</v>
      </c>
      <c r="C384" s="20">
        <v>1480.0</v>
      </c>
      <c r="D384" s="20" t="s">
        <v>115</v>
      </c>
      <c r="E384" s="20" t="s">
        <v>75</v>
      </c>
      <c r="F384" s="27"/>
    </row>
    <row r="385">
      <c r="A385" s="26">
        <v>44605.51446452546</v>
      </c>
      <c r="B385" s="20" t="s">
        <v>163</v>
      </c>
      <c r="C385" s="20">
        <v>1944.0</v>
      </c>
      <c r="D385" s="20" t="s">
        <v>53</v>
      </c>
      <c r="E385" s="20" t="s">
        <v>101</v>
      </c>
      <c r="F385" s="27"/>
    </row>
    <row r="386">
      <c r="A386" s="26">
        <v>44605.515233067126</v>
      </c>
      <c r="B386" s="20" t="s">
        <v>163</v>
      </c>
      <c r="C386" s="20">
        <v>2225.0</v>
      </c>
      <c r="D386" s="20" t="s">
        <v>115</v>
      </c>
      <c r="E386" s="20" t="s">
        <v>101</v>
      </c>
      <c r="F386" s="27"/>
    </row>
    <row r="387">
      <c r="A387" s="26">
        <v>44605.516409930555</v>
      </c>
      <c r="B387" s="20" t="s">
        <v>163</v>
      </c>
      <c r="C387" s="20">
        <v>651.0</v>
      </c>
      <c r="D387" s="20" t="s">
        <v>180</v>
      </c>
      <c r="E387" s="20" t="s">
        <v>101</v>
      </c>
      <c r="F387" s="27"/>
    </row>
    <row r="388">
      <c r="A388" s="26">
        <v>44605.51767152778</v>
      </c>
      <c r="B388" s="20" t="s">
        <v>163</v>
      </c>
      <c r="C388" s="20">
        <v>92.0</v>
      </c>
      <c r="D388" s="20" t="s">
        <v>181</v>
      </c>
      <c r="E388" s="20" t="s">
        <v>182</v>
      </c>
      <c r="F388" s="27"/>
    </row>
    <row r="389">
      <c r="A389" s="26">
        <v>44605.52497746528</v>
      </c>
      <c r="B389" s="20" t="s">
        <v>163</v>
      </c>
      <c r="C389" s="20">
        <v>650.0</v>
      </c>
      <c r="D389" s="20" t="s">
        <v>40</v>
      </c>
      <c r="E389" s="20" t="s">
        <v>183</v>
      </c>
      <c r="F389" s="27"/>
    </row>
    <row r="390">
      <c r="A390" s="26">
        <v>44605.52556917824</v>
      </c>
      <c r="B390" s="20" t="s">
        <v>163</v>
      </c>
      <c r="C390" s="20">
        <v>1259.0</v>
      </c>
      <c r="D390" s="20" t="s">
        <v>36</v>
      </c>
      <c r="E390" s="20" t="s">
        <v>101</v>
      </c>
      <c r="F390" s="27"/>
    </row>
    <row r="391">
      <c r="A391" s="26">
        <v>44605.52909783565</v>
      </c>
      <c r="B391" s="20" t="s">
        <v>163</v>
      </c>
      <c r="C391" s="20">
        <v>614.0</v>
      </c>
      <c r="D391" s="20" t="s">
        <v>40</v>
      </c>
      <c r="E391" s="20" t="s">
        <v>101</v>
      </c>
      <c r="F391" s="27"/>
    </row>
    <row r="392">
      <c r="A392" s="26">
        <v>44605.53647503472</v>
      </c>
      <c r="B392" s="20" t="s">
        <v>163</v>
      </c>
      <c r="C392" s="20">
        <v>148.0</v>
      </c>
      <c r="D392" s="20" t="s">
        <v>184</v>
      </c>
      <c r="E392" s="20" t="s">
        <v>50</v>
      </c>
      <c r="F392" s="27"/>
    </row>
    <row r="393">
      <c r="A393" s="26">
        <v>44605.54038878472</v>
      </c>
      <c r="B393" s="20" t="s">
        <v>163</v>
      </c>
      <c r="C393" s="20">
        <v>948.0</v>
      </c>
      <c r="D393" s="20" t="s">
        <v>36</v>
      </c>
      <c r="E393" s="20" t="s">
        <v>46</v>
      </c>
      <c r="F393" s="27"/>
    </row>
    <row r="394">
      <c r="A394" s="26">
        <v>44605.5649021875</v>
      </c>
      <c r="B394" s="20" t="s">
        <v>163</v>
      </c>
      <c r="C394" s="20">
        <v>1740.0</v>
      </c>
      <c r="D394" s="20" t="s">
        <v>40</v>
      </c>
      <c r="E394" s="20" t="s">
        <v>46</v>
      </c>
      <c r="F394" s="27"/>
    </row>
    <row r="395">
      <c r="A395" s="26">
        <v>44605.56778349537</v>
      </c>
      <c r="B395" s="20" t="s">
        <v>163</v>
      </c>
      <c r="C395" s="20">
        <v>1590.0</v>
      </c>
      <c r="D395" s="20" t="s">
        <v>93</v>
      </c>
      <c r="E395" s="20" t="s">
        <v>46</v>
      </c>
      <c r="F395" s="27"/>
    </row>
    <row r="396">
      <c r="A396" s="26">
        <v>44605.57251540509</v>
      </c>
      <c r="B396" s="20" t="s">
        <v>45</v>
      </c>
      <c r="C396" s="20">
        <v>729.0</v>
      </c>
      <c r="D396" s="20" t="s">
        <v>40</v>
      </c>
      <c r="E396" s="20" t="s">
        <v>46</v>
      </c>
      <c r="F396" s="27"/>
    </row>
    <row r="397">
      <c r="A397" s="26">
        <v>44605.573215729164</v>
      </c>
      <c r="B397" s="20" t="s">
        <v>163</v>
      </c>
      <c r="C397" s="20">
        <v>222.0</v>
      </c>
      <c r="D397" s="20" t="s">
        <v>56</v>
      </c>
      <c r="E397" s="20" t="s">
        <v>185</v>
      </c>
      <c r="F397" s="27"/>
    </row>
    <row r="398">
      <c r="A398" s="26">
        <v>44605.58301353009</v>
      </c>
      <c r="B398" s="20" t="s">
        <v>163</v>
      </c>
      <c r="C398" s="20">
        <v>988.0</v>
      </c>
      <c r="D398" s="20" t="s">
        <v>40</v>
      </c>
      <c r="E398" s="20" t="s">
        <v>46</v>
      </c>
      <c r="F398" s="27"/>
    </row>
    <row r="399">
      <c r="A399" s="26">
        <v>44605.5851934838</v>
      </c>
      <c r="B399" s="20" t="s">
        <v>163</v>
      </c>
      <c r="C399" s="20">
        <v>144.0</v>
      </c>
      <c r="D399" s="20" t="s">
        <v>64</v>
      </c>
      <c r="E399" s="20" t="s">
        <v>186</v>
      </c>
      <c r="F399" s="27"/>
    </row>
    <row r="400">
      <c r="A400" s="26">
        <v>44605.58598478009</v>
      </c>
      <c r="B400" s="20" t="s">
        <v>163</v>
      </c>
      <c r="C400" s="20">
        <v>947.0</v>
      </c>
      <c r="D400" s="20" t="s">
        <v>40</v>
      </c>
      <c r="E400" s="20" t="s">
        <v>46</v>
      </c>
      <c r="F400" s="27"/>
    </row>
    <row r="401">
      <c r="A401" s="26">
        <v>44605.58699945602</v>
      </c>
      <c r="B401" s="20" t="s">
        <v>187</v>
      </c>
      <c r="C401" s="20">
        <v>391.0</v>
      </c>
      <c r="D401" s="20" t="s">
        <v>56</v>
      </c>
      <c r="E401" s="20" t="s">
        <v>188</v>
      </c>
      <c r="F401" s="27"/>
    </row>
    <row r="402">
      <c r="A402" s="26">
        <v>44605.593124756946</v>
      </c>
      <c r="B402" s="20" t="s">
        <v>163</v>
      </c>
      <c r="C402" s="20">
        <v>112.0</v>
      </c>
      <c r="D402" s="20" t="s">
        <v>38</v>
      </c>
      <c r="E402" s="20" t="s">
        <v>143</v>
      </c>
      <c r="F402" s="27"/>
    </row>
    <row r="403">
      <c r="A403" s="26">
        <v>44605.64206291667</v>
      </c>
      <c r="B403" s="20" t="s">
        <v>149</v>
      </c>
      <c r="C403" s="20">
        <v>112.0</v>
      </c>
      <c r="D403" s="20" t="s">
        <v>189</v>
      </c>
      <c r="E403" s="20" t="s">
        <v>143</v>
      </c>
      <c r="F403" s="27"/>
    </row>
    <row r="404">
      <c r="A404" s="26">
        <v>44605.67118550926</v>
      </c>
      <c r="B404" s="20" t="s">
        <v>190</v>
      </c>
      <c r="C404" s="20">
        <v>26.0</v>
      </c>
      <c r="D404" s="20" t="s">
        <v>64</v>
      </c>
      <c r="E404" s="20" t="s">
        <v>63</v>
      </c>
      <c r="F404" s="27"/>
    </row>
    <row r="405">
      <c r="A405" s="26">
        <v>44605.67566971065</v>
      </c>
      <c r="B405" s="20" t="s">
        <v>149</v>
      </c>
      <c r="C405" s="20">
        <v>13.0</v>
      </c>
      <c r="D405" s="20" t="s">
        <v>64</v>
      </c>
      <c r="E405" s="20" t="s">
        <v>63</v>
      </c>
      <c r="F405" s="27"/>
    </row>
    <row r="406">
      <c r="A406" s="26">
        <v>44607.59675016203</v>
      </c>
      <c r="B406" s="20" t="s">
        <v>163</v>
      </c>
      <c r="C406" s="20">
        <v>414.0</v>
      </c>
      <c r="D406" s="20" t="s">
        <v>47</v>
      </c>
      <c r="E406" s="20" t="s">
        <v>46</v>
      </c>
      <c r="F406" s="27"/>
    </row>
    <row r="407">
      <c r="A407" s="26">
        <v>44608.58366929398</v>
      </c>
      <c r="B407" s="20" t="s">
        <v>191</v>
      </c>
      <c r="C407" s="20">
        <v>551.0</v>
      </c>
      <c r="D407" s="20" t="s">
        <v>40</v>
      </c>
      <c r="E407" s="20" t="s">
        <v>70</v>
      </c>
      <c r="F407" s="27"/>
    </row>
    <row r="408">
      <c r="A408" s="26">
        <v>44608.59090863426</v>
      </c>
      <c r="B408" s="20" t="s">
        <v>191</v>
      </c>
      <c r="C408" s="20">
        <v>866.0</v>
      </c>
      <c r="D408" s="20" t="s">
        <v>47</v>
      </c>
      <c r="E408" s="20" t="s">
        <v>70</v>
      </c>
      <c r="F408" s="27"/>
    </row>
    <row r="409">
      <c r="A409" s="26">
        <v>44608.59731193287</v>
      </c>
      <c r="B409" s="20" t="s">
        <v>191</v>
      </c>
      <c r="C409" s="20">
        <v>625.0</v>
      </c>
      <c r="D409" s="20" t="s">
        <v>192</v>
      </c>
      <c r="E409" s="20" t="s">
        <v>70</v>
      </c>
      <c r="F409" s="27"/>
    </row>
    <row r="410">
      <c r="A410" s="26">
        <v>44608.60275721065</v>
      </c>
      <c r="B410" s="20" t="s">
        <v>193</v>
      </c>
      <c r="C410" s="20">
        <v>497.0</v>
      </c>
      <c r="D410" s="20" t="s">
        <v>40</v>
      </c>
      <c r="E410" s="20" t="s">
        <v>70</v>
      </c>
      <c r="F410" s="27"/>
    </row>
    <row r="411">
      <c r="A411" s="26">
        <v>44608.60424759259</v>
      </c>
      <c r="B411" s="20" t="s">
        <v>191</v>
      </c>
      <c r="C411" s="20">
        <v>1341.0</v>
      </c>
      <c r="D411" s="20" t="s">
        <v>36</v>
      </c>
      <c r="E411" s="20" t="s">
        <v>70</v>
      </c>
      <c r="F411" s="27"/>
    </row>
    <row r="412">
      <c r="A412" s="26">
        <v>44608.63796412037</v>
      </c>
      <c r="B412" s="20" t="s">
        <v>191</v>
      </c>
      <c r="C412" s="20">
        <v>728.0</v>
      </c>
      <c r="D412" s="20" t="s">
        <v>194</v>
      </c>
      <c r="E412" s="20" t="s">
        <v>46</v>
      </c>
      <c r="F412" s="27"/>
    </row>
    <row r="413">
      <c r="A413" s="26">
        <v>44608.63827524305</v>
      </c>
      <c r="B413" s="20" t="s">
        <v>193</v>
      </c>
      <c r="C413" s="20">
        <v>1754.0</v>
      </c>
      <c r="D413" s="20" t="s">
        <v>195</v>
      </c>
      <c r="E413" s="20" t="s">
        <v>46</v>
      </c>
      <c r="F413" s="27"/>
    </row>
    <row r="414">
      <c r="A414" s="26">
        <v>44608.63944009259</v>
      </c>
      <c r="B414" s="20" t="s">
        <v>193</v>
      </c>
      <c r="C414" s="20">
        <v>664.0</v>
      </c>
      <c r="D414" s="20" t="s">
        <v>36</v>
      </c>
      <c r="E414" s="20" t="s">
        <v>46</v>
      </c>
      <c r="F414" s="27"/>
    </row>
    <row r="415">
      <c r="A415" s="26">
        <v>44608.64178539352</v>
      </c>
      <c r="B415" s="20" t="s">
        <v>193</v>
      </c>
      <c r="C415" s="20">
        <v>1076.0</v>
      </c>
      <c r="D415" s="20" t="s">
        <v>195</v>
      </c>
      <c r="E415" s="20" t="s">
        <v>46</v>
      </c>
      <c r="F415" s="27"/>
    </row>
    <row r="416">
      <c r="A416" s="26">
        <v>44608.64412966435</v>
      </c>
      <c r="B416" s="20" t="s">
        <v>193</v>
      </c>
      <c r="C416" s="20">
        <v>285.0</v>
      </c>
      <c r="D416" s="20" t="s">
        <v>76</v>
      </c>
      <c r="E416" s="20" t="s">
        <v>46</v>
      </c>
      <c r="F416" s="27"/>
    </row>
    <row r="417">
      <c r="A417" s="26">
        <v>44608.652898009255</v>
      </c>
      <c r="B417" s="20" t="s">
        <v>191</v>
      </c>
      <c r="C417" s="20">
        <v>658.0</v>
      </c>
      <c r="D417" s="20" t="s">
        <v>38</v>
      </c>
      <c r="E417" s="20" t="s">
        <v>46</v>
      </c>
      <c r="F417" s="27"/>
    </row>
    <row r="418">
      <c r="A418" s="26">
        <v>44608.70825043981</v>
      </c>
      <c r="B418" s="20" t="s">
        <v>193</v>
      </c>
      <c r="C418" s="20">
        <v>60.0</v>
      </c>
      <c r="D418" s="20" t="s">
        <v>80</v>
      </c>
      <c r="E418" s="20" t="s">
        <v>196</v>
      </c>
      <c r="F418" s="27"/>
    </row>
    <row r="419">
      <c r="A419" s="26">
        <v>44608.72760791666</v>
      </c>
      <c r="B419" s="20" t="s">
        <v>153</v>
      </c>
      <c r="C419" s="20">
        <v>26.2</v>
      </c>
      <c r="D419" s="20" t="s">
        <v>64</v>
      </c>
      <c r="E419" s="20" t="s">
        <v>197</v>
      </c>
      <c r="F419" s="27"/>
    </row>
    <row r="420">
      <c r="A420" s="26">
        <v>44609.70141648148</v>
      </c>
      <c r="B420" s="20" t="s">
        <v>55</v>
      </c>
      <c r="C420" s="20">
        <v>593.0</v>
      </c>
      <c r="D420" s="20" t="s">
        <v>38</v>
      </c>
      <c r="E420" s="20" t="s">
        <v>198</v>
      </c>
      <c r="F420" s="27"/>
    </row>
    <row r="421">
      <c r="A421" s="26">
        <v>44609.701729328706</v>
      </c>
      <c r="B421" s="20" t="s">
        <v>55</v>
      </c>
      <c r="C421" s="20">
        <v>1470.0</v>
      </c>
      <c r="D421" s="20" t="s">
        <v>87</v>
      </c>
      <c r="E421" s="20" t="s">
        <v>198</v>
      </c>
      <c r="F421" s="27"/>
    </row>
    <row r="422">
      <c r="A422" s="26">
        <v>44609.70199902778</v>
      </c>
      <c r="B422" s="20" t="s">
        <v>55</v>
      </c>
      <c r="C422" s="20">
        <v>1394.0</v>
      </c>
      <c r="D422" s="20" t="s">
        <v>53</v>
      </c>
      <c r="E422" s="20" t="s">
        <v>198</v>
      </c>
      <c r="F422" s="27"/>
    </row>
    <row r="423">
      <c r="A423" s="26">
        <v>44609.702220983796</v>
      </c>
      <c r="B423" s="20" t="s">
        <v>55</v>
      </c>
      <c r="C423" s="20">
        <v>885.0</v>
      </c>
      <c r="D423" s="20" t="s">
        <v>36</v>
      </c>
      <c r="E423" s="20" t="s">
        <v>198</v>
      </c>
      <c r="F423" s="27"/>
    </row>
    <row r="424">
      <c r="A424" s="26">
        <v>44609.70245344908</v>
      </c>
      <c r="B424" s="20" t="s">
        <v>55</v>
      </c>
      <c r="C424" s="20">
        <v>325.0</v>
      </c>
      <c r="D424" s="20" t="s">
        <v>40</v>
      </c>
      <c r="E424" s="20" t="s">
        <v>198</v>
      </c>
      <c r="F424" s="27"/>
    </row>
    <row r="425">
      <c r="A425" s="26">
        <v>44609.702651354164</v>
      </c>
      <c r="B425" s="20" t="s">
        <v>55</v>
      </c>
      <c r="C425" s="20">
        <v>377.0</v>
      </c>
      <c r="D425" s="20" t="s">
        <v>40</v>
      </c>
      <c r="E425" s="20" t="s">
        <v>198</v>
      </c>
      <c r="F425" s="27"/>
    </row>
    <row r="426">
      <c r="A426" s="26">
        <v>44610.556390439815</v>
      </c>
      <c r="B426" s="20" t="s">
        <v>199</v>
      </c>
      <c r="C426" s="20">
        <v>1349.0</v>
      </c>
      <c r="D426" s="20" t="s">
        <v>115</v>
      </c>
      <c r="E426" s="20" t="s">
        <v>96</v>
      </c>
      <c r="F426" s="27"/>
    </row>
    <row r="427">
      <c r="A427" s="26">
        <v>44610.556737754625</v>
      </c>
      <c r="B427" s="20" t="s">
        <v>200</v>
      </c>
      <c r="C427" s="20">
        <v>1395.0</v>
      </c>
      <c r="D427" s="20" t="s">
        <v>53</v>
      </c>
      <c r="E427" s="20" t="s">
        <v>96</v>
      </c>
      <c r="F427" s="27"/>
    </row>
    <row r="428">
      <c r="A428" s="26">
        <v>44610.5570984838</v>
      </c>
      <c r="B428" s="20" t="s">
        <v>200</v>
      </c>
      <c r="C428" s="20">
        <v>642.0</v>
      </c>
      <c r="D428" s="20" t="s">
        <v>76</v>
      </c>
      <c r="E428" s="20" t="s">
        <v>96</v>
      </c>
      <c r="F428" s="27"/>
    </row>
    <row r="429">
      <c r="A429" s="26">
        <v>44610.56223427084</v>
      </c>
      <c r="B429" s="20" t="s">
        <v>201</v>
      </c>
      <c r="C429" s="20">
        <v>1099.0</v>
      </c>
      <c r="D429" s="20" t="s">
        <v>36</v>
      </c>
      <c r="E429" s="20" t="s">
        <v>96</v>
      </c>
      <c r="F429" s="27"/>
    </row>
    <row r="430">
      <c r="A430" s="26">
        <v>44610.567816574076</v>
      </c>
      <c r="B430" s="20" t="s">
        <v>200</v>
      </c>
      <c r="C430" s="20">
        <v>221.0</v>
      </c>
      <c r="D430" s="20" t="s">
        <v>64</v>
      </c>
      <c r="E430" s="20" t="s">
        <v>202</v>
      </c>
      <c r="F430" s="27"/>
    </row>
    <row r="431">
      <c r="A431" s="26">
        <v>44611.63061525463</v>
      </c>
      <c r="B431" s="20" t="s">
        <v>203</v>
      </c>
      <c r="C431" s="20">
        <v>1449.0</v>
      </c>
      <c r="D431" s="20" t="s">
        <v>36</v>
      </c>
      <c r="E431" s="20" t="s">
        <v>75</v>
      </c>
      <c r="F431" s="27"/>
    </row>
    <row r="432">
      <c r="A432" s="26">
        <v>44611.630968275465</v>
      </c>
      <c r="B432" s="20" t="s">
        <v>203</v>
      </c>
      <c r="C432" s="20">
        <v>1444.0</v>
      </c>
      <c r="D432" s="20" t="s">
        <v>36</v>
      </c>
      <c r="E432" s="20" t="s">
        <v>75</v>
      </c>
      <c r="F432" s="27"/>
    </row>
    <row r="433">
      <c r="A433" s="26">
        <v>44611.63127042824</v>
      </c>
      <c r="B433" s="20" t="s">
        <v>203</v>
      </c>
      <c r="C433" s="20">
        <v>354.0</v>
      </c>
      <c r="D433" s="20" t="s">
        <v>76</v>
      </c>
      <c r="E433" s="20" t="s">
        <v>75</v>
      </c>
      <c r="F433" s="27"/>
    </row>
    <row r="434">
      <c r="A434" s="26">
        <v>44611.63158371528</v>
      </c>
      <c r="B434" s="20" t="s">
        <v>203</v>
      </c>
      <c r="C434" s="20">
        <v>564.0</v>
      </c>
      <c r="D434" s="20" t="s">
        <v>76</v>
      </c>
      <c r="E434" s="20" t="s">
        <v>75</v>
      </c>
      <c r="F434" s="27"/>
    </row>
    <row r="435">
      <c r="A435" s="26">
        <v>44611.63185104167</v>
      </c>
      <c r="B435" s="20" t="s">
        <v>203</v>
      </c>
      <c r="C435" s="20">
        <v>1297.0</v>
      </c>
      <c r="D435" s="20" t="s">
        <v>38</v>
      </c>
      <c r="E435" s="20" t="s">
        <v>75</v>
      </c>
      <c r="F435" s="27"/>
    </row>
    <row r="436">
      <c r="A436" s="26">
        <v>44611.63218523149</v>
      </c>
      <c r="B436" s="20" t="s">
        <v>203</v>
      </c>
      <c r="C436" s="20">
        <v>843.0</v>
      </c>
      <c r="D436" s="20" t="s">
        <v>204</v>
      </c>
      <c r="E436" s="20" t="s">
        <v>75</v>
      </c>
      <c r="F436" s="27"/>
    </row>
    <row r="437">
      <c r="A437" s="26">
        <v>44611.63255061343</v>
      </c>
      <c r="B437" s="20" t="s">
        <v>203</v>
      </c>
      <c r="C437" s="20">
        <v>193.0</v>
      </c>
      <c r="D437" s="20" t="s">
        <v>205</v>
      </c>
      <c r="E437" s="20" t="s">
        <v>75</v>
      </c>
      <c r="F437" s="27"/>
    </row>
    <row r="438">
      <c r="A438" s="26">
        <v>44611.63298515046</v>
      </c>
      <c r="B438" s="20" t="s">
        <v>203</v>
      </c>
      <c r="C438" s="20">
        <v>1747.0</v>
      </c>
      <c r="D438" s="20" t="s">
        <v>206</v>
      </c>
      <c r="E438" s="20" t="s">
        <v>75</v>
      </c>
      <c r="F438" s="27"/>
    </row>
    <row r="439">
      <c r="A439" s="26">
        <v>44611.63355009259</v>
      </c>
      <c r="B439" s="20" t="s">
        <v>203</v>
      </c>
      <c r="C439" s="20">
        <v>2010.0</v>
      </c>
      <c r="D439" s="20" t="s">
        <v>207</v>
      </c>
      <c r="E439" s="20" t="s">
        <v>75</v>
      </c>
      <c r="F439" s="27"/>
    </row>
    <row r="440">
      <c r="A440" s="26">
        <v>44611.63377818287</v>
      </c>
      <c r="B440" s="20" t="s">
        <v>203</v>
      </c>
      <c r="C440" s="20">
        <v>1868.0</v>
      </c>
      <c r="D440" s="20" t="s">
        <v>53</v>
      </c>
      <c r="E440" s="20" t="s">
        <v>75</v>
      </c>
      <c r="F440" s="27"/>
    </row>
    <row r="441">
      <c r="A441" s="26">
        <v>44611.634095891204</v>
      </c>
      <c r="B441" s="20" t="s">
        <v>203</v>
      </c>
      <c r="C441" s="20">
        <v>218.0</v>
      </c>
      <c r="D441" s="20" t="s">
        <v>76</v>
      </c>
      <c r="E441" s="20" t="s">
        <v>75</v>
      </c>
      <c r="F441" s="27"/>
    </row>
    <row r="442">
      <c r="A442" s="26">
        <v>44611.6342941551</v>
      </c>
      <c r="B442" s="20" t="s">
        <v>203</v>
      </c>
      <c r="C442" s="20">
        <v>82.0</v>
      </c>
      <c r="D442" s="20" t="s">
        <v>76</v>
      </c>
      <c r="E442" s="20" t="s">
        <v>75</v>
      </c>
      <c r="F442" s="27"/>
    </row>
    <row r="443">
      <c r="A443" s="26">
        <v>44611.63482736111</v>
      </c>
      <c r="B443" s="20" t="s">
        <v>203</v>
      </c>
      <c r="C443" s="20">
        <v>805.0</v>
      </c>
      <c r="D443" s="20" t="s">
        <v>40</v>
      </c>
      <c r="E443" s="20" t="s">
        <v>208</v>
      </c>
      <c r="F443" s="27"/>
    </row>
    <row r="444">
      <c r="A444" s="26">
        <v>44611.635234699075</v>
      </c>
      <c r="B444" s="20" t="s">
        <v>203</v>
      </c>
      <c r="C444" s="20">
        <v>1200.0</v>
      </c>
      <c r="D444" s="20" t="s">
        <v>206</v>
      </c>
      <c r="E444" s="20" t="s">
        <v>208</v>
      </c>
      <c r="F444" s="27"/>
    </row>
    <row r="445">
      <c r="A445" s="26">
        <v>44611.63563344907</v>
      </c>
      <c r="B445" s="20" t="s">
        <v>203</v>
      </c>
      <c r="C445" s="20">
        <v>75.0</v>
      </c>
      <c r="D445" s="20" t="s">
        <v>209</v>
      </c>
      <c r="E445" s="20" t="s">
        <v>208</v>
      </c>
      <c r="F445" s="27"/>
    </row>
    <row r="446">
      <c r="A446" s="26">
        <v>44611.635988090275</v>
      </c>
      <c r="B446" s="20" t="s">
        <v>203</v>
      </c>
      <c r="C446" s="20">
        <v>26.0</v>
      </c>
      <c r="D446" s="20" t="s">
        <v>76</v>
      </c>
      <c r="E446" s="20" t="s">
        <v>208</v>
      </c>
      <c r="F446" s="27"/>
    </row>
    <row r="447">
      <c r="A447" s="26">
        <v>44611.6363897338</v>
      </c>
      <c r="B447" s="20" t="s">
        <v>203</v>
      </c>
      <c r="C447" s="20">
        <v>156.0</v>
      </c>
      <c r="D447" s="20" t="s">
        <v>40</v>
      </c>
      <c r="E447" s="20" t="s">
        <v>208</v>
      </c>
      <c r="F447" s="27"/>
    </row>
    <row r="448">
      <c r="A448" s="26">
        <v>44611.63673251157</v>
      </c>
      <c r="B448" s="20" t="s">
        <v>203</v>
      </c>
      <c r="C448" s="20">
        <v>1728.0</v>
      </c>
      <c r="D448" s="20" t="s">
        <v>53</v>
      </c>
      <c r="E448" s="20" t="s">
        <v>208</v>
      </c>
      <c r="F448" s="27"/>
    </row>
    <row r="449">
      <c r="A449" s="26">
        <v>44611.63802067129</v>
      </c>
      <c r="B449" s="20" t="s">
        <v>203</v>
      </c>
      <c r="C449" s="20">
        <v>30.0</v>
      </c>
      <c r="D449" s="20" t="s">
        <v>40</v>
      </c>
      <c r="E449" s="20" t="s">
        <v>208</v>
      </c>
      <c r="F449" s="27"/>
    </row>
    <row r="450">
      <c r="A450" s="26">
        <v>44611.63850971065</v>
      </c>
      <c r="B450" s="20" t="s">
        <v>203</v>
      </c>
      <c r="C450" s="20">
        <v>2021.0</v>
      </c>
      <c r="D450" s="20" t="s">
        <v>53</v>
      </c>
      <c r="E450" s="20" t="s">
        <v>75</v>
      </c>
      <c r="F450" s="27"/>
    </row>
    <row r="451">
      <c r="A451" s="26">
        <v>44611.63880859954</v>
      </c>
      <c r="B451" s="20" t="s">
        <v>203</v>
      </c>
      <c r="C451" s="20">
        <v>2915.0</v>
      </c>
      <c r="D451" s="20" t="s">
        <v>53</v>
      </c>
      <c r="E451" s="20" t="s">
        <v>75</v>
      </c>
      <c r="F451" s="27"/>
    </row>
    <row r="452">
      <c r="A452" s="26">
        <v>44611.63904018518</v>
      </c>
      <c r="B452" s="20" t="s">
        <v>203</v>
      </c>
      <c r="C452" s="20">
        <v>1778.0</v>
      </c>
      <c r="D452" s="20" t="s">
        <v>53</v>
      </c>
      <c r="E452" s="20" t="s">
        <v>75</v>
      </c>
      <c r="F452" s="27"/>
    </row>
    <row r="453">
      <c r="A453" s="26">
        <v>44611.6393655787</v>
      </c>
      <c r="B453" s="20" t="s">
        <v>203</v>
      </c>
      <c r="C453" s="20">
        <v>845.0</v>
      </c>
      <c r="D453" s="20" t="s">
        <v>40</v>
      </c>
      <c r="E453" s="20" t="s">
        <v>75</v>
      </c>
      <c r="F453" s="27"/>
    </row>
    <row r="454">
      <c r="A454" s="26">
        <v>44611.63962994213</v>
      </c>
      <c r="B454" s="20" t="s">
        <v>203</v>
      </c>
      <c r="C454" s="20">
        <v>836.0</v>
      </c>
      <c r="D454" s="20" t="s">
        <v>40</v>
      </c>
      <c r="E454" s="20" t="s">
        <v>75</v>
      </c>
      <c r="F454" s="27"/>
    </row>
    <row r="455">
      <c r="A455" s="26">
        <v>44611.63984034723</v>
      </c>
      <c r="B455" s="20" t="s">
        <v>203</v>
      </c>
      <c r="C455" s="20">
        <v>124.0</v>
      </c>
      <c r="D455" s="20" t="s">
        <v>40</v>
      </c>
      <c r="E455" s="20" t="s">
        <v>75</v>
      </c>
      <c r="F455" s="27"/>
    </row>
    <row r="456">
      <c r="A456" s="26">
        <v>44611.64027717593</v>
      </c>
      <c r="B456" s="20" t="s">
        <v>203</v>
      </c>
      <c r="C456" s="20">
        <v>808.0</v>
      </c>
      <c r="D456" s="20" t="s">
        <v>40</v>
      </c>
      <c r="E456" s="20" t="s">
        <v>75</v>
      </c>
      <c r="F456" s="27"/>
    </row>
    <row r="457">
      <c r="A457" s="26">
        <v>44611.64052320602</v>
      </c>
      <c r="B457" s="20" t="s">
        <v>203</v>
      </c>
      <c r="C457" s="20">
        <v>861.0</v>
      </c>
      <c r="D457" s="20" t="s">
        <v>40</v>
      </c>
      <c r="E457" s="20" t="s">
        <v>75</v>
      </c>
      <c r="F457" s="27"/>
    </row>
    <row r="458">
      <c r="A458" s="26">
        <v>44611.64071489584</v>
      </c>
      <c r="B458" s="20" t="s">
        <v>203</v>
      </c>
      <c r="C458" s="20">
        <v>900.0</v>
      </c>
      <c r="D458" s="20" t="s">
        <v>38</v>
      </c>
      <c r="E458" s="20" t="s">
        <v>75</v>
      </c>
      <c r="F458" s="27"/>
    </row>
    <row r="459">
      <c r="A459" s="26">
        <v>44612.64024846065</v>
      </c>
      <c r="B459" s="20" t="s">
        <v>149</v>
      </c>
      <c r="C459" s="20">
        <v>69.0</v>
      </c>
      <c r="D459" s="20" t="s">
        <v>38</v>
      </c>
      <c r="E459" s="20" t="s">
        <v>143</v>
      </c>
      <c r="F459" s="27"/>
    </row>
    <row r="460">
      <c r="A460" s="26">
        <v>44612.64253236111</v>
      </c>
      <c r="B460" s="20" t="s">
        <v>149</v>
      </c>
      <c r="C460" s="20">
        <v>672.0</v>
      </c>
      <c r="D460" s="20" t="s">
        <v>40</v>
      </c>
      <c r="E460" s="20" t="s">
        <v>145</v>
      </c>
      <c r="F460" s="27"/>
    </row>
    <row r="461">
      <c r="A461" s="26">
        <v>44612.64364512732</v>
      </c>
      <c r="B461" s="20" t="s">
        <v>63</v>
      </c>
      <c r="C461" s="20">
        <v>623.0</v>
      </c>
      <c r="D461" s="20" t="s">
        <v>40</v>
      </c>
      <c r="E461" s="20" t="s">
        <v>143</v>
      </c>
      <c r="F461" s="27"/>
    </row>
    <row r="462">
      <c r="A462" s="26">
        <v>44612.64383054398</v>
      </c>
      <c r="B462" s="20" t="s">
        <v>149</v>
      </c>
      <c r="C462" s="20">
        <v>2034.0</v>
      </c>
      <c r="D462" s="20" t="s">
        <v>157</v>
      </c>
      <c r="E462" s="20" t="s">
        <v>183</v>
      </c>
      <c r="F462" s="27"/>
    </row>
    <row r="463">
      <c r="A463" s="26">
        <v>44612.644029965275</v>
      </c>
      <c r="B463" s="20" t="s">
        <v>63</v>
      </c>
      <c r="C463" s="20">
        <v>623.0</v>
      </c>
      <c r="D463" s="20" t="s">
        <v>40</v>
      </c>
      <c r="E463" s="20" t="s">
        <v>183</v>
      </c>
      <c r="F463" s="27"/>
    </row>
    <row r="464">
      <c r="A464" s="26">
        <v>44612.64417138889</v>
      </c>
      <c r="B464" s="20" t="s">
        <v>63</v>
      </c>
      <c r="C464" s="20">
        <v>513.0</v>
      </c>
      <c r="D464" s="20" t="s">
        <v>40</v>
      </c>
      <c r="E464" s="20" t="s">
        <v>183</v>
      </c>
      <c r="F464" s="27"/>
    </row>
    <row r="465">
      <c r="A465" s="26">
        <v>44612.64461905093</v>
      </c>
      <c r="B465" s="20" t="s">
        <v>149</v>
      </c>
      <c r="C465" s="20">
        <v>118.0</v>
      </c>
      <c r="D465" s="20" t="s">
        <v>210</v>
      </c>
      <c r="E465" s="20" t="s">
        <v>101</v>
      </c>
      <c r="F465" s="27"/>
    </row>
    <row r="466">
      <c r="A466" s="26">
        <v>44612.64487318287</v>
      </c>
      <c r="B466" s="20" t="s">
        <v>63</v>
      </c>
      <c r="C466" s="20">
        <v>72.0</v>
      </c>
      <c r="D466" s="20" t="s">
        <v>117</v>
      </c>
      <c r="E466" s="20" t="s">
        <v>183</v>
      </c>
      <c r="F466" s="27"/>
    </row>
    <row r="467">
      <c r="A467" s="26">
        <v>44612.64510695601</v>
      </c>
      <c r="B467" s="20" t="s">
        <v>63</v>
      </c>
      <c r="C467" s="20">
        <v>95.0</v>
      </c>
      <c r="D467" s="20" t="s">
        <v>40</v>
      </c>
      <c r="E467" s="20" t="s">
        <v>183</v>
      </c>
      <c r="F467" s="27"/>
    </row>
    <row r="468">
      <c r="A468" s="26">
        <v>44612.64538314815</v>
      </c>
      <c r="B468" s="20" t="s">
        <v>149</v>
      </c>
      <c r="C468" s="20">
        <v>36.0</v>
      </c>
      <c r="D468" s="20" t="s">
        <v>64</v>
      </c>
      <c r="E468" s="20" t="s">
        <v>183</v>
      </c>
      <c r="F468" s="27"/>
    </row>
    <row r="469">
      <c r="A469" s="26">
        <v>44612.64558848379</v>
      </c>
      <c r="B469" s="20" t="s">
        <v>63</v>
      </c>
      <c r="C469" s="20">
        <v>555.0</v>
      </c>
      <c r="D469" s="20" t="s">
        <v>38</v>
      </c>
      <c r="E469" s="20" t="s">
        <v>100</v>
      </c>
      <c r="F469" s="27"/>
    </row>
    <row r="470">
      <c r="A470" s="26">
        <v>44612.64568302083</v>
      </c>
      <c r="B470" s="20" t="s">
        <v>63</v>
      </c>
      <c r="C470" s="20">
        <v>412.0</v>
      </c>
      <c r="D470" s="20" t="s">
        <v>211</v>
      </c>
      <c r="E470" s="20" t="s">
        <v>100</v>
      </c>
      <c r="F470" s="27"/>
    </row>
    <row r="471">
      <c r="A471" s="26">
        <v>44612.646643263884</v>
      </c>
      <c r="B471" s="20" t="s">
        <v>63</v>
      </c>
      <c r="C471" s="20">
        <v>76.0</v>
      </c>
      <c r="D471" s="20" t="s">
        <v>76</v>
      </c>
      <c r="E471" s="20" t="s">
        <v>183</v>
      </c>
      <c r="F471" s="27"/>
    </row>
    <row r="472">
      <c r="A472" s="26">
        <v>44612.7183530787</v>
      </c>
      <c r="B472" s="20" t="s">
        <v>63</v>
      </c>
      <c r="C472" s="20">
        <v>22.0</v>
      </c>
      <c r="D472" s="20" t="s">
        <v>64</v>
      </c>
      <c r="E472" s="20" t="s">
        <v>63</v>
      </c>
      <c r="F472" s="27"/>
    </row>
    <row r="473">
      <c r="A473" s="26">
        <v>44614.59812646991</v>
      </c>
      <c r="B473" s="20" t="s">
        <v>212</v>
      </c>
      <c r="C473" s="20">
        <v>98.0</v>
      </c>
      <c r="D473" s="20" t="s">
        <v>76</v>
      </c>
      <c r="E473" s="20" t="s">
        <v>213</v>
      </c>
      <c r="F473" s="27"/>
    </row>
    <row r="474">
      <c r="A474" s="26">
        <v>44615.636835763886</v>
      </c>
      <c r="B474" s="20" t="s">
        <v>55</v>
      </c>
      <c r="C474" s="20">
        <v>586.0</v>
      </c>
      <c r="D474" s="20" t="s">
        <v>36</v>
      </c>
      <c r="E474" s="20" t="s">
        <v>70</v>
      </c>
      <c r="F474" s="27"/>
    </row>
    <row r="475">
      <c r="A475" s="26">
        <v>44615.6373265625</v>
      </c>
      <c r="B475" s="20" t="s">
        <v>55</v>
      </c>
      <c r="C475" s="20">
        <v>902.0</v>
      </c>
      <c r="D475" s="20" t="s">
        <v>93</v>
      </c>
      <c r="E475" s="20" t="s">
        <v>70</v>
      </c>
      <c r="F475" s="27"/>
    </row>
    <row r="476">
      <c r="A476" s="26">
        <v>44615.63763430556</v>
      </c>
      <c r="B476" s="20" t="s">
        <v>55</v>
      </c>
      <c r="C476" s="20">
        <v>573.0</v>
      </c>
      <c r="D476" s="20" t="s">
        <v>40</v>
      </c>
      <c r="E476" s="20" t="s">
        <v>70</v>
      </c>
      <c r="F476" s="27"/>
    </row>
    <row r="477">
      <c r="A477" s="26">
        <v>44615.638005625</v>
      </c>
      <c r="B477" s="20" t="s">
        <v>55</v>
      </c>
      <c r="C477" s="20">
        <v>929.0</v>
      </c>
      <c r="D477" s="20" t="s">
        <v>80</v>
      </c>
      <c r="E477" s="20" t="s">
        <v>70</v>
      </c>
      <c r="F477" s="27"/>
    </row>
    <row r="478">
      <c r="A478" s="26">
        <v>44615.63834505787</v>
      </c>
      <c r="B478" s="20" t="s">
        <v>55</v>
      </c>
      <c r="C478" s="20">
        <v>272.0</v>
      </c>
      <c r="D478" s="20" t="s">
        <v>38</v>
      </c>
      <c r="E478" s="20" t="s">
        <v>70</v>
      </c>
      <c r="F478" s="27"/>
    </row>
    <row r="479">
      <c r="A479" s="26">
        <v>44615.63867975694</v>
      </c>
      <c r="B479" s="20" t="s">
        <v>55</v>
      </c>
      <c r="C479" s="20">
        <v>1014.0</v>
      </c>
      <c r="D479" s="20" t="s">
        <v>93</v>
      </c>
      <c r="E479" s="20" t="s">
        <v>70</v>
      </c>
      <c r="F479" s="27"/>
    </row>
    <row r="480">
      <c r="A480" s="26">
        <v>44615.63985211805</v>
      </c>
      <c r="B480" s="20" t="s">
        <v>55</v>
      </c>
      <c r="C480" s="20">
        <v>403.0</v>
      </c>
      <c r="D480" s="20" t="s">
        <v>64</v>
      </c>
      <c r="E480" s="20" t="s">
        <v>214</v>
      </c>
      <c r="F480" s="27"/>
    </row>
    <row r="481">
      <c r="A481" s="26">
        <v>44615.640356759264</v>
      </c>
      <c r="B481" s="20" t="s">
        <v>55</v>
      </c>
      <c r="C481" s="20">
        <v>1195.0</v>
      </c>
      <c r="E481" s="20" t="s">
        <v>93</v>
      </c>
      <c r="F481" s="27"/>
    </row>
    <row r="482">
      <c r="A482" s="26">
        <v>44615.6410081713</v>
      </c>
      <c r="B482" s="20" t="s">
        <v>55</v>
      </c>
      <c r="C482" s="20">
        <v>1484.0</v>
      </c>
      <c r="D482" s="20" t="s">
        <v>93</v>
      </c>
      <c r="E482" s="20" t="s">
        <v>46</v>
      </c>
      <c r="F482" s="27"/>
    </row>
    <row r="483">
      <c r="A483" s="26">
        <v>44615.641832546295</v>
      </c>
      <c r="B483" s="20" t="s">
        <v>55</v>
      </c>
      <c r="C483" s="20">
        <v>33.0</v>
      </c>
      <c r="D483" s="20" t="s">
        <v>80</v>
      </c>
      <c r="E483" s="20" t="s">
        <v>214</v>
      </c>
      <c r="F483" s="27"/>
    </row>
    <row r="484">
      <c r="A484" s="26">
        <v>44615.64395409722</v>
      </c>
      <c r="B484" s="20" t="s">
        <v>55</v>
      </c>
      <c r="C484" s="20">
        <v>660.0</v>
      </c>
      <c r="D484" s="20" t="s">
        <v>36</v>
      </c>
      <c r="E484" s="20" t="s">
        <v>46</v>
      </c>
      <c r="F484" s="27"/>
    </row>
    <row r="485">
      <c r="A485" s="26">
        <v>44615.862160833334</v>
      </c>
      <c r="B485" s="20" t="s">
        <v>49</v>
      </c>
      <c r="C485" s="20">
        <v>255.0</v>
      </c>
      <c r="D485" s="20" t="s">
        <v>38</v>
      </c>
      <c r="E485" s="20" t="s">
        <v>46</v>
      </c>
      <c r="F485" s="27"/>
    </row>
    <row r="486">
      <c r="A486" s="26">
        <v>44616.57150266204</v>
      </c>
      <c r="B486" s="20" t="s">
        <v>163</v>
      </c>
      <c r="C486" s="20">
        <v>94.0</v>
      </c>
      <c r="D486" s="20" t="s">
        <v>64</v>
      </c>
      <c r="E486" s="20" t="s">
        <v>215</v>
      </c>
      <c r="F486" s="27"/>
    </row>
    <row r="487">
      <c r="A487" s="26">
        <v>44616.576311736106</v>
      </c>
      <c r="B487" s="20" t="s">
        <v>163</v>
      </c>
      <c r="C487" s="20">
        <v>1373.0</v>
      </c>
      <c r="D487" s="20" t="s">
        <v>93</v>
      </c>
      <c r="E487" s="20" t="s">
        <v>216</v>
      </c>
      <c r="F487" s="27"/>
    </row>
    <row r="488">
      <c r="A488" s="26">
        <v>44616.60058216435</v>
      </c>
      <c r="B488" s="20" t="s">
        <v>163</v>
      </c>
      <c r="C488" s="20">
        <v>467.0</v>
      </c>
      <c r="D488" s="20" t="s">
        <v>80</v>
      </c>
      <c r="E488" s="20" t="s">
        <v>216</v>
      </c>
      <c r="F488" s="27"/>
    </row>
    <row r="489">
      <c r="A489" s="26">
        <v>44616.609134328704</v>
      </c>
      <c r="B489" s="20" t="s">
        <v>163</v>
      </c>
      <c r="C489" s="20">
        <v>290.0</v>
      </c>
      <c r="D489" s="20" t="s">
        <v>38</v>
      </c>
      <c r="E489" s="20" t="s">
        <v>216</v>
      </c>
      <c r="F489" s="27"/>
    </row>
    <row r="490">
      <c r="A490" s="26">
        <v>44616.61001582176</v>
      </c>
      <c r="B490" s="20" t="s">
        <v>163</v>
      </c>
      <c r="C490" s="20">
        <v>403.0</v>
      </c>
      <c r="D490" s="20" t="s">
        <v>40</v>
      </c>
      <c r="E490" s="20" t="s">
        <v>216</v>
      </c>
      <c r="F490" s="27"/>
    </row>
    <row r="491">
      <c r="A491" s="26">
        <v>44616.86409412037</v>
      </c>
      <c r="B491" s="20" t="s">
        <v>63</v>
      </c>
      <c r="C491" s="20">
        <v>108.0</v>
      </c>
      <c r="D491" s="20" t="s">
        <v>64</v>
      </c>
      <c r="E491" s="20" t="s">
        <v>63</v>
      </c>
      <c r="F491" s="27"/>
    </row>
    <row r="492">
      <c r="A492" s="26">
        <v>44618.52581918982</v>
      </c>
      <c r="B492" s="20" t="s">
        <v>217</v>
      </c>
      <c r="C492" s="20">
        <v>682.0</v>
      </c>
      <c r="D492" s="20" t="s">
        <v>40</v>
      </c>
      <c r="E492" s="20" t="s">
        <v>139</v>
      </c>
      <c r="F492" s="27"/>
    </row>
    <row r="493">
      <c r="A493" s="26">
        <v>44618.52616364583</v>
      </c>
      <c r="B493" s="20" t="s">
        <v>217</v>
      </c>
      <c r="C493" s="20">
        <v>943.0</v>
      </c>
      <c r="D493" s="20" t="s">
        <v>206</v>
      </c>
      <c r="E493" s="20" t="s">
        <v>218</v>
      </c>
      <c r="F493" s="27"/>
    </row>
    <row r="494">
      <c r="A494" s="26">
        <v>44618.52641575232</v>
      </c>
      <c r="B494" s="20" t="s">
        <v>217</v>
      </c>
      <c r="C494" s="20">
        <v>28.0</v>
      </c>
      <c r="D494" s="20" t="s">
        <v>209</v>
      </c>
      <c r="E494" s="20" t="s">
        <v>218</v>
      </c>
      <c r="F494" s="27"/>
    </row>
    <row r="495">
      <c r="A495" s="26">
        <v>44618.52663034722</v>
      </c>
      <c r="B495" s="20" t="s">
        <v>217</v>
      </c>
      <c r="C495" s="20">
        <v>495.0</v>
      </c>
      <c r="D495" s="20" t="s">
        <v>40</v>
      </c>
      <c r="E495" s="20" t="s">
        <v>219</v>
      </c>
      <c r="F495" s="27"/>
    </row>
    <row r="496">
      <c r="A496" s="26">
        <v>44618.52696591435</v>
      </c>
      <c r="B496" s="20" t="s">
        <v>220</v>
      </c>
      <c r="C496" s="20">
        <v>677.0</v>
      </c>
      <c r="D496" s="20" t="s">
        <v>40</v>
      </c>
      <c r="E496" s="20" t="s">
        <v>75</v>
      </c>
      <c r="F496" s="27"/>
    </row>
    <row r="497">
      <c r="A497" s="26">
        <v>44618.52715090278</v>
      </c>
      <c r="B497" s="20" t="s">
        <v>220</v>
      </c>
      <c r="C497" s="20">
        <v>671.0</v>
      </c>
      <c r="D497" s="20" t="s">
        <v>40</v>
      </c>
      <c r="E497" s="20" t="s">
        <v>75</v>
      </c>
      <c r="F497" s="27"/>
    </row>
    <row r="498">
      <c r="A498" s="26">
        <v>44618.527468518514</v>
      </c>
      <c r="B498" s="20" t="s">
        <v>220</v>
      </c>
      <c r="C498" s="20">
        <v>723.0</v>
      </c>
      <c r="D498" s="20" t="s">
        <v>40</v>
      </c>
      <c r="E498" s="20" t="s">
        <v>75</v>
      </c>
      <c r="F498" s="27"/>
    </row>
    <row r="499">
      <c r="A499" s="26">
        <v>44618.52766613426</v>
      </c>
      <c r="B499" s="20" t="s">
        <v>217</v>
      </c>
      <c r="C499" s="20">
        <v>1449.0</v>
      </c>
      <c r="D499" s="20" t="s">
        <v>206</v>
      </c>
      <c r="E499" s="20" t="s">
        <v>75</v>
      </c>
      <c r="F499" s="27"/>
    </row>
    <row r="500">
      <c r="A500" s="26">
        <v>44618.527999108795</v>
      </c>
      <c r="B500" s="20" t="s">
        <v>217</v>
      </c>
      <c r="C500" s="20">
        <v>1450.0</v>
      </c>
      <c r="D500" s="20" t="s">
        <v>206</v>
      </c>
      <c r="E500" s="20" t="s">
        <v>75</v>
      </c>
      <c r="F500" s="27"/>
    </row>
    <row r="501">
      <c r="A501" s="26">
        <v>44618.52815140046</v>
      </c>
      <c r="B501" s="20" t="s">
        <v>220</v>
      </c>
      <c r="C501" s="20">
        <v>772.0</v>
      </c>
      <c r="D501" s="20" t="s">
        <v>40</v>
      </c>
      <c r="E501" s="20" t="s">
        <v>75</v>
      </c>
      <c r="F501" s="27"/>
    </row>
    <row r="502">
      <c r="A502" s="26">
        <v>44618.52832548611</v>
      </c>
      <c r="B502" s="20" t="s">
        <v>220</v>
      </c>
      <c r="C502" s="20">
        <v>2184.0</v>
      </c>
      <c r="D502" s="20" t="s">
        <v>53</v>
      </c>
      <c r="E502" s="20" t="s">
        <v>75</v>
      </c>
      <c r="F502" s="27"/>
    </row>
    <row r="503">
      <c r="A503" s="26">
        <v>44618.52853946759</v>
      </c>
      <c r="B503" s="20" t="s">
        <v>217</v>
      </c>
      <c r="C503" s="20">
        <v>895.0</v>
      </c>
      <c r="D503" s="20" t="s">
        <v>36</v>
      </c>
      <c r="E503" s="20" t="s">
        <v>75</v>
      </c>
      <c r="F503" s="27"/>
    </row>
    <row r="504">
      <c r="A504" s="26">
        <v>44618.52989469907</v>
      </c>
      <c r="B504" s="20" t="s">
        <v>217</v>
      </c>
      <c r="C504" s="20">
        <v>764.0</v>
      </c>
      <c r="D504" s="20" t="s">
        <v>38</v>
      </c>
      <c r="E504" s="20" t="s">
        <v>75</v>
      </c>
      <c r="F504" s="27"/>
    </row>
    <row r="505">
      <c r="A505" s="26">
        <v>44618.530127986116</v>
      </c>
      <c r="B505" s="20" t="s">
        <v>220</v>
      </c>
      <c r="C505" s="20">
        <v>2402.0</v>
      </c>
      <c r="D505" s="20" t="s">
        <v>53</v>
      </c>
      <c r="E505" s="20" t="s">
        <v>75</v>
      </c>
      <c r="F505" s="27"/>
    </row>
    <row r="506">
      <c r="A506" s="26">
        <v>44618.53028547454</v>
      </c>
      <c r="B506" s="20" t="s">
        <v>220</v>
      </c>
      <c r="C506" s="20">
        <v>807.0</v>
      </c>
      <c r="D506" s="20" t="s">
        <v>76</v>
      </c>
      <c r="E506" s="20" t="s">
        <v>75</v>
      </c>
      <c r="F506" s="27"/>
    </row>
    <row r="507">
      <c r="A507" s="26">
        <v>44618.53191494213</v>
      </c>
      <c r="B507" s="20" t="s">
        <v>220</v>
      </c>
      <c r="C507" s="20">
        <v>905.0</v>
      </c>
      <c r="D507" s="20" t="s">
        <v>204</v>
      </c>
      <c r="E507" s="20" t="s">
        <v>75</v>
      </c>
      <c r="F507" s="27"/>
    </row>
    <row r="508">
      <c r="A508" s="26">
        <v>44618.538792430554</v>
      </c>
      <c r="B508" s="20" t="s">
        <v>217</v>
      </c>
      <c r="C508" s="20">
        <v>1514.0</v>
      </c>
      <c r="D508" s="20" t="s">
        <v>53</v>
      </c>
      <c r="E508" s="20" t="s">
        <v>96</v>
      </c>
      <c r="F508" s="27"/>
    </row>
    <row r="509">
      <c r="A509" s="26">
        <v>44618.53922190973</v>
      </c>
      <c r="B509" s="20" t="s">
        <v>217</v>
      </c>
      <c r="C509" s="20">
        <v>402.0</v>
      </c>
      <c r="D509" s="20" t="s">
        <v>38</v>
      </c>
      <c r="E509" s="20" t="s">
        <v>96</v>
      </c>
      <c r="F509" s="27"/>
    </row>
    <row r="510">
      <c r="A510" s="26">
        <v>44618.53947549769</v>
      </c>
      <c r="B510" s="20" t="s">
        <v>217</v>
      </c>
      <c r="C510" s="20">
        <v>449.0</v>
      </c>
      <c r="D510" s="20" t="s">
        <v>80</v>
      </c>
      <c r="E510" s="20" t="s">
        <v>96</v>
      </c>
      <c r="F510" s="27"/>
    </row>
    <row r="511">
      <c r="A511" s="26">
        <v>44618.539776226855</v>
      </c>
      <c r="B511" s="20" t="s">
        <v>217</v>
      </c>
      <c r="C511" s="20">
        <v>154.0</v>
      </c>
      <c r="D511" s="20" t="s">
        <v>221</v>
      </c>
      <c r="E511" s="20" t="s">
        <v>96</v>
      </c>
      <c r="F511" s="27"/>
    </row>
    <row r="512">
      <c r="A512" s="26">
        <v>44618.54018732639</v>
      </c>
      <c r="B512" s="20" t="s">
        <v>217</v>
      </c>
      <c r="C512" s="20">
        <v>135.0</v>
      </c>
      <c r="D512" s="20" t="s">
        <v>222</v>
      </c>
      <c r="E512" s="20" t="s">
        <v>223</v>
      </c>
      <c r="F512" s="27"/>
    </row>
    <row r="513">
      <c r="A513" s="26">
        <v>44618.54112818287</v>
      </c>
      <c r="B513" s="20" t="s">
        <v>217</v>
      </c>
      <c r="C513" s="20">
        <v>526.0</v>
      </c>
      <c r="D513" s="20" t="s">
        <v>47</v>
      </c>
      <c r="E513" s="20" t="s">
        <v>75</v>
      </c>
      <c r="F513" s="27"/>
    </row>
    <row r="514">
      <c r="A514" s="26">
        <v>44618.706693796295</v>
      </c>
      <c r="B514" s="20" t="s">
        <v>49</v>
      </c>
      <c r="C514" s="20">
        <v>512.0</v>
      </c>
      <c r="D514" s="20" t="s">
        <v>47</v>
      </c>
      <c r="E514" s="20" t="s">
        <v>75</v>
      </c>
      <c r="F514" s="27"/>
    </row>
    <row r="515">
      <c r="A515" s="26">
        <v>44618.70691969908</v>
      </c>
      <c r="B515" s="20" t="s">
        <v>49</v>
      </c>
      <c r="C515" s="20">
        <v>577.0</v>
      </c>
      <c r="D515" s="20" t="s">
        <v>53</v>
      </c>
      <c r="E515" s="20" t="s">
        <v>75</v>
      </c>
      <c r="F515" s="27"/>
    </row>
    <row r="516">
      <c r="A516" s="26">
        <v>44618.707400486106</v>
      </c>
      <c r="B516" s="20" t="s">
        <v>49</v>
      </c>
      <c r="C516" s="20">
        <v>312.0</v>
      </c>
      <c r="D516" s="20" t="s">
        <v>38</v>
      </c>
      <c r="E516" s="20" t="s">
        <v>75</v>
      </c>
      <c r="F516" s="27"/>
    </row>
    <row r="517">
      <c r="A517" s="26">
        <v>44619.57426574074</v>
      </c>
      <c r="B517" s="20" t="s">
        <v>224</v>
      </c>
      <c r="C517" s="20">
        <v>775.0</v>
      </c>
      <c r="D517" s="20" t="s">
        <v>36</v>
      </c>
      <c r="E517" s="20" t="s">
        <v>101</v>
      </c>
      <c r="F517" s="27"/>
    </row>
    <row r="518">
      <c r="A518" s="26">
        <v>44619.57482202546</v>
      </c>
      <c r="B518" s="20" t="s">
        <v>224</v>
      </c>
      <c r="C518" s="20">
        <v>240.0</v>
      </c>
      <c r="D518" s="20" t="s">
        <v>40</v>
      </c>
      <c r="E518" s="20" t="s">
        <v>101</v>
      </c>
      <c r="F518" s="27"/>
    </row>
    <row r="519">
      <c r="A519" s="26">
        <v>44619.575413321756</v>
      </c>
      <c r="B519" s="20" t="s">
        <v>203</v>
      </c>
      <c r="C519" s="20">
        <v>395.0</v>
      </c>
      <c r="D519" s="20" t="s">
        <v>47</v>
      </c>
      <c r="E519" s="20" t="s">
        <v>101</v>
      </c>
      <c r="F519" s="27"/>
    </row>
    <row r="520">
      <c r="A520" s="26">
        <v>44619.576528935184</v>
      </c>
      <c r="B520" s="20" t="s">
        <v>224</v>
      </c>
      <c r="C520" s="20">
        <v>2220.0</v>
      </c>
      <c r="D520" s="20" t="s">
        <v>206</v>
      </c>
      <c r="E520" s="20" t="s">
        <v>101</v>
      </c>
      <c r="F520" s="27"/>
    </row>
    <row r="521">
      <c r="A521" s="26">
        <v>44619.57684179398</v>
      </c>
      <c r="B521" s="20" t="s">
        <v>225</v>
      </c>
      <c r="C521" s="20">
        <v>700.0</v>
      </c>
      <c r="D521" s="20" t="s">
        <v>64</v>
      </c>
      <c r="E521" s="20" t="s">
        <v>50</v>
      </c>
      <c r="F521" s="27"/>
    </row>
    <row r="522">
      <c r="A522" s="26">
        <v>44619.57727515046</v>
      </c>
      <c r="B522" s="20" t="s">
        <v>203</v>
      </c>
      <c r="C522" s="20">
        <v>464.0</v>
      </c>
      <c r="D522" s="20" t="s">
        <v>226</v>
      </c>
      <c r="E522" s="20" t="s">
        <v>50</v>
      </c>
      <c r="F522" s="27"/>
    </row>
    <row r="523">
      <c r="A523" s="26">
        <v>44619.58811331019</v>
      </c>
      <c r="B523" s="20" t="s">
        <v>49</v>
      </c>
      <c r="C523" s="20">
        <v>545.0</v>
      </c>
      <c r="D523" s="20" t="s">
        <v>118</v>
      </c>
      <c r="E523" s="20" t="s">
        <v>143</v>
      </c>
      <c r="F523" s="27"/>
    </row>
    <row r="524">
      <c r="A524" s="26">
        <v>44619.588691261575</v>
      </c>
      <c r="B524" s="20" t="s">
        <v>49</v>
      </c>
      <c r="C524" s="20">
        <v>560.0</v>
      </c>
      <c r="D524" s="20" t="s">
        <v>47</v>
      </c>
      <c r="E524" s="20" t="s">
        <v>143</v>
      </c>
      <c r="F524" s="27"/>
    </row>
    <row r="525">
      <c r="A525" s="26">
        <v>44619.58905954861</v>
      </c>
      <c r="B525" s="20" t="s">
        <v>49</v>
      </c>
      <c r="C525" s="20">
        <v>95.0</v>
      </c>
      <c r="D525" s="20" t="s">
        <v>227</v>
      </c>
      <c r="E525" s="20" t="s">
        <v>143</v>
      </c>
      <c r="F525" s="27"/>
    </row>
    <row r="526">
      <c r="A526" s="26">
        <v>44619.59026519676</v>
      </c>
      <c r="B526" s="20" t="s">
        <v>49</v>
      </c>
      <c r="C526" s="20">
        <v>103.0</v>
      </c>
      <c r="D526" s="20" t="s">
        <v>228</v>
      </c>
      <c r="E526" s="20" t="s">
        <v>143</v>
      </c>
      <c r="F526" s="27"/>
    </row>
    <row r="527">
      <c r="A527" s="26">
        <v>44619.717174432866</v>
      </c>
      <c r="B527" s="20" t="s">
        <v>63</v>
      </c>
      <c r="C527" s="20">
        <v>4.0</v>
      </c>
      <c r="D527" s="20" t="s">
        <v>64</v>
      </c>
      <c r="E527" s="20" t="s">
        <v>63</v>
      </c>
      <c r="F527" s="27"/>
    </row>
    <row r="528">
      <c r="A528" s="26">
        <v>44619.71974994213</v>
      </c>
      <c r="B528" s="20" t="s">
        <v>149</v>
      </c>
      <c r="C528" s="20">
        <v>13.0</v>
      </c>
      <c r="D528" s="20" t="s">
        <v>64</v>
      </c>
      <c r="E528" s="20" t="s">
        <v>63</v>
      </c>
      <c r="F528" s="27"/>
    </row>
    <row r="529">
      <c r="A529" s="26">
        <v>44620.8271015162</v>
      </c>
      <c r="B529" s="20" t="s">
        <v>49</v>
      </c>
      <c r="C529" s="20">
        <v>1544.0</v>
      </c>
      <c r="D529" s="20" t="s">
        <v>47</v>
      </c>
      <c r="E529" s="20" t="s">
        <v>46</v>
      </c>
      <c r="F529" s="20">
        <v>265825.2</v>
      </c>
    </row>
    <row r="530">
      <c r="A530" s="26">
        <v>44622.73002585648</v>
      </c>
      <c r="B530" s="20" t="s">
        <v>153</v>
      </c>
      <c r="C530" s="20">
        <v>26.0</v>
      </c>
      <c r="D530" s="20" t="s">
        <v>64</v>
      </c>
      <c r="E530" s="20" t="s">
        <v>123</v>
      </c>
      <c r="F530" s="27"/>
    </row>
    <row r="531">
      <c r="A531" s="26">
        <v>44623.551638495366</v>
      </c>
      <c r="B531" s="20" t="s">
        <v>67</v>
      </c>
      <c r="C531" s="20">
        <v>370.0</v>
      </c>
      <c r="D531" s="20" t="s">
        <v>95</v>
      </c>
      <c r="E531" s="20" t="s">
        <v>229</v>
      </c>
      <c r="F531" s="27"/>
    </row>
    <row r="532">
      <c r="A532" s="26">
        <v>44623.55245236111</v>
      </c>
      <c r="B532" s="20" t="s">
        <v>67</v>
      </c>
      <c r="C532" s="20">
        <v>1026.0</v>
      </c>
      <c r="D532" s="20" t="s">
        <v>40</v>
      </c>
      <c r="E532" s="20" t="s">
        <v>229</v>
      </c>
      <c r="F532" s="27"/>
    </row>
    <row r="533">
      <c r="A533" s="26">
        <v>44623.55287539352</v>
      </c>
      <c r="B533" s="20" t="s">
        <v>67</v>
      </c>
      <c r="C533" s="20">
        <v>1041.0</v>
      </c>
      <c r="D533" s="20" t="s">
        <v>47</v>
      </c>
      <c r="E533" s="20" t="s">
        <v>230</v>
      </c>
      <c r="F533" s="27"/>
    </row>
    <row r="534">
      <c r="A534" s="26">
        <v>44623.55331236111</v>
      </c>
      <c r="B534" s="20" t="s">
        <v>67</v>
      </c>
      <c r="C534" s="20">
        <v>1933.0</v>
      </c>
      <c r="D534" s="20" t="s">
        <v>53</v>
      </c>
      <c r="E534" s="20" t="s">
        <v>230</v>
      </c>
      <c r="F534" s="27"/>
    </row>
    <row r="535">
      <c r="A535" s="26">
        <v>44623.55392677084</v>
      </c>
      <c r="B535" s="20" t="s">
        <v>67</v>
      </c>
      <c r="C535" s="20">
        <v>488.0</v>
      </c>
      <c r="D535" s="20" t="s">
        <v>47</v>
      </c>
      <c r="E535" s="20" t="s">
        <v>230</v>
      </c>
      <c r="F535" s="27"/>
    </row>
    <row r="536">
      <c r="A536" s="26">
        <v>44623.55453079861</v>
      </c>
      <c r="B536" s="20" t="s">
        <v>67</v>
      </c>
      <c r="C536" s="20">
        <v>372.0</v>
      </c>
      <c r="D536" s="20" t="s">
        <v>47</v>
      </c>
      <c r="E536" s="20" t="s">
        <v>46</v>
      </c>
      <c r="F536" s="27"/>
    </row>
    <row r="537">
      <c r="A537" s="26">
        <v>44623.5550061574</v>
      </c>
      <c r="B537" s="20" t="s">
        <v>67</v>
      </c>
      <c r="C537" s="20">
        <v>2031.0</v>
      </c>
      <c r="D537" s="20" t="s">
        <v>87</v>
      </c>
      <c r="E537" s="20" t="s">
        <v>46</v>
      </c>
      <c r="F537" s="27"/>
    </row>
    <row r="538">
      <c r="A538" s="26">
        <v>44623.55537928241</v>
      </c>
      <c r="B538" s="20" t="s">
        <v>67</v>
      </c>
      <c r="C538" s="20">
        <v>626.0</v>
      </c>
      <c r="D538" s="20" t="s">
        <v>47</v>
      </c>
      <c r="E538" s="20" t="s">
        <v>46</v>
      </c>
      <c r="F538" s="27"/>
    </row>
    <row r="539">
      <c r="A539" s="26">
        <v>44623.55564756945</v>
      </c>
      <c r="B539" s="20" t="s">
        <v>67</v>
      </c>
      <c r="C539" s="20">
        <v>1412.0</v>
      </c>
      <c r="D539" s="20" t="s">
        <v>47</v>
      </c>
      <c r="E539" s="20" t="s">
        <v>46</v>
      </c>
      <c r="F539" s="27"/>
    </row>
    <row r="540">
      <c r="A540" s="26">
        <v>44623.57784237269</v>
      </c>
      <c r="B540" s="20" t="s">
        <v>84</v>
      </c>
      <c r="C540" s="20" t="s">
        <v>202</v>
      </c>
      <c r="D540" s="20" t="s">
        <v>231</v>
      </c>
      <c r="E540" s="20" t="s">
        <v>86</v>
      </c>
      <c r="F540" s="27"/>
    </row>
    <row r="541">
      <c r="A541" s="26">
        <v>44623.5835624537</v>
      </c>
      <c r="B541" s="20" t="s">
        <v>163</v>
      </c>
      <c r="C541" s="20">
        <v>310.0</v>
      </c>
      <c r="D541" s="20" t="s">
        <v>95</v>
      </c>
      <c r="E541" s="20" t="s">
        <v>216</v>
      </c>
      <c r="F541" s="27"/>
    </row>
    <row r="542">
      <c r="A542" s="26">
        <v>44623.58426618055</v>
      </c>
      <c r="B542" s="20" t="s">
        <v>163</v>
      </c>
      <c r="C542" s="20">
        <v>1522.0</v>
      </c>
      <c r="D542" s="20" t="s">
        <v>53</v>
      </c>
      <c r="E542" s="20" t="s">
        <v>216</v>
      </c>
      <c r="F542" s="27"/>
    </row>
    <row r="543">
      <c r="A543" s="26">
        <v>44623.60177003472</v>
      </c>
      <c r="B543" s="20" t="s">
        <v>163</v>
      </c>
      <c r="C543" s="20">
        <v>305.0</v>
      </c>
      <c r="D543" s="20" t="s">
        <v>47</v>
      </c>
      <c r="E543" s="20" t="s">
        <v>216</v>
      </c>
      <c r="F543" s="27"/>
    </row>
    <row r="544">
      <c r="A544" s="26">
        <v>44623.61651760417</v>
      </c>
      <c r="B544" s="20" t="s">
        <v>163</v>
      </c>
      <c r="C544" s="20">
        <v>569.0</v>
      </c>
      <c r="D544" s="20" t="s">
        <v>232</v>
      </c>
      <c r="E544" s="20" t="s">
        <v>216</v>
      </c>
      <c r="F544" s="27"/>
    </row>
    <row r="545">
      <c r="A545" s="26">
        <v>44624.619433472224</v>
      </c>
      <c r="B545" s="20" t="s">
        <v>214</v>
      </c>
      <c r="C545" s="20">
        <v>1072.0</v>
      </c>
      <c r="D545" s="20" t="s">
        <v>95</v>
      </c>
      <c r="E545" s="20" t="s">
        <v>46</v>
      </c>
      <c r="F545" s="27"/>
    </row>
    <row r="546">
      <c r="A546" s="26">
        <v>44624.61994319444</v>
      </c>
      <c r="B546" s="20" t="s">
        <v>214</v>
      </c>
      <c r="C546" s="20">
        <v>2375.0</v>
      </c>
      <c r="D546" s="20" t="s">
        <v>36</v>
      </c>
      <c r="E546" s="20" t="s">
        <v>46</v>
      </c>
      <c r="F546" s="27"/>
    </row>
    <row r="547">
      <c r="A547" s="26">
        <v>44624.6203322338</v>
      </c>
      <c r="B547" s="20" t="s">
        <v>214</v>
      </c>
      <c r="C547" s="20">
        <v>3413.0</v>
      </c>
      <c r="D547" s="20" t="s">
        <v>53</v>
      </c>
      <c r="E547" s="20" t="s">
        <v>46</v>
      </c>
      <c r="F547" s="27"/>
    </row>
    <row r="548">
      <c r="A548" s="26">
        <v>44624.620804583334</v>
      </c>
      <c r="B548" s="20" t="s">
        <v>214</v>
      </c>
      <c r="C548" s="20">
        <v>300.0</v>
      </c>
      <c r="D548" s="20" t="s">
        <v>40</v>
      </c>
      <c r="E548" s="20" t="s">
        <v>46</v>
      </c>
      <c r="F548" s="27"/>
    </row>
    <row r="549">
      <c r="A549" s="26">
        <v>44624.621401944445</v>
      </c>
      <c r="B549" s="20" t="s">
        <v>214</v>
      </c>
      <c r="C549" s="20">
        <v>409.0</v>
      </c>
      <c r="D549" s="20" t="s">
        <v>47</v>
      </c>
      <c r="E549" s="20" t="s">
        <v>46</v>
      </c>
      <c r="F549" s="27"/>
    </row>
    <row r="550">
      <c r="A550" s="26">
        <v>44624.62246967593</v>
      </c>
      <c r="B550" s="20" t="s">
        <v>214</v>
      </c>
      <c r="C550" s="20">
        <v>2135.0</v>
      </c>
      <c r="D550" s="20" t="s">
        <v>115</v>
      </c>
      <c r="E550" s="20" t="s">
        <v>96</v>
      </c>
      <c r="F550" s="27"/>
    </row>
    <row r="551">
      <c r="A551" s="26">
        <v>44624.64088719907</v>
      </c>
      <c r="B551" s="20" t="s">
        <v>214</v>
      </c>
      <c r="C551" s="20">
        <v>950.0</v>
      </c>
      <c r="D551" s="20" t="s">
        <v>38</v>
      </c>
      <c r="E551" s="20" t="s">
        <v>96</v>
      </c>
      <c r="F551" s="27"/>
    </row>
    <row r="552">
      <c r="A552" s="26">
        <v>44624.64133896991</v>
      </c>
      <c r="B552" s="20" t="s">
        <v>214</v>
      </c>
      <c r="C552" s="20">
        <v>1035.0</v>
      </c>
      <c r="D552" s="20" t="s">
        <v>47</v>
      </c>
      <c r="E552" s="20" t="s">
        <v>96</v>
      </c>
      <c r="F552" s="27"/>
    </row>
    <row r="553">
      <c r="A553" s="26">
        <v>44624.654127546295</v>
      </c>
      <c r="B553" s="20" t="s">
        <v>49</v>
      </c>
      <c r="C553" s="20">
        <v>875.0</v>
      </c>
      <c r="D553" s="20" t="s">
        <v>53</v>
      </c>
      <c r="E553" s="20" t="s">
        <v>96</v>
      </c>
      <c r="F553" s="27"/>
    </row>
    <row r="554">
      <c r="A554" s="26">
        <v>44624.69311841435</v>
      </c>
      <c r="B554" s="20" t="s">
        <v>233</v>
      </c>
      <c r="C554" s="20">
        <v>115.0</v>
      </c>
      <c r="D554" s="20" t="s">
        <v>64</v>
      </c>
      <c r="E554" s="20" t="s">
        <v>234</v>
      </c>
      <c r="F554" s="27"/>
    </row>
    <row r="555">
      <c r="A555" s="26">
        <v>44625.49173734954</v>
      </c>
      <c r="B555" s="20" t="s">
        <v>235</v>
      </c>
      <c r="C555" s="20">
        <v>19.0</v>
      </c>
      <c r="D555" s="20" t="s">
        <v>235</v>
      </c>
      <c r="E555" s="20" t="s">
        <v>236</v>
      </c>
      <c r="F555" s="27"/>
    </row>
    <row r="556">
      <c r="A556" s="26">
        <v>44625.52592270833</v>
      </c>
      <c r="B556" s="20" t="s">
        <v>49</v>
      </c>
      <c r="C556" s="20">
        <v>1735.0</v>
      </c>
      <c r="D556" s="20" t="s">
        <v>53</v>
      </c>
      <c r="E556" s="20" t="s">
        <v>75</v>
      </c>
      <c r="F556" s="27"/>
    </row>
    <row r="557">
      <c r="A557" s="26">
        <v>44625.52632766204</v>
      </c>
      <c r="B557" s="20" t="s">
        <v>49</v>
      </c>
      <c r="C557" s="20">
        <v>2116.0</v>
      </c>
      <c r="D557" s="20" t="s">
        <v>53</v>
      </c>
      <c r="E557" s="20" t="s">
        <v>75</v>
      </c>
      <c r="F557" s="27"/>
    </row>
    <row r="558">
      <c r="A558" s="26">
        <v>44625.5267540162</v>
      </c>
      <c r="B558" s="20" t="s">
        <v>49</v>
      </c>
      <c r="C558" s="20">
        <v>1465.0</v>
      </c>
      <c r="D558" s="20" t="s">
        <v>115</v>
      </c>
      <c r="E558" s="20" t="s">
        <v>75</v>
      </c>
      <c r="F558" s="27"/>
    </row>
    <row r="559">
      <c r="A559" s="26">
        <v>44625.52711729167</v>
      </c>
      <c r="B559" s="20" t="s">
        <v>49</v>
      </c>
      <c r="C559" s="20">
        <v>1500.0</v>
      </c>
      <c r="D559" s="20" t="s">
        <v>115</v>
      </c>
      <c r="E559" s="20" t="s">
        <v>75</v>
      </c>
      <c r="F559" s="27"/>
    </row>
    <row r="560">
      <c r="A560" s="26">
        <v>44625.52772</v>
      </c>
      <c r="B560" s="20" t="s">
        <v>49</v>
      </c>
      <c r="C560" s="20">
        <v>1116.0</v>
      </c>
      <c r="D560" s="20" t="s">
        <v>125</v>
      </c>
      <c r="E560" s="20" t="s">
        <v>75</v>
      </c>
      <c r="F560" s="27"/>
    </row>
    <row r="561">
      <c r="A561" s="26">
        <v>44625.52798384259</v>
      </c>
      <c r="B561" s="20" t="s">
        <v>49</v>
      </c>
      <c r="C561" s="20">
        <v>314.0</v>
      </c>
      <c r="D561" s="20" t="s">
        <v>73</v>
      </c>
      <c r="E561" s="20" t="s">
        <v>75</v>
      </c>
      <c r="F561" s="27"/>
    </row>
    <row r="562">
      <c r="A562" s="26">
        <v>44625.536940000005</v>
      </c>
      <c r="B562" s="20" t="s">
        <v>49</v>
      </c>
      <c r="C562" s="20">
        <v>1380.0</v>
      </c>
      <c r="D562" s="20" t="s">
        <v>38</v>
      </c>
      <c r="E562" s="20" t="s">
        <v>75</v>
      </c>
      <c r="F562" s="27"/>
    </row>
    <row r="563">
      <c r="A563" s="26">
        <v>44625.53814046296</v>
      </c>
      <c r="B563" s="20" t="s">
        <v>49</v>
      </c>
      <c r="C563" s="20">
        <v>700.0</v>
      </c>
      <c r="D563" s="20" t="s">
        <v>40</v>
      </c>
      <c r="E563" s="20" t="s">
        <v>75</v>
      </c>
      <c r="F563" s="27"/>
    </row>
    <row r="564">
      <c r="A564" s="26">
        <v>44625.539318043986</v>
      </c>
      <c r="B564" s="20" t="s">
        <v>49</v>
      </c>
      <c r="C564" s="20">
        <v>311.0</v>
      </c>
      <c r="D564" s="20" t="s">
        <v>73</v>
      </c>
      <c r="E564" s="20" t="s">
        <v>139</v>
      </c>
      <c r="F564" s="27"/>
    </row>
    <row r="565">
      <c r="A565" s="26">
        <v>44625.540077928235</v>
      </c>
      <c r="B565" s="20" t="s">
        <v>49</v>
      </c>
      <c r="C565" s="20">
        <v>1336.0</v>
      </c>
      <c r="D565" s="20" t="s">
        <v>53</v>
      </c>
      <c r="E565" s="20" t="s">
        <v>139</v>
      </c>
      <c r="F565" s="27"/>
    </row>
    <row r="566">
      <c r="A566" s="26">
        <v>44625.541700393514</v>
      </c>
      <c r="B566" s="20" t="s">
        <v>49</v>
      </c>
      <c r="C566" s="20">
        <v>19.0</v>
      </c>
      <c r="D566" s="20" t="s">
        <v>64</v>
      </c>
      <c r="E566" s="20" t="s">
        <v>237</v>
      </c>
      <c r="F566" s="27"/>
    </row>
    <row r="567">
      <c r="A567" s="26">
        <v>44625.54345694445</v>
      </c>
      <c r="B567" s="20" t="s">
        <v>49</v>
      </c>
      <c r="C567" s="20">
        <v>1217.0</v>
      </c>
      <c r="D567" s="20" t="s">
        <v>36</v>
      </c>
      <c r="E567" s="20" t="s">
        <v>75</v>
      </c>
      <c r="F567" s="27"/>
    </row>
    <row r="568">
      <c r="A568" s="26">
        <v>44625.54698921296</v>
      </c>
      <c r="B568" s="20" t="s">
        <v>49</v>
      </c>
      <c r="C568" s="20">
        <v>125.0</v>
      </c>
      <c r="D568" s="20" t="s">
        <v>73</v>
      </c>
      <c r="E568" s="20" t="s">
        <v>75</v>
      </c>
      <c r="F568" s="27"/>
    </row>
    <row r="569">
      <c r="A569" s="26">
        <v>44625.552548321764</v>
      </c>
      <c r="B569" s="20" t="s">
        <v>49</v>
      </c>
      <c r="C569" s="20">
        <v>643.0</v>
      </c>
      <c r="D569" s="20" t="s">
        <v>47</v>
      </c>
      <c r="E569" s="20" t="s">
        <v>237</v>
      </c>
      <c r="F569" s="27"/>
    </row>
    <row r="570">
      <c r="A570" s="26">
        <v>44625.55362319444</v>
      </c>
      <c r="B570" s="20" t="s">
        <v>49</v>
      </c>
      <c r="C570" s="20">
        <v>244.0</v>
      </c>
      <c r="D570" s="20" t="s">
        <v>40</v>
      </c>
      <c r="E570" s="20" t="s">
        <v>219</v>
      </c>
      <c r="F570" s="27"/>
    </row>
    <row r="571">
      <c r="A571" s="26">
        <v>44625.56225256945</v>
      </c>
      <c r="B571" s="20" t="s">
        <v>49</v>
      </c>
      <c r="C571" s="20">
        <v>2247.0</v>
      </c>
      <c r="D571" s="20" t="s">
        <v>53</v>
      </c>
      <c r="E571" s="20" t="s">
        <v>75</v>
      </c>
      <c r="F571" s="27"/>
    </row>
    <row r="572">
      <c r="A572" s="26">
        <v>44625.59543392361</v>
      </c>
      <c r="B572" s="20" t="s">
        <v>49</v>
      </c>
      <c r="C572" s="20">
        <v>703.0</v>
      </c>
      <c r="D572" s="20" t="s">
        <v>40</v>
      </c>
      <c r="E572" s="20" t="s">
        <v>75</v>
      </c>
      <c r="F572" s="27"/>
    </row>
    <row r="573">
      <c r="A573" s="26">
        <v>44625.595852812505</v>
      </c>
      <c r="B573" s="20" t="s">
        <v>49</v>
      </c>
      <c r="C573" s="20">
        <v>710.0</v>
      </c>
      <c r="D573" s="20" t="s">
        <v>40</v>
      </c>
      <c r="E573" s="20" t="s">
        <v>75</v>
      </c>
      <c r="F573" s="27"/>
    </row>
    <row r="574">
      <c r="A574" s="26">
        <v>44625.596278032404</v>
      </c>
      <c r="B574" s="20" t="s">
        <v>49</v>
      </c>
      <c r="C574" s="20">
        <v>710.0</v>
      </c>
      <c r="D574" s="20" t="s">
        <v>40</v>
      </c>
      <c r="E574" s="20" t="s">
        <v>75</v>
      </c>
      <c r="F574" s="27"/>
    </row>
    <row r="575">
      <c r="A575" s="26">
        <v>44625.59651675926</v>
      </c>
      <c r="B575" s="20" t="s">
        <v>49</v>
      </c>
      <c r="C575" s="20">
        <v>764.0</v>
      </c>
      <c r="D575" s="20" t="s">
        <v>40</v>
      </c>
      <c r="E575" s="20" t="s">
        <v>75</v>
      </c>
      <c r="F575" s="27"/>
    </row>
    <row r="576">
      <c r="A576" s="26">
        <v>44625.597045</v>
      </c>
      <c r="B576" s="20" t="s">
        <v>49</v>
      </c>
      <c r="C576" s="20">
        <v>704.0</v>
      </c>
      <c r="D576" s="20" t="s">
        <v>40</v>
      </c>
      <c r="E576" s="20" t="s">
        <v>75</v>
      </c>
      <c r="F576" s="27"/>
    </row>
    <row r="577">
      <c r="A577" s="26">
        <v>44625.59751386574</v>
      </c>
      <c r="B577" s="20" t="s">
        <v>49</v>
      </c>
      <c r="C577" s="20">
        <v>790.0</v>
      </c>
      <c r="D577" s="20" t="s">
        <v>40</v>
      </c>
      <c r="E577" s="20" t="s">
        <v>75</v>
      </c>
      <c r="F577" s="27"/>
    </row>
    <row r="578">
      <c r="A578" s="26">
        <v>44625.702541203704</v>
      </c>
      <c r="B578" s="20" t="s">
        <v>55</v>
      </c>
      <c r="C578" s="20">
        <v>519.0</v>
      </c>
      <c r="D578" s="20" t="s">
        <v>36</v>
      </c>
      <c r="E578" s="20" t="s">
        <v>75</v>
      </c>
      <c r="F578" s="27"/>
    </row>
    <row r="579">
      <c r="A579" s="26">
        <v>44625.70291111111</v>
      </c>
      <c r="B579" s="20" t="s">
        <v>55</v>
      </c>
      <c r="C579" s="20">
        <v>298.0</v>
      </c>
      <c r="D579" s="20" t="s">
        <v>38</v>
      </c>
      <c r="E579" s="20" t="s">
        <v>75</v>
      </c>
      <c r="F579" s="27"/>
    </row>
    <row r="580">
      <c r="A580" s="26">
        <v>44625.70355615741</v>
      </c>
      <c r="B580" s="20" t="s">
        <v>55</v>
      </c>
      <c r="C580" s="20">
        <v>2445.0</v>
      </c>
      <c r="D580" s="20" t="s">
        <v>53</v>
      </c>
      <c r="E580" s="20" t="s">
        <v>75</v>
      </c>
      <c r="F580" s="27"/>
    </row>
    <row r="581">
      <c r="A581" s="26">
        <v>44625.70398554398</v>
      </c>
      <c r="B581" s="20" t="s">
        <v>55</v>
      </c>
      <c r="C581" s="20">
        <v>249.0</v>
      </c>
      <c r="D581" s="20" t="s">
        <v>95</v>
      </c>
      <c r="E581" s="20" t="s">
        <v>75</v>
      </c>
      <c r="F581" s="27"/>
    </row>
    <row r="582">
      <c r="A582" s="26">
        <v>44625.70443049769</v>
      </c>
      <c r="B582" s="20" t="s">
        <v>55</v>
      </c>
      <c r="C582" s="20">
        <v>125.0</v>
      </c>
      <c r="D582" s="20" t="s">
        <v>36</v>
      </c>
      <c r="E582" s="20" t="s">
        <v>75</v>
      </c>
      <c r="F582" s="27"/>
    </row>
    <row r="583">
      <c r="A583" s="26">
        <v>44625.70482770834</v>
      </c>
      <c r="B583" s="20" t="s">
        <v>55</v>
      </c>
      <c r="C583" s="20">
        <v>311.0</v>
      </c>
      <c r="D583" s="20" t="s">
        <v>95</v>
      </c>
      <c r="E583" s="20" t="s">
        <v>75</v>
      </c>
      <c r="F583" s="27"/>
    </row>
    <row r="584">
      <c r="A584" s="26">
        <v>44626.54310439815</v>
      </c>
      <c r="B584" s="20" t="s">
        <v>49</v>
      </c>
      <c r="C584" s="20">
        <v>681.0</v>
      </c>
      <c r="D584" s="20" t="s">
        <v>40</v>
      </c>
      <c r="E584" s="20" t="s">
        <v>100</v>
      </c>
      <c r="F584" s="27"/>
    </row>
    <row r="585">
      <c r="A585" s="26">
        <v>44626.54338636574</v>
      </c>
      <c r="B585" s="20" t="s">
        <v>49</v>
      </c>
      <c r="C585" s="20">
        <v>409.0</v>
      </c>
      <c r="D585" s="20" t="s">
        <v>40</v>
      </c>
      <c r="E585" s="20" t="s">
        <v>100</v>
      </c>
      <c r="F585" s="27"/>
    </row>
    <row r="586">
      <c r="A586" s="26">
        <v>44626.54445944444</v>
      </c>
      <c r="B586" s="20" t="s">
        <v>49</v>
      </c>
      <c r="C586" s="20">
        <v>250.0</v>
      </c>
      <c r="D586" s="20" t="s">
        <v>77</v>
      </c>
      <c r="E586" s="20" t="s">
        <v>143</v>
      </c>
      <c r="F586" s="27"/>
    </row>
    <row r="587">
      <c r="A587" s="26">
        <v>44626.54637486111</v>
      </c>
      <c r="B587" s="20" t="s">
        <v>238</v>
      </c>
      <c r="C587" s="20">
        <v>287.0</v>
      </c>
      <c r="D587" s="20" t="s">
        <v>47</v>
      </c>
      <c r="E587" s="20" t="s">
        <v>37</v>
      </c>
      <c r="F587" s="27"/>
    </row>
    <row r="588">
      <c r="A588" s="26">
        <v>44626.55651054398</v>
      </c>
      <c r="B588" s="20" t="s">
        <v>49</v>
      </c>
      <c r="C588" s="20">
        <v>1127.0</v>
      </c>
      <c r="D588" s="20" t="s">
        <v>36</v>
      </c>
      <c r="E588" s="20" t="s">
        <v>81</v>
      </c>
      <c r="F588" s="27"/>
    </row>
    <row r="589">
      <c r="A589" s="26">
        <v>44626.66728207176</v>
      </c>
      <c r="B589" s="20" t="s">
        <v>63</v>
      </c>
      <c r="C589" s="20">
        <v>150.0</v>
      </c>
      <c r="D589" s="20" t="s">
        <v>239</v>
      </c>
      <c r="E589" s="20" t="s">
        <v>143</v>
      </c>
      <c r="F589" s="27"/>
    </row>
    <row r="590">
      <c r="A590" s="26">
        <v>44626.66848502315</v>
      </c>
      <c r="B590" s="20" t="s">
        <v>63</v>
      </c>
      <c r="C590" s="20">
        <v>767.0</v>
      </c>
      <c r="D590" s="20" t="s">
        <v>240</v>
      </c>
      <c r="E590" s="20" t="s">
        <v>50</v>
      </c>
      <c r="F590" s="27"/>
    </row>
    <row r="591">
      <c r="A591" s="26">
        <v>44626.66898097222</v>
      </c>
      <c r="B591" s="20" t="s">
        <v>63</v>
      </c>
      <c r="C591" s="20">
        <v>50.0</v>
      </c>
      <c r="D591" s="20" t="s">
        <v>64</v>
      </c>
      <c r="E591" s="20" t="s">
        <v>143</v>
      </c>
      <c r="F591" s="27"/>
    </row>
    <row r="592">
      <c r="A592" s="26">
        <v>44626.66936465278</v>
      </c>
      <c r="B592" s="20" t="s">
        <v>63</v>
      </c>
      <c r="C592" s="20">
        <v>363.0</v>
      </c>
      <c r="D592" s="20" t="s">
        <v>47</v>
      </c>
      <c r="E592" s="20" t="s">
        <v>143</v>
      </c>
      <c r="F592" s="27"/>
    </row>
    <row r="593">
      <c r="A593" s="26">
        <v>44626.669845185184</v>
      </c>
      <c r="B593" s="20" t="s">
        <v>149</v>
      </c>
      <c r="C593" s="20">
        <v>1301.0</v>
      </c>
      <c r="D593" s="20" t="s">
        <v>78</v>
      </c>
      <c r="E593" s="20" t="s">
        <v>100</v>
      </c>
      <c r="F593" s="27"/>
    </row>
    <row r="594">
      <c r="A594" s="26">
        <v>44626.69225958333</v>
      </c>
      <c r="B594" s="20" t="s">
        <v>63</v>
      </c>
      <c r="C594" s="20">
        <v>24.0</v>
      </c>
      <c r="D594" s="20" t="s">
        <v>241</v>
      </c>
      <c r="E594" s="20" t="s">
        <v>63</v>
      </c>
      <c r="F594" s="27"/>
    </row>
    <row r="595">
      <c r="A595" s="26">
        <v>44626.71313847222</v>
      </c>
      <c r="B595" s="20" t="s">
        <v>63</v>
      </c>
      <c r="C595" s="20">
        <v>10.0</v>
      </c>
      <c r="D595" s="20" t="s">
        <v>64</v>
      </c>
      <c r="E595" s="20" t="s">
        <v>63</v>
      </c>
      <c r="F595" s="27"/>
    </row>
    <row r="596">
      <c r="A596" s="26">
        <v>44626.713546342595</v>
      </c>
      <c r="B596" s="20" t="s">
        <v>149</v>
      </c>
      <c r="C596" s="20">
        <v>21.0</v>
      </c>
      <c r="D596" s="20" t="s">
        <v>64</v>
      </c>
      <c r="E596" s="20" t="s">
        <v>63</v>
      </c>
      <c r="F596" s="27"/>
    </row>
    <row r="597">
      <c r="A597" s="26">
        <v>44626.71454108796</v>
      </c>
      <c r="B597" s="20" t="s">
        <v>49</v>
      </c>
      <c r="C597" s="20">
        <v>8.0</v>
      </c>
      <c r="D597" s="20" t="s">
        <v>64</v>
      </c>
      <c r="E597" s="20" t="s">
        <v>63</v>
      </c>
      <c r="F597" s="27"/>
    </row>
    <row r="598">
      <c r="A598" s="26">
        <v>44629.72358333333</v>
      </c>
      <c r="B598" s="20" t="s">
        <v>242</v>
      </c>
      <c r="C598" s="20">
        <v>31.0</v>
      </c>
      <c r="D598" s="20" t="s">
        <v>40</v>
      </c>
      <c r="E598" s="20" t="s">
        <v>242</v>
      </c>
      <c r="F598" s="27"/>
    </row>
    <row r="599">
      <c r="A599" s="26">
        <v>44629.72419090278</v>
      </c>
      <c r="B599" s="20" t="s">
        <v>153</v>
      </c>
      <c r="C599" s="20">
        <v>72.0</v>
      </c>
      <c r="D599" s="20" t="s">
        <v>64</v>
      </c>
      <c r="E599" s="20" t="s">
        <v>243</v>
      </c>
      <c r="F599" s="27"/>
    </row>
    <row r="600">
      <c r="A600" s="26">
        <v>44630.56612682871</v>
      </c>
      <c r="B600" s="20" t="s">
        <v>163</v>
      </c>
      <c r="C600" s="20">
        <v>166.0</v>
      </c>
      <c r="D600" s="20" t="s">
        <v>95</v>
      </c>
      <c r="E600" s="20" t="s">
        <v>216</v>
      </c>
      <c r="F600" s="27"/>
    </row>
    <row r="601">
      <c r="A601" s="26">
        <v>44630.56697359953</v>
      </c>
      <c r="B601" s="20" t="s">
        <v>163</v>
      </c>
      <c r="C601" s="20">
        <v>297.0</v>
      </c>
      <c r="D601" s="20" t="s">
        <v>64</v>
      </c>
      <c r="E601" s="20" t="s">
        <v>159</v>
      </c>
      <c r="F601" s="27"/>
    </row>
    <row r="602">
      <c r="A602" s="26">
        <v>44630.57753009259</v>
      </c>
      <c r="B602" s="20" t="s">
        <v>163</v>
      </c>
      <c r="C602" s="20">
        <v>161.0</v>
      </c>
      <c r="D602" s="20" t="s">
        <v>40</v>
      </c>
      <c r="E602" s="20" t="s">
        <v>216</v>
      </c>
      <c r="F602" s="27"/>
    </row>
    <row r="603">
      <c r="A603" s="26">
        <v>44630.60224865741</v>
      </c>
      <c r="B603" s="20" t="s">
        <v>163</v>
      </c>
      <c r="C603" s="20">
        <v>453.0</v>
      </c>
      <c r="D603" s="20" t="s">
        <v>40</v>
      </c>
      <c r="E603" s="20" t="s">
        <v>216</v>
      </c>
      <c r="F603" s="27"/>
    </row>
    <row r="604">
      <c r="A604" s="26">
        <v>44630.60801091435</v>
      </c>
      <c r="B604" s="20" t="s">
        <v>163</v>
      </c>
      <c r="C604" s="20">
        <v>712.0</v>
      </c>
      <c r="D604" s="20" t="s">
        <v>38</v>
      </c>
      <c r="E604" s="20" t="s">
        <v>216</v>
      </c>
      <c r="F604" s="27"/>
    </row>
    <row r="605">
      <c r="A605" s="26">
        <v>44630.60886194445</v>
      </c>
      <c r="B605" s="20" t="s">
        <v>163</v>
      </c>
      <c r="C605" s="20">
        <v>453.0</v>
      </c>
      <c r="D605" s="20" t="s">
        <v>40</v>
      </c>
      <c r="E605" s="20" t="s">
        <v>216</v>
      </c>
      <c r="F605" s="27"/>
    </row>
    <row r="606">
      <c r="A606" s="26">
        <v>44630.82602378472</v>
      </c>
      <c r="B606" s="20" t="s">
        <v>167</v>
      </c>
      <c r="C606" s="20">
        <v>625.0</v>
      </c>
      <c r="D606" s="20" t="s">
        <v>36</v>
      </c>
      <c r="E606" s="20" t="s">
        <v>168</v>
      </c>
      <c r="F606" s="27"/>
    </row>
    <row r="607">
      <c r="A607" s="26">
        <v>44630.86122219908</v>
      </c>
      <c r="B607" s="20" t="s">
        <v>63</v>
      </c>
      <c r="C607" s="20">
        <v>104.0</v>
      </c>
      <c r="D607" s="20" t="s">
        <v>64</v>
      </c>
      <c r="E607" s="20" t="s">
        <v>63</v>
      </c>
      <c r="F607" s="27"/>
    </row>
    <row r="608">
      <c r="A608" s="26">
        <v>44631.55535498842</v>
      </c>
      <c r="B608" s="20" t="s">
        <v>163</v>
      </c>
      <c r="C608" s="20">
        <v>363.0</v>
      </c>
      <c r="D608" s="20" t="s">
        <v>64</v>
      </c>
      <c r="E608" s="20" t="s">
        <v>244</v>
      </c>
      <c r="F608" s="27"/>
    </row>
    <row r="609">
      <c r="A609" s="26">
        <v>44631.556162824076</v>
      </c>
      <c r="B609" s="20" t="s">
        <v>163</v>
      </c>
      <c r="C609" s="20">
        <v>1277.0</v>
      </c>
      <c r="D609" s="20" t="s">
        <v>93</v>
      </c>
      <c r="E609" s="20" t="s">
        <v>244</v>
      </c>
      <c r="F609" s="27"/>
    </row>
    <row r="610">
      <c r="A610" s="26">
        <v>44631.56253925926</v>
      </c>
      <c r="B610" s="20" t="s">
        <v>163</v>
      </c>
      <c r="C610" s="20">
        <v>635.0</v>
      </c>
      <c r="D610" s="20" t="s">
        <v>47</v>
      </c>
      <c r="E610" s="20" t="s">
        <v>245</v>
      </c>
      <c r="F610" s="27"/>
    </row>
    <row r="611">
      <c r="A611" s="26">
        <v>44631.56732376157</v>
      </c>
      <c r="B611" s="20" t="s">
        <v>163</v>
      </c>
      <c r="C611" s="20">
        <v>970.0</v>
      </c>
      <c r="D611" s="20" t="s">
        <v>47</v>
      </c>
      <c r="E611" s="20" t="s">
        <v>171</v>
      </c>
      <c r="F611" s="27"/>
    </row>
    <row r="612">
      <c r="A612" s="26">
        <v>44631.57539817129</v>
      </c>
      <c r="B612" s="20" t="s">
        <v>163</v>
      </c>
      <c r="C612" s="20">
        <v>858.0</v>
      </c>
      <c r="D612" s="20" t="s">
        <v>47</v>
      </c>
      <c r="E612" s="20" t="s">
        <v>96</v>
      </c>
      <c r="F612" s="27"/>
    </row>
    <row r="613">
      <c r="A613" s="26">
        <v>44631.6918365625</v>
      </c>
      <c r="B613" s="20" t="s">
        <v>233</v>
      </c>
      <c r="C613" s="20">
        <v>142.0</v>
      </c>
      <c r="D613" s="20" t="s">
        <v>64</v>
      </c>
      <c r="E613" s="20" t="s">
        <v>234</v>
      </c>
      <c r="F613" s="27"/>
    </row>
    <row r="614">
      <c r="A614" s="26">
        <v>44632.48434630787</v>
      </c>
      <c r="B614" s="20" t="s">
        <v>55</v>
      </c>
      <c r="C614" s="20">
        <v>829.0</v>
      </c>
      <c r="D614" s="20" t="s">
        <v>40</v>
      </c>
      <c r="E614" s="20" t="s">
        <v>75</v>
      </c>
      <c r="F614" s="27"/>
    </row>
    <row r="615">
      <c r="A615" s="26">
        <v>44632.484971701386</v>
      </c>
      <c r="B615" s="20" t="s">
        <v>55</v>
      </c>
      <c r="C615" s="20">
        <v>818.0</v>
      </c>
      <c r="D615" s="20" t="s">
        <v>40</v>
      </c>
      <c r="E615" s="20" t="s">
        <v>75</v>
      </c>
      <c r="F615" s="27"/>
    </row>
    <row r="616">
      <c r="A616" s="26">
        <v>44632.48518293981</v>
      </c>
      <c r="B616" s="20" t="s">
        <v>55</v>
      </c>
      <c r="C616" s="20">
        <v>819.0</v>
      </c>
      <c r="D616" s="20" t="s">
        <v>40</v>
      </c>
      <c r="E616" s="20" t="s">
        <v>75</v>
      </c>
      <c r="F616" s="27"/>
    </row>
    <row r="617">
      <c r="A617" s="26">
        <v>44632.48535920139</v>
      </c>
      <c r="B617" s="20" t="s">
        <v>55</v>
      </c>
      <c r="C617" s="20">
        <v>820.0</v>
      </c>
      <c r="D617" s="20" t="s">
        <v>40</v>
      </c>
      <c r="E617" s="20" t="s">
        <v>75</v>
      </c>
      <c r="F617" s="27"/>
    </row>
    <row r="618">
      <c r="A618" s="26">
        <v>44632.48574625</v>
      </c>
      <c r="B618" s="20" t="s">
        <v>55</v>
      </c>
      <c r="C618" s="20">
        <v>846.0</v>
      </c>
      <c r="D618" s="20" t="s">
        <v>40</v>
      </c>
      <c r="E618" s="20" t="s">
        <v>75</v>
      </c>
      <c r="F618" s="27"/>
    </row>
    <row r="619">
      <c r="A619" s="26">
        <v>44632.48593013889</v>
      </c>
      <c r="B619" s="20" t="s">
        <v>55</v>
      </c>
      <c r="C619" s="20">
        <v>817.0</v>
      </c>
      <c r="D619" s="20" t="s">
        <v>40</v>
      </c>
      <c r="E619" s="20" t="s">
        <v>75</v>
      </c>
      <c r="F619" s="27"/>
    </row>
    <row r="620">
      <c r="A620" s="26">
        <v>44632.486255358795</v>
      </c>
      <c r="B620" s="20" t="s">
        <v>55</v>
      </c>
      <c r="C620" s="20">
        <v>1502.0</v>
      </c>
      <c r="D620" s="20" t="s">
        <v>53</v>
      </c>
      <c r="E620" s="20" t="s">
        <v>75</v>
      </c>
      <c r="F620" s="27"/>
    </row>
    <row r="621">
      <c r="A621" s="26">
        <v>44632.486524872686</v>
      </c>
      <c r="B621" s="20" t="s">
        <v>55</v>
      </c>
      <c r="C621" s="20">
        <v>1585.0</v>
      </c>
      <c r="D621" s="20" t="s">
        <v>246</v>
      </c>
      <c r="E621" s="20" t="s">
        <v>75</v>
      </c>
      <c r="F621" s="27"/>
    </row>
    <row r="622">
      <c r="A622" s="26">
        <v>44632.48681731481</v>
      </c>
      <c r="B622" s="20" t="s">
        <v>55</v>
      </c>
      <c r="C622" s="20">
        <v>1522.0</v>
      </c>
      <c r="D622" s="20" t="s">
        <v>247</v>
      </c>
      <c r="E622" s="20" t="s">
        <v>75</v>
      </c>
      <c r="F622" s="27"/>
    </row>
    <row r="623">
      <c r="A623" s="26">
        <v>44632.48699636574</v>
      </c>
      <c r="B623" s="20" t="s">
        <v>55</v>
      </c>
      <c r="C623" s="20">
        <v>2311.0</v>
      </c>
      <c r="D623" s="20" t="s">
        <v>53</v>
      </c>
      <c r="E623" s="20" t="s">
        <v>75</v>
      </c>
      <c r="F623" s="27"/>
    </row>
    <row r="624">
      <c r="A624" s="26">
        <v>44632.488878125005</v>
      </c>
      <c r="B624" s="20" t="s">
        <v>55</v>
      </c>
      <c r="C624" s="20">
        <v>418.0</v>
      </c>
      <c r="D624" s="20" t="s">
        <v>64</v>
      </c>
      <c r="E624" s="20" t="s">
        <v>219</v>
      </c>
      <c r="F624" s="27"/>
    </row>
    <row r="625">
      <c r="A625" s="26">
        <v>44632.52083460648</v>
      </c>
      <c r="B625" s="20" t="s">
        <v>248</v>
      </c>
      <c r="C625" s="20">
        <v>908.0</v>
      </c>
      <c r="D625" s="20" t="s">
        <v>36</v>
      </c>
      <c r="E625" s="20" t="s">
        <v>75</v>
      </c>
      <c r="F625" s="27"/>
    </row>
    <row r="626">
      <c r="A626" s="26">
        <v>44632.52188697917</v>
      </c>
      <c r="B626" s="20" t="s">
        <v>249</v>
      </c>
      <c r="C626" s="20">
        <v>1462.0</v>
      </c>
      <c r="D626" s="20" t="s">
        <v>38</v>
      </c>
      <c r="E626" s="20" t="s">
        <v>75</v>
      </c>
      <c r="F626" s="27"/>
    </row>
    <row r="627">
      <c r="A627" s="26">
        <v>44632.523234594904</v>
      </c>
      <c r="B627" s="20" t="s">
        <v>249</v>
      </c>
      <c r="C627" s="20">
        <v>569.0</v>
      </c>
      <c r="D627" s="20" t="s">
        <v>36</v>
      </c>
      <c r="E627" s="20" t="s">
        <v>75</v>
      </c>
      <c r="F627" s="27"/>
    </row>
    <row r="628">
      <c r="A628" s="26">
        <v>44632.526823113425</v>
      </c>
      <c r="B628" s="20" t="s">
        <v>250</v>
      </c>
      <c r="C628" s="20">
        <v>903.0</v>
      </c>
      <c r="D628" s="20" t="s">
        <v>76</v>
      </c>
      <c r="E628" s="20" t="s">
        <v>75</v>
      </c>
      <c r="F628" s="27"/>
    </row>
    <row r="629">
      <c r="A629" s="26">
        <v>44632.52962265046</v>
      </c>
      <c r="B629" s="20" t="s">
        <v>249</v>
      </c>
      <c r="C629" s="20">
        <v>1775.0</v>
      </c>
      <c r="D629" s="20" t="s">
        <v>251</v>
      </c>
      <c r="E629" s="20" t="s">
        <v>75</v>
      </c>
      <c r="F629" s="27"/>
    </row>
    <row r="630">
      <c r="A630" s="26">
        <v>44632.55987006944</v>
      </c>
      <c r="B630" s="20" t="s">
        <v>249</v>
      </c>
      <c r="C630" s="20">
        <v>708.0</v>
      </c>
      <c r="D630" s="20" t="s">
        <v>47</v>
      </c>
      <c r="E630" s="20" t="s">
        <v>75</v>
      </c>
      <c r="F630" s="27"/>
    </row>
    <row r="631">
      <c r="A631" s="26">
        <v>44632.62326409722</v>
      </c>
      <c r="B631" s="20" t="s">
        <v>249</v>
      </c>
      <c r="C631" s="20">
        <v>2144.0</v>
      </c>
      <c r="D631" s="20" t="s">
        <v>53</v>
      </c>
      <c r="E631" s="20" t="s">
        <v>75</v>
      </c>
      <c r="F631" s="27"/>
    </row>
    <row r="632">
      <c r="A632" s="26">
        <v>44632.650546006946</v>
      </c>
      <c r="B632" s="20" t="s">
        <v>249</v>
      </c>
      <c r="C632" s="20">
        <v>1364.0</v>
      </c>
      <c r="D632" s="20" t="s">
        <v>53</v>
      </c>
      <c r="E632" s="20" t="s">
        <v>75</v>
      </c>
      <c r="F632" s="27"/>
    </row>
    <row r="633">
      <c r="A633" s="26">
        <v>44633.612455069444</v>
      </c>
      <c r="B633" s="20" t="s">
        <v>252</v>
      </c>
      <c r="C633" s="20">
        <v>272.0</v>
      </c>
      <c r="D633" s="20" t="s">
        <v>95</v>
      </c>
      <c r="E633" s="20" t="s">
        <v>101</v>
      </c>
      <c r="F633" s="27"/>
    </row>
    <row r="634">
      <c r="A634" s="26">
        <v>44633.61307266203</v>
      </c>
      <c r="B634" s="20" t="s">
        <v>249</v>
      </c>
      <c r="C634" s="20">
        <v>687.0</v>
      </c>
      <c r="D634" s="20" t="s">
        <v>253</v>
      </c>
      <c r="E634" s="20" t="s">
        <v>101</v>
      </c>
      <c r="F634" s="27"/>
    </row>
    <row r="635">
      <c r="A635" s="26">
        <v>44633.61379293981</v>
      </c>
      <c r="B635" s="20" t="s">
        <v>249</v>
      </c>
      <c r="C635" s="20">
        <v>1305.0</v>
      </c>
      <c r="D635" s="20" t="s">
        <v>115</v>
      </c>
      <c r="E635" s="20" t="s">
        <v>101</v>
      </c>
      <c r="F635" s="27"/>
    </row>
    <row r="636">
      <c r="A636" s="26">
        <v>44633.61437791667</v>
      </c>
      <c r="B636" s="20" t="s">
        <v>249</v>
      </c>
      <c r="C636" s="20">
        <v>897.0</v>
      </c>
      <c r="D636" s="20" t="s">
        <v>40</v>
      </c>
      <c r="E636" s="20" t="s">
        <v>101</v>
      </c>
      <c r="F636" s="27"/>
    </row>
    <row r="637">
      <c r="A637" s="26">
        <v>44633.615002743056</v>
      </c>
      <c r="B637" s="20" t="s">
        <v>249</v>
      </c>
      <c r="C637" s="20">
        <v>587.0</v>
      </c>
      <c r="D637" s="20" t="s">
        <v>40</v>
      </c>
      <c r="E637" s="20" t="s">
        <v>101</v>
      </c>
      <c r="F637" s="27"/>
    </row>
    <row r="638">
      <c r="A638" s="26">
        <v>44633.61567636574</v>
      </c>
      <c r="B638" s="20" t="s">
        <v>249</v>
      </c>
      <c r="C638" s="20">
        <v>483.0</v>
      </c>
      <c r="D638" s="20" t="s">
        <v>47</v>
      </c>
      <c r="E638" s="20" t="s">
        <v>101</v>
      </c>
      <c r="F638" s="27"/>
    </row>
    <row r="639">
      <c r="A639" s="26">
        <v>44633.61626599537</v>
      </c>
      <c r="B639" s="20" t="s">
        <v>249</v>
      </c>
      <c r="C639" s="20">
        <v>368.0</v>
      </c>
      <c r="D639" s="20" t="s">
        <v>47</v>
      </c>
      <c r="E639" s="20" t="s">
        <v>101</v>
      </c>
      <c r="F639" s="27"/>
    </row>
    <row r="640">
      <c r="A640" s="26">
        <v>44633.61669304398</v>
      </c>
      <c r="B640" s="20" t="s">
        <v>249</v>
      </c>
      <c r="C640" s="20">
        <v>149.0</v>
      </c>
      <c r="D640" s="20" t="s">
        <v>47</v>
      </c>
      <c r="E640" s="20" t="s">
        <v>50</v>
      </c>
      <c r="F640" s="27"/>
    </row>
    <row r="641">
      <c r="A641" s="26">
        <v>44633.61712394676</v>
      </c>
      <c r="B641" s="20" t="s">
        <v>249</v>
      </c>
      <c r="C641" s="20">
        <v>190.0</v>
      </c>
      <c r="D641" s="20" t="s">
        <v>36</v>
      </c>
      <c r="E641" s="20" t="s">
        <v>143</v>
      </c>
      <c r="F641" s="27"/>
    </row>
    <row r="642">
      <c r="A642" s="26">
        <v>44633.61748450232</v>
      </c>
      <c r="B642" s="20" t="s">
        <v>249</v>
      </c>
      <c r="C642" s="20">
        <v>105.0</v>
      </c>
      <c r="D642" s="20" t="s">
        <v>47</v>
      </c>
      <c r="E642" s="20" t="s">
        <v>143</v>
      </c>
      <c r="F642" s="27"/>
    </row>
    <row r="643">
      <c r="A643" s="26">
        <v>44633.61797605324</v>
      </c>
      <c r="B643" s="20" t="s">
        <v>249</v>
      </c>
      <c r="C643" s="20">
        <v>84.0</v>
      </c>
      <c r="D643" s="20" t="s">
        <v>254</v>
      </c>
      <c r="E643" s="20" t="s">
        <v>143</v>
      </c>
      <c r="F643" s="27"/>
    </row>
    <row r="644">
      <c r="A644" s="26">
        <v>44633.61832868056</v>
      </c>
      <c r="B644" s="20" t="s">
        <v>249</v>
      </c>
      <c r="C644" s="20">
        <v>29.0</v>
      </c>
      <c r="D644" s="20" t="s">
        <v>76</v>
      </c>
      <c r="E644" s="20" t="s">
        <v>50</v>
      </c>
      <c r="F644" s="27"/>
    </row>
    <row r="645">
      <c r="A645" s="26">
        <v>44633.618704803244</v>
      </c>
      <c r="B645" s="20" t="s">
        <v>249</v>
      </c>
      <c r="C645" s="20">
        <v>166.0</v>
      </c>
      <c r="D645" s="20" t="s">
        <v>64</v>
      </c>
      <c r="E645" s="20" t="s">
        <v>143</v>
      </c>
      <c r="F645" s="27"/>
    </row>
    <row r="646">
      <c r="A646" s="26">
        <v>44633.705162384256</v>
      </c>
      <c r="B646" s="20" t="s">
        <v>63</v>
      </c>
      <c r="C646" s="20">
        <v>20.0</v>
      </c>
      <c r="D646" s="20" t="s">
        <v>64</v>
      </c>
      <c r="E646" s="20" t="s">
        <v>63</v>
      </c>
      <c r="F646" s="27"/>
    </row>
    <row r="647">
      <c r="A647" s="26">
        <v>44633.70620645833</v>
      </c>
      <c r="B647" s="20" t="s">
        <v>49</v>
      </c>
      <c r="C647" s="20">
        <v>5.0</v>
      </c>
      <c r="D647" s="20" t="s">
        <v>64</v>
      </c>
      <c r="E647" s="20" t="s">
        <v>63</v>
      </c>
      <c r="F647" s="27"/>
    </row>
    <row r="648">
      <c r="A648" s="26">
        <v>44633.70900099537</v>
      </c>
      <c r="B648" s="20" t="s">
        <v>63</v>
      </c>
      <c r="C648" s="20">
        <v>10.0</v>
      </c>
      <c r="D648" s="20" t="s">
        <v>64</v>
      </c>
      <c r="E648" s="20" t="s">
        <v>63</v>
      </c>
      <c r="F648" s="27"/>
    </row>
    <row r="649">
      <c r="A649" s="26">
        <v>44636.67419104167</v>
      </c>
      <c r="B649" s="20" t="s">
        <v>177</v>
      </c>
      <c r="C649" s="20">
        <v>1205.0</v>
      </c>
      <c r="D649" s="20" t="s">
        <v>36</v>
      </c>
      <c r="E649" s="20" t="s">
        <v>105</v>
      </c>
      <c r="F649" s="27"/>
    </row>
    <row r="650">
      <c r="A650" s="26">
        <v>44636.67472826389</v>
      </c>
      <c r="B650" s="20" t="s">
        <v>177</v>
      </c>
      <c r="C650" s="20">
        <v>1054.0</v>
      </c>
      <c r="D650" s="20" t="s">
        <v>93</v>
      </c>
      <c r="E650" s="20" t="s">
        <v>105</v>
      </c>
      <c r="F650" s="27"/>
    </row>
    <row r="651">
      <c r="A651" s="26">
        <v>44636.67517333334</v>
      </c>
      <c r="B651" s="20" t="s">
        <v>177</v>
      </c>
      <c r="C651" s="20">
        <v>212.0</v>
      </c>
      <c r="D651" s="20" t="s">
        <v>40</v>
      </c>
      <c r="E651" s="20" t="s">
        <v>105</v>
      </c>
      <c r="F651" s="27"/>
    </row>
    <row r="652">
      <c r="A652" s="26">
        <v>44636.675647870376</v>
      </c>
      <c r="B652" s="20" t="s">
        <v>177</v>
      </c>
      <c r="C652" s="20">
        <v>170.0</v>
      </c>
      <c r="D652" s="20" t="s">
        <v>95</v>
      </c>
      <c r="E652" s="20" t="s">
        <v>105</v>
      </c>
      <c r="F652" s="27"/>
    </row>
    <row r="653">
      <c r="A653" s="26">
        <v>44636.676043368054</v>
      </c>
      <c r="B653" s="20" t="s">
        <v>177</v>
      </c>
      <c r="C653" s="20">
        <v>550.0</v>
      </c>
      <c r="D653" s="20" t="s">
        <v>40</v>
      </c>
      <c r="E653" s="20" t="s">
        <v>105</v>
      </c>
      <c r="F653" s="27"/>
    </row>
    <row r="654">
      <c r="A654" s="26">
        <v>44636.67633630787</v>
      </c>
      <c r="B654" s="20" t="s">
        <v>177</v>
      </c>
      <c r="C654" s="20">
        <v>784.0</v>
      </c>
      <c r="D654" s="20" t="s">
        <v>38</v>
      </c>
      <c r="E654" s="20" t="s">
        <v>105</v>
      </c>
      <c r="F654" s="27"/>
    </row>
    <row r="655">
      <c r="A655" s="26">
        <v>44636.6768906713</v>
      </c>
      <c r="B655" s="20" t="s">
        <v>236</v>
      </c>
      <c r="C655" s="20">
        <v>886.0</v>
      </c>
      <c r="D655" s="20" t="s">
        <v>93</v>
      </c>
      <c r="E655" s="20" t="s">
        <v>46</v>
      </c>
      <c r="F655" s="27"/>
    </row>
    <row r="656">
      <c r="A656" s="26">
        <v>44636.677148310184</v>
      </c>
      <c r="B656" s="20" t="s">
        <v>177</v>
      </c>
      <c r="C656" s="20">
        <v>222.0</v>
      </c>
      <c r="D656" s="20" t="s">
        <v>40</v>
      </c>
      <c r="E656" s="20" t="s">
        <v>46</v>
      </c>
      <c r="F656" s="27"/>
    </row>
    <row r="657">
      <c r="A657" s="26">
        <v>44636.677443657405</v>
      </c>
      <c r="B657" s="20" t="s">
        <v>177</v>
      </c>
      <c r="C657" s="20">
        <v>267.0</v>
      </c>
      <c r="D657" s="20" t="s">
        <v>76</v>
      </c>
      <c r="E657" s="20" t="s">
        <v>46</v>
      </c>
      <c r="F657" s="27"/>
    </row>
    <row r="658">
      <c r="A658" s="26">
        <v>44636.677858958334</v>
      </c>
      <c r="B658" s="20" t="s">
        <v>236</v>
      </c>
      <c r="C658" s="20">
        <v>52.0</v>
      </c>
      <c r="D658" s="20" t="s">
        <v>73</v>
      </c>
      <c r="E658" s="20" t="s">
        <v>46</v>
      </c>
      <c r="F658" s="27"/>
    </row>
    <row r="659">
      <c r="A659" s="26">
        <v>44636.67818497685</v>
      </c>
      <c r="B659" s="20" t="s">
        <v>236</v>
      </c>
      <c r="C659" s="20">
        <v>561.0</v>
      </c>
      <c r="D659" s="20" t="s">
        <v>36</v>
      </c>
      <c r="E659" s="20" t="s">
        <v>46</v>
      </c>
      <c r="F659" s="27"/>
    </row>
    <row r="660">
      <c r="A660" s="26">
        <v>44636.67841133101</v>
      </c>
      <c r="B660" s="20" t="s">
        <v>177</v>
      </c>
      <c r="C660" s="20">
        <v>846.0</v>
      </c>
      <c r="D660" s="20" t="s">
        <v>38</v>
      </c>
      <c r="E660" s="20" t="s">
        <v>46</v>
      </c>
      <c r="F660" s="27"/>
    </row>
    <row r="661">
      <c r="A661" s="26">
        <v>44637.65686322917</v>
      </c>
      <c r="B661" s="20" t="s">
        <v>203</v>
      </c>
      <c r="C661" s="20">
        <v>412.0</v>
      </c>
      <c r="D661" s="20" t="s">
        <v>80</v>
      </c>
      <c r="E661" s="20" t="s">
        <v>255</v>
      </c>
      <c r="F661" s="27"/>
    </row>
    <row r="662">
      <c r="A662" s="26">
        <v>44637.657292187505</v>
      </c>
      <c r="B662" s="20" t="s">
        <v>203</v>
      </c>
      <c r="C662" s="20">
        <v>1349.0</v>
      </c>
      <c r="D662" s="20" t="s">
        <v>256</v>
      </c>
      <c r="E662" s="20" t="s">
        <v>257</v>
      </c>
      <c r="F662" s="27"/>
    </row>
    <row r="663">
      <c r="A663" s="26">
        <v>44637.65755751157</v>
      </c>
      <c r="B663" s="20" t="s">
        <v>203</v>
      </c>
      <c r="C663" s="20">
        <v>651.0</v>
      </c>
      <c r="D663" s="20" t="s">
        <v>36</v>
      </c>
      <c r="E663" s="20" t="s">
        <v>257</v>
      </c>
      <c r="F663" s="27"/>
    </row>
    <row r="664">
      <c r="A664" s="26">
        <v>44637.65785105324</v>
      </c>
      <c r="B664" s="20" t="s">
        <v>203</v>
      </c>
      <c r="C664" s="20">
        <v>509.0</v>
      </c>
      <c r="D664" s="20" t="s">
        <v>38</v>
      </c>
      <c r="E664" s="20" t="s">
        <v>257</v>
      </c>
      <c r="F664" s="27"/>
    </row>
    <row r="665">
      <c r="A665" s="26">
        <v>44637.72304631944</v>
      </c>
      <c r="B665" s="20" t="s">
        <v>163</v>
      </c>
      <c r="C665" s="20">
        <v>347.0</v>
      </c>
      <c r="D665" s="20" t="s">
        <v>76</v>
      </c>
      <c r="E665" s="20" t="s">
        <v>96</v>
      </c>
      <c r="F665" s="27"/>
    </row>
    <row r="666">
      <c r="A666" s="26">
        <v>44637.84577164352</v>
      </c>
      <c r="B666" s="20" t="s">
        <v>49</v>
      </c>
      <c r="C666" s="20">
        <v>1687.0</v>
      </c>
      <c r="D666" s="20" t="s">
        <v>87</v>
      </c>
      <c r="E666" s="20" t="s">
        <v>96</v>
      </c>
      <c r="F666" s="27"/>
    </row>
    <row r="667">
      <c r="A667" s="26">
        <v>44637.84648894676</v>
      </c>
      <c r="B667" s="20" t="s">
        <v>49</v>
      </c>
      <c r="C667" s="20">
        <v>367.0</v>
      </c>
      <c r="D667" s="20" t="s">
        <v>36</v>
      </c>
      <c r="E667" s="20" t="s">
        <v>96</v>
      </c>
      <c r="F667" s="27"/>
    </row>
    <row r="668">
      <c r="A668" s="26">
        <v>44637.870035949076</v>
      </c>
      <c r="B668" s="20" t="s">
        <v>49</v>
      </c>
      <c r="C668" s="20">
        <v>18.0</v>
      </c>
      <c r="D668" s="20" t="s">
        <v>64</v>
      </c>
      <c r="E668" s="20" t="s">
        <v>96</v>
      </c>
      <c r="F668" s="27"/>
    </row>
    <row r="669">
      <c r="A669" s="26">
        <v>44638.554377465276</v>
      </c>
      <c r="B669" s="20" t="s">
        <v>84</v>
      </c>
      <c r="C669" s="20">
        <v>300.0</v>
      </c>
      <c r="D669" s="20" t="s">
        <v>258</v>
      </c>
      <c r="E669" s="20" t="s">
        <v>86</v>
      </c>
      <c r="F669" s="27"/>
    </row>
    <row r="670">
      <c r="A670" s="26">
        <v>44638.59863710648</v>
      </c>
      <c r="B670" s="20" t="s">
        <v>49</v>
      </c>
      <c r="C670" s="20">
        <v>18.0</v>
      </c>
      <c r="D670" s="20" t="s">
        <v>64</v>
      </c>
      <c r="E670" s="20" t="s">
        <v>96</v>
      </c>
      <c r="F670" s="27"/>
    </row>
    <row r="671">
      <c r="A671" s="26">
        <v>44638.59921039351</v>
      </c>
      <c r="B671" s="20" t="s">
        <v>49</v>
      </c>
      <c r="C671" s="20">
        <v>55.0</v>
      </c>
      <c r="D671" s="20" t="s">
        <v>259</v>
      </c>
      <c r="E671" s="20" t="s">
        <v>96</v>
      </c>
      <c r="F671" s="27"/>
    </row>
    <row r="672">
      <c r="A672" s="26">
        <v>44638.59967064815</v>
      </c>
      <c r="B672" s="20" t="s">
        <v>49</v>
      </c>
      <c r="C672" s="20">
        <v>250.0</v>
      </c>
      <c r="D672" s="20" t="s">
        <v>38</v>
      </c>
      <c r="E672" s="20" t="s">
        <v>96</v>
      </c>
      <c r="F672" s="27"/>
    </row>
    <row r="673">
      <c r="A673" s="26">
        <v>44638.59991260417</v>
      </c>
      <c r="B673" s="20" t="s">
        <v>49</v>
      </c>
      <c r="C673" s="20">
        <v>72.0</v>
      </c>
      <c r="D673" s="20" t="s">
        <v>38</v>
      </c>
      <c r="E673" s="20" t="s">
        <v>96</v>
      </c>
      <c r="F673" s="27"/>
    </row>
    <row r="674">
      <c r="A674" s="26">
        <v>44638.69385991898</v>
      </c>
      <c r="B674" s="20" t="s">
        <v>260</v>
      </c>
      <c r="C674" s="20">
        <v>240.0</v>
      </c>
      <c r="D674" s="20" t="s">
        <v>38</v>
      </c>
      <c r="E674" s="20" t="s">
        <v>96</v>
      </c>
      <c r="F674" s="27"/>
    </row>
    <row r="675">
      <c r="A675" s="26">
        <v>44638.70140232639</v>
      </c>
      <c r="B675" s="20" t="s">
        <v>233</v>
      </c>
      <c r="C675" s="20">
        <v>113.0</v>
      </c>
      <c r="D675" s="20" t="s">
        <v>64</v>
      </c>
      <c r="E675" s="20" t="s">
        <v>234</v>
      </c>
      <c r="F675" s="27"/>
    </row>
    <row r="676">
      <c r="A676" s="26">
        <v>44638.852079930555</v>
      </c>
      <c r="B676" s="20" t="s">
        <v>49</v>
      </c>
      <c r="C676" s="20">
        <v>202.0</v>
      </c>
      <c r="D676" s="20" t="s">
        <v>47</v>
      </c>
      <c r="E676" s="20" t="s">
        <v>46</v>
      </c>
      <c r="F676" s="27"/>
    </row>
    <row r="677">
      <c r="A677" s="26">
        <v>44638.86883694444</v>
      </c>
      <c r="B677" s="20" t="s">
        <v>49</v>
      </c>
      <c r="C677" s="20">
        <v>1066.0</v>
      </c>
      <c r="D677" s="20" t="s">
        <v>47</v>
      </c>
      <c r="E677" s="20" t="s">
        <v>46</v>
      </c>
      <c r="F677" s="27"/>
    </row>
    <row r="678">
      <c r="A678" s="26">
        <v>44638.869247152776</v>
      </c>
      <c r="B678" s="20" t="s">
        <v>49</v>
      </c>
      <c r="C678" s="20">
        <v>998.0</v>
      </c>
      <c r="D678" s="20" t="s">
        <v>47</v>
      </c>
      <c r="E678" s="20" t="s">
        <v>46</v>
      </c>
      <c r="F678" s="27"/>
    </row>
    <row r="679">
      <c r="A679" s="26">
        <v>44638.869485625</v>
      </c>
      <c r="B679" s="20" t="s">
        <v>49</v>
      </c>
      <c r="C679" s="20">
        <v>202.0</v>
      </c>
      <c r="D679" s="20" t="s">
        <v>47</v>
      </c>
      <c r="E679" s="20" t="s">
        <v>46</v>
      </c>
      <c r="F679" s="27"/>
    </row>
    <row r="680">
      <c r="A680" s="26">
        <v>44638.86993204861</v>
      </c>
      <c r="B680" s="20" t="s">
        <v>49</v>
      </c>
      <c r="C680" s="20">
        <v>-202.0</v>
      </c>
      <c r="D680" s="20" t="s">
        <v>47</v>
      </c>
      <c r="E680" s="20" t="s">
        <v>46</v>
      </c>
      <c r="F680" s="27"/>
    </row>
    <row r="681">
      <c r="A681" s="26">
        <v>44639.57280204861</v>
      </c>
      <c r="B681" s="20" t="s">
        <v>261</v>
      </c>
      <c r="C681" s="20">
        <v>656.0</v>
      </c>
      <c r="D681" s="20" t="s">
        <v>40</v>
      </c>
      <c r="E681" s="20" t="s">
        <v>75</v>
      </c>
      <c r="F681" s="27"/>
    </row>
    <row r="682">
      <c r="A682" s="26">
        <v>44639.57394347222</v>
      </c>
      <c r="B682" s="20" t="s">
        <v>261</v>
      </c>
      <c r="C682" s="20">
        <v>783.0</v>
      </c>
      <c r="D682" s="20" t="s">
        <v>93</v>
      </c>
      <c r="E682" s="20" t="s">
        <v>237</v>
      </c>
      <c r="F682" s="27"/>
    </row>
    <row r="683">
      <c r="A683" s="26">
        <v>44639.574462812496</v>
      </c>
      <c r="B683" s="20" t="s">
        <v>261</v>
      </c>
      <c r="C683" s="20">
        <v>1560.0</v>
      </c>
      <c r="D683" s="20" t="s">
        <v>53</v>
      </c>
      <c r="E683" s="20" t="s">
        <v>139</v>
      </c>
      <c r="F683" s="27"/>
    </row>
    <row r="684">
      <c r="A684" s="26">
        <v>44639.57547840278</v>
      </c>
      <c r="B684" s="20" t="s">
        <v>261</v>
      </c>
      <c r="C684" s="20">
        <v>614.0</v>
      </c>
      <c r="D684" s="20" t="s">
        <v>262</v>
      </c>
      <c r="E684" s="20" t="s">
        <v>139</v>
      </c>
      <c r="F684" s="27"/>
    </row>
    <row r="685">
      <c r="A685" s="26">
        <v>44639.57599037037</v>
      </c>
      <c r="B685" s="20" t="s">
        <v>261</v>
      </c>
      <c r="C685" s="20">
        <v>774.0</v>
      </c>
      <c r="D685" s="20" t="s">
        <v>76</v>
      </c>
      <c r="E685" s="20" t="s">
        <v>75</v>
      </c>
      <c r="F685" s="27"/>
    </row>
    <row r="686">
      <c r="A686" s="26">
        <v>44639.57661672454</v>
      </c>
      <c r="B686" s="20" t="s">
        <v>261</v>
      </c>
      <c r="C686" s="20">
        <v>924.0</v>
      </c>
      <c r="D686" s="20" t="s">
        <v>78</v>
      </c>
      <c r="E686" s="20" t="s">
        <v>75</v>
      </c>
      <c r="F686" s="27"/>
    </row>
    <row r="687">
      <c r="A687" s="26">
        <v>44639.57722167824</v>
      </c>
      <c r="B687" s="20" t="s">
        <v>261</v>
      </c>
      <c r="C687" s="30"/>
      <c r="D687" s="20" t="s">
        <v>40</v>
      </c>
      <c r="E687" s="20" t="s">
        <v>75</v>
      </c>
      <c r="F687" s="27"/>
    </row>
    <row r="688">
      <c r="A688" s="26">
        <v>44639.57768724537</v>
      </c>
      <c r="B688" s="20" t="s">
        <v>261</v>
      </c>
      <c r="C688" s="20">
        <v>679.0</v>
      </c>
      <c r="D688" s="20" t="s">
        <v>40</v>
      </c>
      <c r="E688" s="20" t="s">
        <v>75</v>
      </c>
      <c r="F688" s="27"/>
    </row>
    <row r="689">
      <c r="A689" s="26">
        <v>44639.57840356481</v>
      </c>
      <c r="B689" s="20" t="s">
        <v>261</v>
      </c>
      <c r="C689" s="20">
        <v>674.0</v>
      </c>
      <c r="D689" s="20" t="s">
        <v>40</v>
      </c>
      <c r="E689" s="20" t="s">
        <v>75</v>
      </c>
      <c r="F689" s="27"/>
    </row>
    <row r="690">
      <c r="A690" s="26">
        <v>44639.5793512963</v>
      </c>
      <c r="B690" s="20" t="s">
        <v>263</v>
      </c>
      <c r="C690" s="20">
        <v>2134.0</v>
      </c>
      <c r="D690" s="20" t="s">
        <v>53</v>
      </c>
      <c r="E690" s="20" t="s">
        <v>75</v>
      </c>
      <c r="F690" s="27"/>
    </row>
    <row r="691">
      <c r="A691" s="26">
        <v>44639.580089386574</v>
      </c>
      <c r="B691" s="20" t="s">
        <v>261</v>
      </c>
      <c r="C691" s="20">
        <v>2140.0</v>
      </c>
      <c r="D691" s="20" t="s">
        <v>53</v>
      </c>
      <c r="E691" s="20" t="s">
        <v>75</v>
      </c>
      <c r="F691" s="27"/>
    </row>
    <row r="692">
      <c r="A692" s="26">
        <v>44639.580479131946</v>
      </c>
      <c r="B692" s="20" t="s">
        <v>261</v>
      </c>
      <c r="C692" s="20">
        <v>149.0</v>
      </c>
      <c r="D692" s="20" t="s">
        <v>264</v>
      </c>
      <c r="E692" s="20" t="s">
        <v>75</v>
      </c>
      <c r="F692" s="27"/>
    </row>
    <row r="693">
      <c r="A693" s="26">
        <v>44639.58147853009</v>
      </c>
      <c r="B693" s="20" t="s">
        <v>263</v>
      </c>
      <c r="C693" s="20">
        <v>1857.0</v>
      </c>
      <c r="D693" s="20" t="s">
        <v>265</v>
      </c>
      <c r="E693" s="20" t="s">
        <v>75</v>
      </c>
      <c r="F693" s="27"/>
    </row>
    <row r="694">
      <c r="A694" s="26">
        <v>44639.58224875</v>
      </c>
      <c r="B694" s="20" t="s">
        <v>261</v>
      </c>
      <c r="C694" s="20">
        <v>1145.0</v>
      </c>
      <c r="E694" s="20" t="s">
        <v>75</v>
      </c>
      <c r="F694" s="27"/>
    </row>
    <row r="695">
      <c r="A695" s="26">
        <v>44639.58445199074</v>
      </c>
      <c r="B695" s="20" t="s">
        <v>261</v>
      </c>
      <c r="C695" s="20">
        <v>1129.0</v>
      </c>
      <c r="D695" s="20" t="s">
        <v>38</v>
      </c>
      <c r="E695" s="20" t="s">
        <v>75</v>
      </c>
      <c r="F695" s="27"/>
    </row>
    <row r="696">
      <c r="A696" s="26">
        <v>44639.586245810184</v>
      </c>
      <c r="B696" s="20" t="s">
        <v>261</v>
      </c>
      <c r="C696" s="20">
        <v>2176.0</v>
      </c>
      <c r="D696" s="20" t="s">
        <v>53</v>
      </c>
      <c r="E696" s="20" t="s">
        <v>75</v>
      </c>
      <c r="F696" s="27"/>
    </row>
    <row r="697">
      <c r="A697" s="26">
        <v>44639.69046806713</v>
      </c>
      <c r="B697" s="20" t="s">
        <v>55</v>
      </c>
      <c r="C697" s="20">
        <v>2126.0</v>
      </c>
      <c r="D697" s="20" t="s">
        <v>53</v>
      </c>
      <c r="E697" s="20" t="s">
        <v>75</v>
      </c>
      <c r="F697" s="27"/>
    </row>
    <row r="698">
      <c r="A698" s="26">
        <v>44639.691074375005</v>
      </c>
      <c r="B698" s="20" t="s">
        <v>55</v>
      </c>
      <c r="C698" s="20">
        <v>998.0</v>
      </c>
      <c r="D698" s="20" t="s">
        <v>47</v>
      </c>
      <c r="E698" s="20" t="s">
        <v>75</v>
      </c>
      <c r="F698" s="27"/>
    </row>
    <row r="699">
      <c r="A699" s="26">
        <v>44639.69130579861</v>
      </c>
      <c r="B699" s="20" t="s">
        <v>55</v>
      </c>
      <c r="C699" s="20">
        <v>408.0</v>
      </c>
      <c r="D699" s="20" t="s">
        <v>38</v>
      </c>
      <c r="E699" s="20" t="s">
        <v>75</v>
      </c>
      <c r="F699" s="27"/>
    </row>
    <row r="700">
      <c r="A700" s="26">
        <v>44639.691578240745</v>
      </c>
      <c r="B700" s="20" t="s">
        <v>55</v>
      </c>
      <c r="C700" s="20">
        <v>2150.0</v>
      </c>
      <c r="D700" s="20" t="s">
        <v>53</v>
      </c>
      <c r="E700" s="20" t="s">
        <v>75</v>
      </c>
      <c r="F700" s="27"/>
    </row>
    <row r="701">
      <c r="A701" s="26">
        <v>44639.691798506945</v>
      </c>
      <c r="B701" s="20" t="s">
        <v>55</v>
      </c>
      <c r="C701" s="20">
        <v>548.0</v>
      </c>
      <c r="D701" s="20" t="s">
        <v>40</v>
      </c>
      <c r="E701" s="20" t="s">
        <v>75</v>
      </c>
      <c r="F701" s="27"/>
    </row>
    <row r="702">
      <c r="A702" s="26">
        <v>44639.69228887731</v>
      </c>
      <c r="B702" s="20" t="s">
        <v>55</v>
      </c>
      <c r="C702" s="20">
        <v>1428.0</v>
      </c>
      <c r="D702" s="20" t="s">
        <v>93</v>
      </c>
      <c r="E702" s="20" t="s">
        <v>75</v>
      </c>
      <c r="F702" s="27"/>
    </row>
    <row r="703">
      <c r="A703" s="26">
        <v>44639.69252361111</v>
      </c>
      <c r="B703" s="20" t="s">
        <v>55</v>
      </c>
      <c r="C703" s="20">
        <v>341.0</v>
      </c>
      <c r="D703" s="20" t="s">
        <v>40</v>
      </c>
      <c r="E703" s="20" t="s">
        <v>75</v>
      </c>
      <c r="F703" s="27"/>
    </row>
    <row r="704">
      <c r="A704" s="26">
        <v>44640.554471006944</v>
      </c>
      <c r="B704" s="20" t="s">
        <v>266</v>
      </c>
      <c r="C704" s="20">
        <v>309.0</v>
      </c>
      <c r="D704" s="20" t="s">
        <v>38</v>
      </c>
      <c r="E704" s="20" t="s">
        <v>143</v>
      </c>
      <c r="F704" s="27"/>
    </row>
    <row r="705">
      <c r="A705" s="26">
        <v>44640.55500258102</v>
      </c>
      <c r="B705" s="20" t="s">
        <v>249</v>
      </c>
      <c r="C705" s="20">
        <v>432.0</v>
      </c>
      <c r="D705" s="20" t="s">
        <v>64</v>
      </c>
      <c r="E705" s="20" t="s">
        <v>50</v>
      </c>
      <c r="F705" s="27"/>
    </row>
    <row r="706">
      <c r="A706" s="26">
        <v>44640.555307546296</v>
      </c>
      <c r="B706" s="20" t="s">
        <v>252</v>
      </c>
      <c r="C706" s="20">
        <v>635.0</v>
      </c>
      <c r="D706" s="20" t="s">
        <v>36</v>
      </c>
      <c r="E706" s="20" t="s">
        <v>50</v>
      </c>
      <c r="F706" s="27"/>
    </row>
    <row r="707">
      <c r="A707" s="26">
        <v>44640.55583376157</v>
      </c>
      <c r="B707" s="20" t="s">
        <v>252</v>
      </c>
      <c r="C707" s="20">
        <v>197.0</v>
      </c>
      <c r="D707" s="20" t="s">
        <v>267</v>
      </c>
      <c r="E707" s="20" t="s">
        <v>143</v>
      </c>
      <c r="F707" s="27"/>
    </row>
    <row r="708">
      <c r="A708" s="26">
        <v>44640.55716636574</v>
      </c>
      <c r="B708" s="20" t="s">
        <v>249</v>
      </c>
      <c r="C708" s="20">
        <v>1667.0</v>
      </c>
      <c r="D708" s="20" t="s">
        <v>268</v>
      </c>
      <c r="E708" s="20" t="s">
        <v>75</v>
      </c>
      <c r="F708" s="27"/>
    </row>
    <row r="709">
      <c r="A709" s="26">
        <v>44640.68888431713</v>
      </c>
      <c r="B709" s="20" t="s">
        <v>63</v>
      </c>
      <c r="C709" s="20">
        <v>21.0</v>
      </c>
      <c r="D709" s="20" t="s">
        <v>64</v>
      </c>
      <c r="E709" s="20" t="s">
        <v>63</v>
      </c>
      <c r="F709" s="27"/>
    </row>
    <row r="710">
      <c r="A710" s="26">
        <v>44640.72150127315</v>
      </c>
      <c r="B710" s="20" t="s">
        <v>63</v>
      </c>
      <c r="C710" s="20">
        <v>16.0</v>
      </c>
      <c r="E710" s="20" t="s">
        <v>63</v>
      </c>
      <c r="F710" s="27"/>
    </row>
    <row r="711">
      <c r="A711" s="26">
        <v>44640.72415018518</v>
      </c>
      <c r="B711" s="20" t="s">
        <v>63</v>
      </c>
      <c r="C711" s="20">
        <v>4.0</v>
      </c>
      <c r="D711" s="20" t="s">
        <v>64</v>
      </c>
      <c r="E711" s="20" t="s">
        <v>63</v>
      </c>
      <c r="F711" s="27"/>
    </row>
    <row r="712">
      <c r="A712" s="26">
        <v>44643.56690875</v>
      </c>
      <c r="B712" s="20" t="s">
        <v>266</v>
      </c>
      <c r="C712" s="20">
        <v>695.0</v>
      </c>
      <c r="D712" s="20" t="s">
        <v>38</v>
      </c>
      <c r="E712" s="20" t="s">
        <v>70</v>
      </c>
      <c r="F712" s="27"/>
    </row>
    <row r="713">
      <c r="A713" s="26">
        <v>44643.56772245371</v>
      </c>
      <c r="B713" s="20" t="s">
        <v>252</v>
      </c>
      <c r="C713" s="20">
        <v>717.0</v>
      </c>
      <c r="D713" s="20" t="s">
        <v>93</v>
      </c>
      <c r="E713" s="20" t="s">
        <v>70</v>
      </c>
      <c r="F713" s="27"/>
    </row>
    <row r="714">
      <c r="A714" s="26">
        <v>44643.56974131944</v>
      </c>
      <c r="B714" s="20" t="s">
        <v>252</v>
      </c>
      <c r="C714" s="20">
        <v>1334.0</v>
      </c>
      <c r="D714" s="20" t="s">
        <v>269</v>
      </c>
      <c r="E714" s="20" t="s">
        <v>70</v>
      </c>
      <c r="F714" s="27"/>
    </row>
    <row r="715">
      <c r="A715" s="26">
        <v>44643.67284827546</v>
      </c>
      <c r="B715" s="20" t="s">
        <v>252</v>
      </c>
      <c r="C715" s="20">
        <v>153.0</v>
      </c>
      <c r="D715" s="20" t="s">
        <v>95</v>
      </c>
      <c r="E715" s="20" t="s">
        <v>46</v>
      </c>
      <c r="F715" s="27"/>
    </row>
    <row r="716">
      <c r="A716" s="26">
        <v>44643.673318981484</v>
      </c>
      <c r="B716" s="20" t="s">
        <v>249</v>
      </c>
      <c r="C716" s="20">
        <v>587.0</v>
      </c>
      <c r="D716" s="20" t="s">
        <v>38</v>
      </c>
      <c r="E716" s="20" t="s">
        <v>46</v>
      </c>
      <c r="F716" s="27"/>
    </row>
    <row r="717">
      <c r="A717" s="26">
        <v>44643.67373391204</v>
      </c>
      <c r="B717" s="20" t="s">
        <v>249</v>
      </c>
      <c r="C717" s="20">
        <v>321.0</v>
      </c>
      <c r="D717" s="20" t="s">
        <v>38</v>
      </c>
      <c r="E717" s="20" t="s">
        <v>46</v>
      </c>
      <c r="F717" s="27"/>
    </row>
    <row r="718">
      <c r="A718" s="26">
        <v>44643.67416476852</v>
      </c>
      <c r="B718" s="20" t="s">
        <v>252</v>
      </c>
      <c r="C718" s="20">
        <v>209.0</v>
      </c>
      <c r="D718" s="20" t="s">
        <v>76</v>
      </c>
      <c r="E718" s="20" t="s">
        <v>46</v>
      </c>
      <c r="F718" s="27"/>
    </row>
    <row r="719">
      <c r="A719" s="26">
        <v>44643.67456063657</v>
      </c>
      <c r="B719" s="20" t="s">
        <v>249</v>
      </c>
      <c r="C719" s="20">
        <v>860.0</v>
      </c>
      <c r="D719" s="20" t="s">
        <v>93</v>
      </c>
      <c r="E719" s="20" t="s">
        <v>46</v>
      </c>
      <c r="F719" s="27"/>
    </row>
    <row r="720">
      <c r="A720" s="26">
        <v>44643.714268564814</v>
      </c>
      <c r="B720" s="20" t="s">
        <v>153</v>
      </c>
      <c r="C720" s="20">
        <v>52.0</v>
      </c>
      <c r="D720" s="20" t="s">
        <v>64</v>
      </c>
      <c r="E720" s="20" t="s">
        <v>270</v>
      </c>
      <c r="F720" s="27"/>
    </row>
    <row r="721">
      <c r="A721" s="26">
        <v>44644.554375567124</v>
      </c>
      <c r="B721" s="20" t="s">
        <v>163</v>
      </c>
      <c r="C721" s="20">
        <v>172.0</v>
      </c>
      <c r="D721" s="20" t="s">
        <v>64</v>
      </c>
      <c r="E721" s="20" t="s">
        <v>271</v>
      </c>
      <c r="F721" s="27"/>
    </row>
    <row r="722">
      <c r="A722" s="26">
        <v>44644.573250347225</v>
      </c>
      <c r="B722" s="20" t="s">
        <v>272</v>
      </c>
      <c r="C722" s="20">
        <v>352.0</v>
      </c>
      <c r="D722" s="20" t="s">
        <v>64</v>
      </c>
      <c r="E722" s="20" t="s">
        <v>216</v>
      </c>
      <c r="F722" s="27"/>
    </row>
    <row r="723">
      <c r="A723" s="26">
        <v>44644.57690056713</v>
      </c>
      <c r="B723" s="20" t="s">
        <v>272</v>
      </c>
      <c r="C723" s="20">
        <v>605.0</v>
      </c>
      <c r="D723" s="20" t="s">
        <v>38</v>
      </c>
      <c r="E723" s="20" t="s">
        <v>216</v>
      </c>
      <c r="F723" s="27"/>
    </row>
    <row r="724">
      <c r="A724" s="26">
        <v>44644.590512256946</v>
      </c>
      <c r="B724" s="20" t="s">
        <v>272</v>
      </c>
      <c r="C724" s="20">
        <v>841.0</v>
      </c>
      <c r="D724" s="20" t="s">
        <v>273</v>
      </c>
      <c r="E724" s="20" t="s">
        <v>216</v>
      </c>
      <c r="F724" s="27"/>
    </row>
    <row r="725">
      <c r="A725" s="26">
        <v>44644.82877142361</v>
      </c>
      <c r="B725" s="20" t="s">
        <v>132</v>
      </c>
      <c r="C725" s="20">
        <v>172.0</v>
      </c>
      <c r="D725" s="20" t="s">
        <v>64</v>
      </c>
      <c r="E725" s="20" t="s">
        <v>274</v>
      </c>
      <c r="F725" s="27"/>
    </row>
    <row r="726">
      <c r="A726" s="26">
        <v>44644.872190462964</v>
      </c>
      <c r="B726" s="20" t="s">
        <v>63</v>
      </c>
      <c r="C726" s="20">
        <v>96.0</v>
      </c>
      <c r="D726" s="20" t="s">
        <v>64</v>
      </c>
      <c r="E726" s="20" t="s">
        <v>63</v>
      </c>
      <c r="F726" s="27"/>
    </row>
    <row r="727">
      <c r="A727" s="26">
        <v>44645.696954976855</v>
      </c>
      <c r="B727" s="20" t="s">
        <v>233</v>
      </c>
      <c r="C727" s="20">
        <v>119.0</v>
      </c>
      <c r="D727" s="20" t="s">
        <v>64</v>
      </c>
      <c r="E727" s="20" t="s">
        <v>234</v>
      </c>
      <c r="F727" s="27"/>
    </row>
    <row r="728">
      <c r="A728" s="26">
        <v>44645.747384965274</v>
      </c>
      <c r="B728" s="20" t="s">
        <v>49</v>
      </c>
      <c r="C728" s="20">
        <v>506.0</v>
      </c>
      <c r="D728" s="20" t="s">
        <v>36</v>
      </c>
      <c r="E728" s="20" t="s">
        <v>46</v>
      </c>
      <c r="F728" s="27"/>
    </row>
    <row r="729">
      <c r="A729" s="26">
        <v>44645.74794674768</v>
      </c>
      <c r="B729" s="20" t="s">
        <v>49</v>
      </c>
      <c r="C729" s="20">
        <v>300.0</v>
      </c>
      <c r="D729" s="20" t="s">
        <v>36</v>
      </c>
      <c r="E729" s="20" t="s">
        <v>96</v>
      </c>
      <c r="F729" s="27"/>
    </row>
    <row r="730">
      <c r="A730" s="26">
        <v>44645.74842260417</v>
      </c>
      <c r="B730" s="20" t="s">
        <v>49</v>
      </c>
      <c r="C730" s="20">
        <v>1062.0</v>
      </c>
      <c r="D730" s="20" t="s">
        <v>87</v>
      </c>
      <c r="E730" s="20" t="s">
        <v>96</v>
      </c>
      <c r="F730" s="27"/>
    </row>
    <row r="731">
      <c r="A731" s="26">
        <v>44645.74886637731</v>
      </c>
      <c r="B731" s="20" t="s">
        <v>49</v>
      </c>
      <c r="C731" s="20">
        <v>353.0</v>
      </c>
      <c r="D731" s="20" t="s">
        <v>80</v>
      </c>
      <c r="E731" s="20" t="s">
        <v>96</v>
      </c>
      <c r="F731" s="27"/>
    </row>
    <row r="732">
      <c r="A732" s="26">
        <v>44645.74929472222</v>
      </c>
      <c r="B732" s="20" t="s">
        <v>49</v>
      </c>
      <c r="C732" s="20">
        <v>653.0</v>
      </c>
      <c r="D732" s="20" t="s">
        <v>38</v>
      </c>
      <c r="E732" s="20" t="s">
        <v>96</v>
      </c>
      <c r="F732" s="27"/>
    </row>
    <row r="733">
      <c r="A733" s="26">
        <v>44646.606610347226</v>
      </c>
      <c r="B733" s="20" t="s">
        <v>275</v>
      </c>
      <c r="C733" s="20">
        <v>358.0</v>
      </c>
      <c r="D733" s="20" t="s">
        <v>76</v>
      </c>
      <c r="E733" s="20" t="s">
        <v>75</v>
      </c>
      <c r="F733" s="27"/>
    </row>
    <row r="734">
      <c r="A734" s="26">
        <v>44646.61020840278</v>
      </c>
      <c r="B734" s="20" t="s">
        <v>276</v>
      </c>
      <c r="C734" s="20">
        <v>2151.0</v>
      </c>
      <c r="D734" s="20" t="s">
        <v>53</v>
      </c>
      <c r="E734" s="20" t="s">
        <v>75</v>
      </c>
      <c r="F734" s="27"/>
    </row>
    <row r="735">
      <c r="A735" s="26">
        <v>44646.611625439815</v>
      </c>
      <c r="B735" s="20" t="s">
        <v>276</v>
      </c>
      <c r="C735" s="20">
        <v>2025.0</v>
      </c>
      <c r="D735" s="20" t="s">
        <v>53</v>
      </c>
      <c r="E735" s="20" t="s">
        <v>75</v>
      </c>
      <c r="F735" s="27"/>
    </row>
    <row r="736">
      <c r="A736" s="26">
        <v>44646.611982256945</v>
      </c>
      <c r="B736" s="20" t="s">
        <v>276</v>
      </c>
      <c r="C736" s="20">
        <v>1036.0</v>
      </c>
      <c r="D736" s="20" t="s">
        <v>38</v>
      </c>
      <c r="E736" s="20" t="s">
        <v>75</v>
      </c>
      <c r="F736" s="27"/>
    </row>
    <row r="737">
      <c r="A737" s="26">
        <v>44646.61234253472</v>
      </c>
      <c r="B737" s="20" t="s">
        <v>277</v>
      </c>
      <c r="C737" s="20">
        <v>276.0</v>
      </c>
      <c r="D737" s="20" t="s">
        <v>76</v>
      </c>
      <c r="E737" s="20" t="s">
        <v>75</v>
      </c>
      <c r="F737" s="27"/>
    </row>
    <row r="738">
      <c r="A738" s="26">
        <v>44646.61330516204</v>
      </c>
      <c r="B738" s="20" t="s">
        <v>276</v>
      </c>
      <c r="C738" s="20">
        <v>1907.0</v>
      </c>
      <c r="D738" s="20" t="s">
        <v>115</v>
      </c>
      <c r="E738" s="20" t="s">
        <v>75</v>
      </c>
      <c r="F738" s="27"/>
    </row>
    <row r="739">
      <c r="A739" s="26">
        <v>44646.61389587963</v>
      </c>
      <c r="B739" s="20" t="s">
        <v>278</v>
      </c>
      <c r="C739" s="20">
        <v>680.0</v>
      </c>
      <c r="D739" s="20" t="s">
        <v>40</v>
      </c>
      <c r="E739" s="20" t="s">
        <v>75</v>
      </c>
      <c r="F739" s="27"/>
    </row>
    <row r="740">
      <c r="A740" s="26">
        <v>44646.61411106482</v>
      </c>
      <c r="B740" s="20" t="s">
        <v>276</v>
      </c>
      <c r="C740" s="20">
        <v>651.0</v>
      </c>
      <c r="D740" s="20" t="s">
        <v>40</v>
      </c>
      <c r="E740" s="20" t="s">
        <v>75</v>
      </c>
      <c r="F740" s="27"/>
    </row>
    <row r="741">
      <c r="A741" s="26">
        <v>44646.6142425463</v>
      </c>
      <c r="B741" s="20" t="s">
        <v>277</v>
      </c>
      <c r="C741" s="20">
        <v>690.0</v>
      </c>
      <c r="D741" s="20" t="s">
        <v>40</v>
      </c>
      <c r="E741" s="20" t="s">
        <v>75</v>
      </c>
      <c r="F741" s="27"/>
    </row>
    <row r="742">
      <c r="A742" s="26">
        <v>44646.61446038194</v>
      </c>
      <c r="B742" s="20" t="s">
        <v>276</v>
      </c>
      <c r="C742" s="20">
        <v>663.0</v>
      </c>
      <c r="D742" s="20" t="s">
        <v>40</v>
      </c>
      <c r="E742" s="20" t="s">
        <v>75</v>
      </c>
      <c r="F742" s="27"/>
    </row>
    <row r="743">
      <c r="A743" s="26">
        <v>44646.61463012731</v>
      </c>
      <c r="B743" s="20" t="s">
        <v>278</v>
      </c>
      <c r="C743" s="20">
        <v>715.0</v>
      </c>
      <c r="D743" s="20" t="s">
        <v>40</v>
      </c>
      <c r="E743" s="20" t="s">
        <v>75</v>
      </c>
      <c r="F743" s="27"/>
    </row>
    <row r="744">
      <c r="A744" s="26">
        <v>44646.61480940972</v>
      </c>
      <c r="B744" s="20" t="s">
        <v>276</v>
      </c>
      <c r="C744" s="20">
        <v>679.0</v>
      </c>
      <c r="D744" s="20" t="s">
        <v>40</v>
      </c>
      <c r="E744" s="20" t="s">
        <v>75</v>
      </c>
      <c r="F744" s="27"/>
    </row>
    <row r="745">
      <c r="A745" s="26">
        <v>44646.615598020835</v>
      </c>
      <c r="B745" s="20" t="s">
        <v>278</v>
      </c>
      <c r="C745" s="20">
        <v>1192.0</v>
      </c>
      <c r="D745" s="20" t="s">
        <v>279</v>
      </c>
      <c r="E745" s="20" t="s">
        <v>75</v>
      </c>
      <c r="F745" s="27"/>
    </row>
    <row r="746">
      <c r="A746" s="26">
        <v>44646.61582853009</v>
      </c>
      <c r="B746" s="20" t="s">
        <v>277</v>
      </c>
      <c r="C746" s="20">
        <v>620.0</v>
      </c>
      <c r="D746" s="20" t="s">
        <v>36</v>
      </c>
      <c r="E746" s="20" t="s">
        <v>75</v>
      </c>
      <c r="F746" s="27"/>
    </row>
    <row r="747">
      <c r="A747" s="26">
        <v>44646.61583888889</v>
      </c>
      <c r="B747" s="20" t="s">
        <v>276</v>
      </c>
      <c r="C747" s="20">
        <v>431.0</v>
      </c>
      <c r="D747" s="20" t="s">
        <v>40</v>
      </c>
      <c r="E747" s="20" t="s">
        <v>280</v>
      </c>
      <c r="F747" s="27"/>
    </row>
    <row r="748">
      <c r="A748" s="26">
        <v>44646.61597284723</v>
      </c>
      <c r="B748" s="20" t="s">
        <v>278</v>
      </c>
      <c r="C748" s="20">
        <v>1178.0</v>
      </c>
      <c r="D748" s="20" t="s">
        <v>36</v>
      </c>
      <c r="E748" s="20" t="s">
        <v>75</v>
      </c>
      <c r="F748" s="27"/>
    </row>
    <row r="749">
      <c r="A749" s="26">
        <v>44646.61610537037</v>
      </c>
      <c r="B749" s="20" t="s">
        <v>276</v>
      </c>
      <c r="C749" s="20">
        <v>125.0</v>
      </c>
      <c r="D749" s="20" t="s">
        <v>38</v>
      </c>
      <c r="E749" s="20" t="s">
        <v>280</v>
      </c>
      <c r="F749" s="27"/>
    </row>
    <row r="750">
      <c r="A750" s="26">
        <v>44646.617156458335</v>
      </c>
      <c r="B750" s="20" t="s">
        <v>278</v>
      </c>
      <c r="C750" s="20">
        <v>356.0</v>
      </c>
      <c r="D750" s="20" t="s">
        <v>64</v>
      </c>
      <c r="E750" s="20" t="s">
        <v>219</v>
      </c>
      <c r="F750" s="27"/>
    </row>
    <row r="751">
      <c r="A751" s="26">
        <v>44646.61749278935</v>
      </c>
      <c r="B751" s="20" t="s">
        <v>276</v>
      </c>
      <c r="C751" s="20">
        <v>156.0</v>
      </c>
      <c r="D751" s="20" t="s">
        <v>269</v>
      </c>
      <c r="E751" s="20" t="s">
        <v>280</v>
      </c>
      <c r="F751" s="27"/>
    </row>
    <row r="752">
      <c r="A752" s="26">
        <v>44646.61792092593</v>
      </c>
      <c r="B752" s="20" t="s">
        <v>276</v>
      </c>
      <c r="C752" s="20">
        <v>660.0</v>
      </c>
      <c r="D752" s="20" t="s">
        <v>40</v>
      </c>
      <c r="E752" s="20" t="s">
        <v>75</v>
      </c>
      <c r="F752" s="27"/>
    </row>
    <row r="753">
      <c r="A753" s="26">
        <v>44646.61793787037</v>
      </c>
      <c r="B753" s="20" t="s">
        <v>278</v>
      </c>
      <c r="C753" s="20">
        <v>2049.0</v>
      </c>
      <c r="D753" s="20" t="s">
        <v>115</v>
      </c>
      <c r="E753" s="20" t="s">
        <v>75</v>
      </c>
      <c r="F753" s="27"/>
    </row>
    <row r="754">
      <c r="A754" s="26">
        <v>44646.61838986111</v>
      </c>
      <c r="B754" s="20" t="s">
        <v>276</v>
      </c>
      <c r="C754" s="20">
        <v>690.0</v>
      </c>
      <c r="D754" s="20" t="s">
        <v>40</v>
      </c>
      <c r="E754" s="20" t="s">
        <v>75</v>
      </c>
      <c r="F754" s="27"/>
    </row>
    <row r="755">
      <c r="A755" s="26">
        <v>44646.618575775465</v>
      </c>
      <c r="B755" s="20" t="s">
        <v>278</v>
      </c>
      <c r="C755" s="20">
        <v>651.0</v>
      </c>
      <c r="D755" s="20" t="s">
        <v>40</v>
      </c>
      <c r="E755" s="20" t="s">
        <v>75</v>
      </c>
      <c r="F755" s="27"/>
    </row>
    <row r="756">
      <c r="A756" s="26">
        <v>44646.618934224534</v>
      </c>
      <c r="B756" s="20" t="s">
        <v>276</v>
      </c>
      <c r="C756" s="20">
        <v>715.0</v>
      </c>
      <c r="D756" s="20" t="s">
        <v>40</v>
      </c>
      <c r="E756" s="20" t="s">
        <v>75</v>
      </c>
      <c r="F756" s="27"/>
    </row>
    <row r="757">
      <c r="A757" s="26">
        <v>44646.61946055555</v>
      </c>
      <c r="B757" s="20" t="s">
        <v>278</v>
      </c>
      <c r="C757" s="31">
        <v>1372.0</v>
      </c>
      <c r="D757" s="20" t="s">
        <v>115</v>
      </c>
      <c r="E757" s="20" t="s">
        <v>75</v>
      </c>
      <c r="F757" s="27"/>
    </row>
    <row r="758">
      <c r="A758" s="26">
        <v>44646.619513495374</v>
      </c>
      <c r="B758" s="20" t="s">
        <v>276</v>
      </c>
      <c r="C758" s="20">
        <v>2118.0</v>
      </c>
      <c r="D758" s="20" t="s">
        <v>53</v>
      </c>
      <c r="E758" s="20" t="s">
        <v>75</v>
      </c>
      <c r="F758" s="27"/>
    </row>
    <row r="759">
      <c r="A759" s="26">
        <v>44646.707443946754</v>
      </c>
      <c r="B759" s="20" t="s">
        <v>49</v>
      </c>
      <c r="C759" s="20">
        <v>2118.0</v>
      </c>
      <c r="D759" s="20" t="s">
        <v>53</v>
      </c>
      <c r="E759" s="20" t="s">
        <v>75</v>
      </c>
      <c r="F759" s="27"/>
    </row>
    <row r="760">
      <c r="A760" s="26">
        <v>44646.70781144676</v>
      </c>
      <c r="B760" s="20" t="s">
        <v>49</v>
      </c>
      <c r="C760" s="20">
        <v>634.0</v>
      </c>
      <c r="D760" s="20" t="s">
        <v>38</v>
      </c>
      <c r="E760" s="20" t="s">
        <v>75</v>
      </c>
      <c r="F760" s="27"/>
    </row>
    <row r="761">
      <c r="A761" s="26">
        <v>44646.70819481481</v>
      </c>
      <c r="B761" s="20" t="s">
        <v>49</v>
      </c>
      <c r="C761" s="32">
        <v>-1372.0</v>
      </c>
      <c r="D761" s="20" t="s">
        <v>135</v>
      </c>
      <c r="E761" s="20" t="s">
        <v>75</v>
      </c>
      <c r="F761" s="27"/>
    </row>
    <row r="762">
      <c r="A762" s="26">
        <v>44647.53645846064</v>
      </c>
      <c r="B762" s="20" t="s">
        <v>266</v>
      </c>
      <c r="C762" s="20">
        <v>382.0</v>
      </c>
      <c r="D762" s="20" t="s">
        <v>76</v>
      </c>
      <c r="E762" s="20" t="s">
        <v>281</v>
      </c>
      <c r="F762" s="27"/>
    </row>
    <row r="763">
      <c r="A763" s="26">
        <v>44647.536969085646</v>
      </c>
      <c r="B763" s="20" t="s">
        <v>266</v>
      </c>
      <c r="C763" s="20">
        <v>551.0</v>
      </c>
      <c r="D763" s="20" t="s">
        <v>40</v>
      </c>
      <c r="E763" s="20" t="s">
        <v>101</v>
      </c>
      <c r="F763" s="27"/>
    </row>
    <row r="764">
      <c r="A764" s="26">
        <v>44647.53775434028</v>
      </c>
      <c r="B764" s="20" t="s">
        <v>266</v>
      </c>
      <c r="C764" s="20">
        <v>586.0</v>
      </c>
      <c r="D764" s="20" t="s">
        <v>38</v>
      </c>
      <c r="E764" s="20" t="s">
        <v>101</v>
      </c>
      <c r="F764" s="27"/>
    </row>
    <row r="765">
      <c r="A765" s="26">
        <v>44647.538549467594</v>
      </c>
      <c r="B765" s="20" t="s">
        <v>266</v>
      </c>
      <c r="C765" s="20">
        <v>20.0</v>
      </c>
      <c r="D765" s="20" t="s">
        <v>117</v>
      </c>
      <c r="E765" s="20" t="s">
        <v>143</v>
      </c>
      <c r="F765" s="27"/>
    </row>
    <row r="766">
      <c r="A766" s="26">
        <v>44647.53907568287</v>
      </c>
      <c r="B766" s="20" t="s">
        <v>266</v>
      </c>
      <c r="C766" s="20">
        <v>35.0</v>
      </c>
      <c r="D766" s="20" t="s">
        <v>76</v>
      </c>
      <c r="E766" s="20" t="s">
        <v>143</v>
      </c>
      <c r="F766" s="27"/>
    </row>
    <row r="767">
      <c r="A767" s="26">
        <v>44647.53946359953</v>
      </c>
      <c r="B767" s="20" t="s">
        <v>249</v>
      </c>
      <c r="C767" s="20">
        <v>156.0</v>
      </c>
      <c r="D767" s="20" t="s">
        <v>269</v>
      </c>
      <c r="E767" s="20" t="s">
        <v>143</v>
      </c>
      <c r="F767" s="27"/>
    </row>
    <row r="768">
      <c r="A768" s="26">
        <v>44647.541781215274</v>
      </c>
      <c r="B768" s="20" t="s">
        <v>252</v>
      </c>
      <c r="C768" s="20">
        <v>601.0</v>
      </c>
      <c r="D768" s="20" t="s">
        <v>64</v>
      </c>
      <c r="E768" s="20" t="s">
        <v>50</v>
      </c>
      <c r="F768" s="27"/>
    </row>
    <row r="769">
      <c r="A769" s="26">
        <v>44647.54946559027</v>
      </c>
      <c r="B769" s="20" t="s">
        <v>266</v>
      </c>
      <c r="C769" s="20">
        <v>288.0</v>
      </c>
      <c r="D769" s="20" t="s">
        <v>38</v>
      </c>
      <c r="E769" s="20" t="s">
        <v>143</v>
      </c>
      <c r="F769" s="27"/>
    </row>
    <row r="770">
      <c r="A770" s="26">
        <v>44647.55021883102</v>
      </c>
      <c r="B770" s="20" t="s">
        <v>252</v>
      </c>
      <c r="C770" s="20">
        <v>245.0</v>
      </c>
      <c r="D770" s="20" t="s">
        <v>64</v>
      </c>
      <c r="E770" s="20" t="s">
        <v>143</v>
      </c>
      <c r="F770" s="27"/>
    </row>
    <row r="771">
      <c r="A771" s="26">
        <v>44647.55768960648</v>
      </c>
      <c r="B771" s="20" t="s">
        <v>252</v>
      </c>
      <c r="D771" s="20" t="s">
        <v>282</v>
      </c>
      <c r="E771" s="20" t="s">
        <v>143</v>
      </c>
      <c r="F771" s="27"/>
    </row>
    <row r="772">
      <c r="A772" s="26">
        <v>44647.55957261574</v>
      </c>
      <c r="B772" s="20" t="s">
        <v>249</v>
      </c>
      <c r="C772" s="20">
        <v>44.0</v>
      </c>
      <c r="D772" s="20" t="s">
        <v>283</v>
      </c>
      <c r="E772" s="20" t="s">
        <v>143</v>
      </c>
      <c r="F772" s="27"/>
    </row>
    <row r="773">
      <c r="A773" s="26">
        <v>44647.670517245366</v>
      </c>
      <c r="B773" s="20" t="s">
        <v>63</v>
      </c>
      <c r="C773" s="20">
        <v>9.0</v>
      </c>
      <c r="D773" s="20" t="s">
        <v>64</v>
      </c>
      <c r="E773" s="20" t="s">
        <v>63</v>
      </c>
      <c r="F773" s="27"/>
    </row>
    <row r="774">
      <c r="A774" s="26">
        <v>44647.68053982639</v>
      </c>
      <c r="B774" s="20" t="s">
        <v>63</v>
      </c>
      <c r="C774" s="20">
        <v>16.0</v>
      </c>
      <c r="D774" s="20" t="s">
        <v>64</v>
      </c>
      <c r="E774" s="20" t="s">
        <v>63</v>
      </c>
      <c r="F774" s="27"/>
    </row>
    <row r="775">
      <c r="A775" s="26">
        <v>44647.69805577546</v>
      </c>
      <c r="B775" s="20" t="s">
        <v>63</v>
      </c>
      <c r="C775" s="20">
        <v>5.0</v>
      </c>
      <c r="D775" s="20" t="s">
        <v>64</v>
      </c>
      <c r="E775" s="20" t="s">
        <v>63</v>
      </c>
      <c r="F775" s="27"/>
    </row>
    <row r="776">
      <c r="A776" s="26">
        <v>44647.699265891206</v>
      </c>
      <c r="B776" s="20" t="s">
        <v>63</v>
      </c>
      <c r="C776" s="20">
        <v>12.0</v>
      </c>
      <c r="E776" s="20" t="s">
        <v>63</v>
      </c>
      <c r="F776" s="27"/>
    </row>
    <row r="777">
      <c r="A777" s="26">
        <v>44649.552257187504</v>
      </c>
      <c r="B777" s="20" t="s">
        <v>284</v>
      </c>
      <c r="C777" s="20">
        <v>1128.0</v>
      </c>
      <c r="D777" s="20" t="s">
        <v>47</v>
      </c>
      <c r="E777" s="20" t="s">
        <v>46</v>
      </c>
      <c r="F777" s="27"/>
    </row>
    <row r="778">
      <c r="A778" s="26">
        <v>44649.59007685185</v>
      </c>
      <c r="B778" s="20" t="s">
        <v>285</v>
      </c>
      <c r="C778" s="20">
        <v>1069.0</v>
      </c>
      <c r="D778" s="20" t="s">
        <v>47</v>
      </c>
      <c r="E778" s="20" t="s">
        <v>286</v>
      </c>
      <c r="F778" s="27"/>
    </row>
    <row r="779">
      <c r="A779" s="26">
        <v>44649.590812615745</v>
      </c>
      <c r="B779" s="20" t="s">
        <v>285</v>
      </c>
      <c r="C779" s="20">
        <v>675.0</v>
      </c>
      <c r="D779" s="20" t="s">
        <v>47</v>
      </c>
      <c r="E779" s="20" t="s">
        <v>286</v>
      </c>
      <c r="F779" s="27"/>
    </row>
    <row r="780">
      <c r="A780" s="26">
        <v>44650.63188584491</v>
      </c>
      <c r="B780" s="20" t="s">
        <v>287</v>
      </c>
      <c r="C780" s="20">
        <v>992.0</v>
      </c>
      <c r="D780" s="20" t="s">
        <v>47</v>
      </c>
      <c r="E780" s="20" t="s">
        <v>70</v>
      </c>
      <c r="F780" s="27"/>
    </row>
    <row r="781">
      <c r="A781" s="26">
        <v>44650.63213716436</v>
      </c>
      <c r="B781" s="20" t="s">
        <v>155</v>
      </c>
      <c r="C781" s="20">
        <v>795.0</v>
      </c>
      <c r="D781" s="20" t="s">
        <v>40</v>
      </c>
      <c r="E781" s="20" t="s">
        <v>70</v>
      </c>
      <c r="F781" s="27"/>
    </row>
    <row r="782">
      <c r="A782" s="26">
        <v>44650.63229150463</v>
      </c>
      <c r="B782" s="20" t="s">
        <v>155</v>
      </c>
      <c r="C782" s="20">
        <v>659.0</v>
      </c>
      <c r="D782" s="20" t="s">
        <v>40</v>
      </c>
      <c r="E782" s="20" t="s">
        <v>46</v>
      </c>
      <c r="F782" s="27"/>
    </row>
    <row r="783">
      <c r="A783" s="26">
        <v>44650.89845538195</v>
      </c>
      <c r="B783" s="20" t="s">
        <v>49</v>
      </c>
      <c r="C783" s="20">
        <v>434.0</v>
      </c>
      <c r="D783" s="20" t="s">
        <v>47</v>
      </c>
      <c r="E783" s="20" t="s">
        <v>46</v>
      </c>
      <c r="F783" s="27"/>
    </row>
    <row r="784">
      <c r="A784" s="26">
        <v>44650.90392182871</v>
      </c>
      <c r="B784" s="20" t="s">
        <v>49</v>
      </c>
      <c r="C784" s="20">
        <v>713.0</v>
      </c>
      <c r="D784" s="20" t="s">
        <v>87</v>
      </c>
      <c r="E784" s="20" t="s">
        <v>46</v>
      </c>
      <c r="F784" s="27"/>
    </row>
    <row r="785">
      <c r="A785" s="26">
        <v>44651.55965613426</v>
      </c>
      <c r="B785" s="20" t="s">
        <v>84</v>
      </c>
      <c r="C785" s="20">
        <v>225.0</v>
      </c>
      <c r="D785" s="20" t="s">
        <v>64</v>
      </c>
      <c r="E785" s="20" t="s">
        <v>86</v>
      </c>
      <c r="F785" s="27"/>
    </row>
    <row r="786">
      <c r="A786" s="26">
        <v>44651.5830962037</v>
      </c>
      <c r="B786" s="20" t="s">
        <v>84</v>
      </c>
      <c r="C786" s="20">
        <v>195.0</v>
      </c>
      <c r="D786" s="20" t="s">
        <v>47</v>
      </c>
      <c r="E786" s="20" t="s">
        <v>86</v>
      </c>
      <c r="F786" s="27"/>
    </row>
    <row r="787">
      <c r="A787" s="26">
        <v>44651.66705146991</v>
      </c>
      <c r="B787" s="20" t="s">
        <v>163</v>
      </c>
      <c r="C787" s="20">
        <v>395.0</v>
      </c>
      <c r="D787" s="20" t="s">
        <v>64</v>
      </c>
      <c r="E787" s="20" t="s">
        <v>50</v>
      </c>
      <c r="F787" s="27"/>
      <c r="G787" s="20">
        <v>179819.0</v>
      </c>
    </row>
    <row r="788">
      <c r="A788" s="26">
        <v>44652.570198368056</v>
      </c>
      <c r="B788" s="20" t="s">
        <v>288</v>
      </c>
      <c r="C788" s="20">
        <v>821.0</v>
      </c>
      <c r="D788" s="20" t="s">
        <v>289</v>
      </c>
      <c r="E788" s="20" t="s">
        <v>96</v>
      </c>
      <c r="F788" s="27"/>
    </row>
    <row r="789">
      <c r="A789" s="26">
        <v>44652.5708356713</v>
      </c>
      <c r="B789" s="20" t="s">
        <v>288</v>
      </c>
      <c r="C789" s="20">
        <v>71.0</v>
      </c>
      <c r="D789" s="20" t="s">
        <v>290</v>
      </c>
      <c r="E789" s="20" t="s">
        <v>96</v>
      </c>
      <c r="F789" s="27"/>
    </row>
    <row r="790">
      <c r="A790" s="26">
        <v>44652.57105083333</v>
      </c>
      <c r="B790" s="20" t="s">
        <v>291</v>
      </c>
      <c r="C790" s="20">
        <v>113.0</v>
      </c>
      <c r="D790" s="20" t="s">
        <v>40</v>
      </c>
      <c r="E790" s="20" t="s">
        <v>96</v>
      </c>
      <c r="F790" s="27"/>
    </row>
    <row r="791">
      <c r="A791" s="26">
        <v>44652.581922604164</v>
      </c>
      <c r="B791" s="20" t="s">
        <v>288</v>
      </c>
      <c r="C791" s="20">
        <v>878.0</v>
      </c>
      <c r="D791" s="20" t="s">
        <v>47</v>
      </c>
      <c r="E791" s="20" t="s">
        <v>96</v>
      </c>
      <c r="F791" s="27"/>
    </row>
    <row r="792">
      <c r="A792" s="26">
        <v>44652.703755740746</v>
      </c>
      <c r="B792" s="20" t="s">
        <v>233</v>
      </c>
      <c r="C792" s="20">
        <v>145.0</v>
      </c>
      <c r="D792" s="20" t="s">
        <v>64</v>
      </c>
      <c r="E792" s="20" t="s">
        <v>234</v>
      </c>
      <c r="F792" s="27"/>
    </row>
    <row r="793">
      <c r="A793" s="26">
        <v>44652.70526887731</v>
      </c>
      <c r="B793" s="20" t="s">
        <v>49</v>
      </c>
      <c r="C793" s="20">
        <v>169.0</v>
      </c>
      <c r="D793" s="20" t="s">
        <v>64</v>
      </c>
      <c r="E793" s="20" t="s">
        <v>63</v>
      </c>
      <c r="F793" s="27"/>
    </row>
    <row r="794">
      <c r="A794" s="26">
        <v>44652.70587204861</v>
      </c>
      <c r="B794" s="20" t="s">
        <v>49</v>
      </c>
      <c r="C794" s="20">
        <v>20.0</v>
      </c>
      <c r="D794" s="20" t="s">
        <v>64</v>
      </c>
      <c r="E794" s="20" t="s">
        <v>96</v>
      </c>
      <c r="F794" s="27"/>
    </row>
    <row r="795">
      <c r="A795" s="26">
        <v>44653.51574931713</v>
      </c>
      <c r="C795" s="20">
        <v>807.0</v>
      </c>
      <c r="D795" s="20" t="s">
        <v>292</v>
      </c>
      <c r="E795" s="20" t="s">
        <v>75</v>
      </c>
      <c r="F795" s="27"/>
    </row>
    <row r="796">
      <c r="A796" s="26">
        <v>44653.51871046296</v>
      </c>
      <c r="C796" s="20">
        <v>1249.0</v>
      </c>
      <c r="D796" s="20" t="s">
        <v>293</v>
      </c>
      <c r="E796" s="20" t="s">
        <v>75</v>
      </c>
      <c r="F796" s="27"/>
    </row>
    <row r="797">
      <c r="A797" s="26">
        <v>44653.5189866088</v>
      </c>
      <c r="C797" s="20">
        <v>630.0</v>
      </c>
      <c r="D797" s="20" t="s">
        <v>294</v>
      </c>
      <c r="E797" s="20" t="s">
        <v>75</v>
      </c>
      <c r="F797" s="27"/>
    </row>
    <row r="798">
      <c r="A798" s="26">
        <v>44653.51934586806</v>
      </c>
      <c r="C798" s="20">
        <v>325.0</v>
      </c>
      <c r="D798" s="20" t="s">
        <v>169</v>
      </c>
      <c r="E798" s="20" t="s">
        <v>75</v>
      </c>
      <c r="F798" s="27"/>
    </row>
    <row r="799">
      <c r="A799" s="26">
        <v>44653.51956734953</v>
      </c>
      <c r="C799" s="20">
        <v>386.0</v>
      </c>
      <c r="D799" s="20" t="s">
        <v>76</v>
      </c>
      <c r="E799" s="20" t="s">
        <v>75</v>
      </c>
      <c r="F799" s="27"/>
    </row>
    <row r="800">
      <c r="A800" s="26">
        <v>44653.51979983796</v>
      </c>
      <c r="C800" s="20">
        <v>313.0</v>
      </c>
      <c r="D800" s="20" t="s">
        <v>76</v>
      </c>
      <c r="E800" s="20" t="s">
        <v>75</v>
      </c>
      <c r="F800" s="27"/>
    </row>
    <row r="801">
      <c r="A801" s="26">
        <v>44653.52118435185</v>
      </c>
      <c r="C801" s="20">
        <v>259.0</v>
      </c>
      <c r="D801" s="20" t="s">
        <v>47</v>
      </c>
      <c r="E801" s="20" t="s">
        <v>295</v>
      </c>
      <c r="F801" s="27"/>
    </row>
    <row r="802">
      <c r="A802" s="26">
        <v>44653.52165336805</v>
      </c>
      <c r="C802" s="20">
        <v>905.0</v>
      </c>
      <c r="D802" s="20" t="s">
        <v>292</v>
      </c>
      <c r="E802" s="20" t="s">
        <v>75</v>
      </c>
      <c r="F802" s="27"/>
    </row>
    <row r="803">
      <c r="A803" s="26">
        <v>44653.52189945602</v>
      </c>
      <c r="C803" s="20">
        <v>986.0</v>
      </c>
      <c r="D803" s="20" t="s">
        <v>292</v>
      </c>
      <c r="E803" s="20" t="s">
        <v>75</v>
      </c>
      <c r="F803" s="27"/>
    </row>
    <row r="804">
      <c r="A804" s="26">
        <v>44653.52220820602</v>
      </c>
      <c r="C804" s="20">
        <v>981.0</v>
      </c>
      <c r="D804" s="20" t="s">
        <v>292</v>
      </c>
      <c r="E804" s="20" t="s">
        <v>75</v>
      </c>
      <c r="F804" s="27"/>
    </row>
    <row r="805">
      <c r="A805" s="26">
        <v>44653.52244907407</v>
      </c>
      <c r="C805" s="20">
        <v>971.0</v>
      </c>
      <c r="D805" s="20" t="s">
        <v>292</v>
      </c>
      <c r="E805" s="20" t="s">
        <v>75</v>
      </c>
      <c r="F805" s="27"/>
    </row>
    <row r="806">
      <c r="A806" s="26">
        <v>44653.52266858796</v>
      </c>
      <c r="C806" s="20">
        <v>945.0</v>
      </c>
      <c r="D806" s="20" t="s">
        <v>292</v>
      </c>
      <c r="E806" s="20" t="s">
        <v>75</v>
      </c>
      <c r="F806" s="27"/>
    </row>
    <row r="807">
      <c r="A807" s="26">
        <v>44654.5281078125</v>
      </c>
      <c r="B807" s="20" t="s">
        <v>49</v>
      </c>
      <c r="C807" s="20">
        <v>1443.0</v>
      </c>
      <c r="D807" s="20" t="s">
        <v>87</v>
      </c>
      <c r="E807" s="20" t="s">
        <v>75</v>
      </c>
      <c r="F807" s="27"/>
    </row>
    <row r="808">
      <c r="A808" s="26">
        <v>44654.54119783565</v>
      </c>
      <c r="B808" s="20" t="s">
        <v>296</v>
      </c>
      <c r="C808" s="20">
        <v>1249.0</v>
      </c>
      <c r="D808" s="20" t="s">
        <v>78</v>
      </c>
      <c r="E808" s="20" t="s">
        <v>75</v>
      </c>
      <c r="F808" s="27"/>
    </row>
    <row r="809">
      <c r="A809" s="26">
        <v>44654.541919375</v>
      </c>
      <c r="B809" s="20" t="s">
        <v>296</v>
      </c>
      <c r="C809" s="20">
        <v>201.0</v>
      </c>
      <c r="D809" s="20" t="s">
        <v>169</v>
      </c>
      <c r="E809" s="20" t="s">
        <v>75</v>
      </c>
      <c r="F809" s="27"/>
    </row>
    <row r="810">
      <c r="A810" s="26">
        <v>44654.542586041665</v>
      </c>
      <c r="B810" s="20" t="s">
        <v>214</v>
      </c>
      <c r="C810" s="20">
        <v>2561.0</v>
      </c>
      <c r="D810" s="20" t="s">
        <v>47</v>
      </c>
      <c r="E810" s="20" t="s">
        <v>75</v>
      </c>
      <c r="F810" s="27"/>
    </row>
    <row r="811">
      <c r="A811" s="26">
        <v>44654.542979328704</v>
      </c>
      <c r="B811" s="20" t="s">
        <v>214</v>
      </c>
      <c r="C811" s="20">
        <v>661.0</v>
      </c>
      <c r="D811" s="20" t="s">
        <v>297</v>
      </c>
      <c r="E811" s="20" t="s">
        <v>75</v>
      </c>
      <c r="F811" s="27"/>
    </row>
    <row r="812">
      <c r="A812" s="26">
        <v>44654.54343181713</v>
      </c>
      <c r="B812" s="20" t="s">
        <v>214</v>
      </c>
      <c r="C812" s="20">
        <v>137.0</v>
      </c>
      <c r="D812" s="20" t="s">
        <v>95</v>
      </c>
      <c r="E812" s="20" t="s">
        <v>75</v>
      </c>
      <c r="F812" s="27"/>
    </row>
    <row r="813">
      <c r="A813" s="26">
        <v>44654.544120300925</v>
      </c>
      <c r="B813" s="20" t="s">
        <v>214</v>
      </c>
      <c r="C813" s="20">
        <v>137.0</v>
      </c>
      <c r="D813" s="20" t="s">
        <v>95</v>
      </c>
      <c r="E813" s="20" t="s">
        <v>183</v>
      </c>
      <c r="F813" s="27"/>
    </row>
    <row r="814">
      <c r="A814" s="26">
        <v>44654.54451766204</v>
      </c>
      <c r="B814" s="20" t="s">
        <v>214</v>
      </c>
      <c r="C814" s="20">
        <v>373.0</v>
      </c>
      <c r="D814" s="20" t="s">
        <v>36</v>
      </c>
      <c r="E814" s="20" t="s">
        <v>183</v>
      </c>
      <c r="F814" s="27"/>
    </row>
    <row r="815">
      <c r="A815" s="26">
        <v>44654.551850613425</v>
      </c>
      <c r="B815" s="20" t="s">
        <v>214</v>
      </c>
      <c r="C815" s="20">
        <v>400.0</v>
      </c>
      <c r="D815" s="20" t="s">
        <v>40</v>
      </c>
      <c r="E815" s="20" t="s">
        <v>50</v>
      </c>
      <c r="F815" s="27"/>
    </row>
    <row r="816">
      <c r="A816" s="26">
        <v>44654.57130777778</v>
      </c>
      <c r="B816" s="20" t="s">
        <v>49</v>
      </c>
      <c r="C816" s="20">
        <v>115.0</v>
      </c>
      <c r="D816" s="20" t="s">
        <v>64</v>
      </c>
      <c r="E816" s="20" t="s">
        <v>298</v>
      </c>
      <c r="F816" s="27"/>
    </row>
    <row r="817">
      <c r="A817" s="26">
        <v>44654.70220451389</v>
      </c>
      <c r="B817" s="20" t="s">
        <v>63</v>
      </c>
      <c r="C817" s="20">
        <v>22.0</v>
      </c>
      <c r="D817" s="20" t="s">
        <v>64</v>
      </c>
      <c r="E817" s="20" t="s">
        <v>63</v>
      </c>
      <c r="F817" s="27"/>
    </row>
    <row r="818">
      <c r="A818" s="26">
        <v>44654.704149363424</v>
      </c>
      <c r="B818" s="20" t="s">
        <v>63</v>
      </c>
      <c r="C818" s="20">
        <v>12.0</v>
      </c>
      <c r="D818" s="20" t="s">
        <v>64</v>
      </c>
      <c r="E818" s="20" t="s">
        <v>63</v>
      </c>
      <c r="F818" s="27"/>
    </row>
    <row r="819">
      <c r="A819" s="26">
        <v>44654.709677314815</v>
      </c>
      <c r="B819" s="20" t="s">
        <v>63</v>
      </c>
      <c r="C819" s="20">
        <v>3.0</v>
      </c>
      <c r="D819" s="20" t="s">
        <v>64</v>
      </c>
      <c r="E819" s="20" t="s">
        <v>63</v>
      </c>
      <c r="F819" s="27"/>
    </row>
    <row r="820">
      <c r="A820" s="26">
        <v>44657.928958749995</v>
      </c>
      <c r="B820" s="20" t="s">
        <v>49</v>
      </c>
      <c r="C820" s="20">
        <v>1184.0</v>
      </c>
      <c r="D820" s="20" t="s">
        <v>228</v>
      </c>
      <c r="E820" s="20" t="s">
        <v>106</v>
      </c>
      <c r="F820" s="27"/>
    </row>
    <row r="821">
      <c r="A821" s="26">
        <v>44657.929543356484</v>
      </c>
      <c r="B821" s="20" t="s">
        <v>49</v>
      </c>
      <c r="C821" s="20">
        <v>724.0</v>
      </c>
      <c r="D821" s="20" t="s">
        <v>40</v>
      </c>
      <c r="E821" s="20" t="s">
        <v>128</v>
      </c>
      <c r="F821" s="27"/>
    </row>
    <row r="822">
      <c r="A822" s="26">
        <v>44657.92981030092</v>
      </c>
      <c r="B822" s="20" t="s">
        <v>49</v>
      </c>
      <c r="C822" s="20">
        <v>14.0</v>
      </c>
      <c r="D822" s="20" t="s">
        <v>90</v>
      </c>
      <c r="E822" s="20" t="s">
        <v>128</v>
      </c>
      <c r="F822" s="27"/>
    </row>
    <row r="823">
      <c r="A823" s="26">
        <v>44657.930059502316</v>
      </c>
      <c r="B823" s="20" t="s">
        <v>49</v>
      </c>
      <c r="C823" s="20">
        <v>635.0</v>
      </c>
      <c r="D823" s="20" t="s">
        <v>40</v>
      </c>
      <c r="E823" s="20" t="s">
        <v>46</v>
      </c>
      <c r="F823" s="27"/>
    </row>
    <row r="824">
      <c r="A824" s="26">
        <v>44657.93030177083</v>
      </c>
      <c r="B824" s="20" t="s">
        <v>49</v>
      </c>
      <c r="C824" s="20">
        <v>448.0</v>
      </c>
      <c r="D824" s="20" t="s">
        <v>38</v>
      </c>
      <c r="E824" s="20" t="s">
        <v>46</v>
      </c>
      <c r="F824" s="27"/>
    </row>
    <row r="825">
      <c r="A825" s="26">
        <v>44657.93049663195</v>
      </c>
      <c r="B825" s="20" t="s">
        <v>49</v>
      </c>
      <c r="C825" s="20">
        <v>532.0</v>
      </c>
      <c r="D825" s="20" t="s">
        <v>36</v>
      </c>
      <c r="E825" s="20" t="s">
        <v>46</v>
      </c>
      <c r="F825" s="27"/>
    </row>
    <row r="826">
      <c r="A826" s="26">
        <v>44658.86849576389</v>
      </c>
      <c r="B826" s="20" t="s">
        <v>63</v>
      </c>
      <c r="C826" s="20">
        <v>76.0</v>
      </c>
      <c r="D826" s="20" t="s">
        <v>64</v>
      </c>
      <c r="E826" s="20" t="s">
        <v>63</v>
      </c>
      <c r="F826" s="27"/>
    </row>
    <row r="827">
      <c r="A827" s="26">
        <v>44659.553405081024</v>
      </c>
      <c r="B827" s="20" t="s">
        <v>84</v>
      </c>
      <c r="C827" s="20">
        <v>221.0</v>
      </c>
      <c r="D827" s="20" t="s">
        <v>64</v>
      </c>
      <c r="E827" s="20" t="s">
        <v>109</v>
      </c>
      <c r="F827" s="27"/>
    </row>
    <row r="828">
      <c r="A828" s="26">
        <v>44659.70711293981</v>
      </c>
      <c r="B828" s="20" t="s">
        <v>233</v>
      </c>
      <c r="C828" s="20">
        <v>52.0</v>
      </c>
      <c r="D828" s="20" t="s">
        <v>64</v>
      </c>
      <c r="E828" s="20" t="s">
        <v>234</v>
      </c>
      <c r="F828" s="27"/>
    </row>
    <row r="829">
      <c r="A829" s="26">
        <v>44659.713009479165</v>
      </c>
      <c r="B829" s="20" t="s">
        <v>49</v>
      </c>
      <c r="C829" s="20">
        <v>589.0</v>
      </c>
      <c r="D829" s="20" t="s">
        <v>80</v>
      </c>
      <c r="E829" s="20" t="s">
        <v>168</v>
      </c>
      <c r="F829" s="27"/>
    </row>
    <row r="830">
      <c r="A830" s="26">
        <v>44659.714099178236</v>
      </c>
      <c r="B830" s="20" t="s">
        <v>49</v>
      </c>
      <c r="C830" s="20">
        <v>98.0</v>
      </c>
      <c r="D830" s="20" t="s">
        <v>73</v>
      </c>
      <c r="E830" s="20" t="s">
        <v>168</v>
      </c>
      <c r="F830" s="27"/>
    </row>
    <row r="831">
      <c r="A831" s="26">
        <v>44659.71442430555</v>
      </c>
      <c r="B831" s="20" t="s">
        <v>49</v>
      </c>
      <c r="C831" s="20">
        <v>1014.0</v>
      </c>
      <c r="D831" s="20" t="s">
        <v>36</v>
      </c>
      <c r="E831" s="20" t="s">
        <v>168</v>
      </c>
      <c r="F831" s="27"/>
    </row>
    <row r="832">
      <c r="A832" s="26">
        <v>44659.714799988426</v>
      </c>
      <c r="B832" s="20" t="s">
        <v>49</v>
      </c>
      <c r="C832" s="20">
        <v>1016.0</v>
      </c>
      <c r="D832" s="20" t="s">
        <v>47</v>
      </c>
      <c r="E832" s="20" t="s">
        <v>96</v>
      </c>
      <c r="F832" s="27"/>
    </row>
    <row r="833">
      <c r="A833" s="26">
        <v>44659.71515049769</v>
      </c>
      <c r="B833" s="20" t="s">
        <v>49</v>
      </c>
      <c r="C833" s="20">
        <v>50.0</v>
      </c>
      <c r="D833" s="20" t="s">
        <v>299</v>
      </c>
      <c r="E833" s="20" t="s">
        <v>96</v>
      </c>
      <c r="F833" s="27"/>
    </row>
    <row r="834">
      <c r="A834" s="26">
        <v>44659.71587164352</v>
      </c>
      <c r="B834" s="20" t="s">
        <v>49</v>
      </c>
      <c r="C834" s="20">
        <v>50.0</v>
      </c>
      <c r="D834" s="20" t="s">
        <v>77</v>
      </c>
      <c r="E834" s="20" t="s">
        <v>96</v>
      </c>
      <c r="F834" s="27"/>
    </row>
    <row r="835">
      <c r="A835" s="26">
        <v>44659.716112662034</v>
      </c>
      <c r="B835" s="20" t="s">
        <v>49</v>
      </c>
      <c r="C835" s="20">
        <v>953.0</v>
      </c>
      <c r="D835" s="20" t="s">
        <v>47</v>
      </c>
      <c r="E835" s="20" t="s">
        <v>168</v>
      </c>
      <c r="F835" s="27"/>
    </row>
    <row r="836">
      <c r="A836" s="26">
        <v>44659.7165647338</v>
      </c>
      <c r="B836" s="20" t="s">
        <v>49</v>
      </c>
      <c r="C836" s="20">
        <v>247.0</v>
      </c>
      <c r="D836" s="20" t="s">
        <v>47</v>
      </c>
      <c r="E836" s="20" t="s">
        <v>96</v>
      </c>
      <c r="F836" s="27"/>
    </row>
    <row r="837">
      <c r="A837" s="26">
        <v>44660.55759349537</v>
      </c>
      <c r="B837" s="20" t="s">
        <v>300</v>
      </c>
      <c r="C837" s="20">
        <v>232.0</v>
      </c>
      <c r="D837" s="20" t="s">
        <v>38</v>
      </c>
      <c r="E837" s="20" t="s">
        <v>75</v>
      </c>
      <c r="F837" s="27"/>
    </row>
    <row r="838">
      <c r="A838" s="26">
        <v>44660.56247138889</v>
      </c>
      <c r="B838" s="20" t="s">
        <v>300</v>
      </c>
      <c r="C838" s="20">
        <v>373.0</v>
      </c>
      <c r="D838" s="20" t="s">
        <v>58</v>
      </c>
      <c r="E838" s="20" t="s">
        <v>75</v>
      </c>
      <c r="F838" s="27"/>
    </row>
    <row r="839">
      <c r="A839" s="26">
        <v>44660.67407813657</v>
      </c>
      <c r="B839" s="20" t="s">
        <v>300</v>
      </c>
      <c r="C839" s="32">
        <v>-107.0</v>
      </c>
      <c r="D839" s="20" t="s">
        <v>38</v>
      </c>
      <c r="E839" s="20" t="s">
        <v>75</v>
      </c>
      <c r="F839" s="27"/>
    </row>
    <row r="840">
      <c r="A840" s="26">
        <v>44660.67711079861</v>
      </c>
      <c r="B840" s="20" t="s">
        <v>300</v>
      </c>
      <c r="C840" s="32">
        <v>-582.0</v>
      </c>
      <c r="D840" s="20" t="s">
        <v>40</v>
      </c>
      <c r="E840" s="20" t="s">
        <v>75</v>
      </c>
      <c r="F840" s="27"/>
    </row>
    <row r="841">
      <c r="A841" s="26">
        <v>44660.68117971065</v>
      </c>
      <c r="B841" s="20" t="s">
        <v>300</v>
      </c>
      <c r="C841" s="32">
        <v>-753.0</v>
      </c>
      <c r="D841" s="20" t="s">
        <v>93</v>
      </c>
      <c r="E841" s="20" t="s">
        <v>75</v>
      </c>
      <c r="F841" s="27"/>
    </row>
    <row r="842">
      <c r="A842" s="26">
        <v>44660.6834959375</v>
      </c>
      <c r="B842" s="20" t="s">
        <v>300</v>
      </c>
      <c r="C842" s="32">
        <v>-568.0</v>
      </c>
      <c r="D842" s="20" t="s">
        <v>40</v>
      </c>
      <c r="E842" s="20" t="s">
        <v>75</v>
      </c>
      <c r="F842" s="27"/>
    </row>
    <row r="843">
      <c r="A843" s="26">
        <v>44660.685791365744</v>
      </c>
      <c r="B843" s="20" t="s">
        <v>300</v>
      </c>
      <c r="C843" s="32">
        <v>-206.0</v>
      </c>
      <c r="D843" s="20" t="s">
        <v>301</v>
      </c>
      <c r="E843" s="20" t="s">
        <v>75</v>
      </c>
      <c r="F843" s="27"/>
    </row>
    <row r="844">
      <c r="A844" s="26">
        <v>44660.688018333334</v>
      </c>
      <c r="B844" s="20" t="s">
        <v>300</v>
      </c>
      <c r="C844" s="32">
        <v>-703.0</v>
      </c>
      <c r="D844" s="20" t="s">
        <v>93</v>
      </c>
      <c r="E844" s="20" t="s">
        <v>75</v>
      </c>
      <c r="F844" s="27"/>
    </row>
    <row r="845">
      <c r="A845" s="26">
        <v>44660.68960113426</v>
      </c>
      <c r="B845" s="20" t="s">
        <v>300</v>
      </c>
      <c r="C845" s="32">
        <v>-247.0</v>
      </c>
      <c r="D845" s="20" t="s">
        <v>156</v>
      </c>
      <c r="E845" s="20" t="s">
        <v>75</v>
      </c>
      <c r="F845" s="27"/>
    </row>
    <row r="846">
      <c r="A846" s="26">
        <v>44660.69274965278</v>
      </c>
      <c r="B846" s="20" t="s">
        <v>300</v>
      </c>
      <c r="C846" s="32">
        <v>-338.0</v>
      </c>
      <c r="D846" s="20" t="s">
        <v>58</v>
      </c>
      <c r="E846" s="20" t="s">
        <v>75</v>
      </c>
      <c r="F846" s="27"/>
    </row>
    <row r="847">
      <c r="A847" s="26">
        <v>44661.57979956019</v>
      </c>
      <c r="B847" s="20" t="s">
        <v>302</v>
      </c>
      <c r="C847" s="20">
        <v>492.0</v>
      </c>
      <c r="D847" s="20" t="s">
        <v>38</v>
      </c>
      <c r="E847" s="20" t="s">
        <v>101</v>
      </c>
      <c r="F847" s="27"/>
    </row>
    <row r="848">
      <c r="A848" s="26">
        <v>44661.58032878472</v>
      </c>
      <c r="B848" s="20" t="s">
        <v>249</v>
      </c>
      <c r="C848" s="20">
        <v>465.0</v>
      </c>
      <c r="D848" s="20" t="s">
        <v>36</v>
      </c>
      <c r="E848" s="20" t="s">
        <v>303</v>
      </c>
      <c r="F848" s="27"/>
    </row>
    <row r="849">
      <c r="A849" s="26">
        <v>44661.58066637731</v>
      </c>
      <c r="B849" s="20" t="s">
        <v>252</v>
      </c>
      <c r="C849" s="20">
        <v>111.0</v>
      </c>
      <c r="D849" s="20" t="s">
        <v>47</v>
      </c>
      <c r="E849" s="20" t="s">
        <v>143</v>
      </c>
      <c r="F849" s="27"/>
    </row>
    <row r="850">
      <c r="A850" s="26">
        <v>44661.58124252315</v>
      </c>
      <c r="B850" s="20" t="s">
        <v>252</v>
      </c>
      <c r="C850" s="20">
        <v>193.0</v>
      </c>
      <c r="D850" s="20" t="s">
        <v>40</v>
      </c>
      <c r="E850" s="20" t="s">
        <v>101</v>
      </c>
      <c r="F850" s="27"/>
    </row>
    <row r="851">
      <c r="A851" s="26">
        <v>44661.58179615741</v>
      </c>
      <c r="B851" s="20" t="s">
        <v>252</v>
      </c>
      <c r="C851" s="20">
        <v>75.0</v>
      </c>
      <c r="D851" s="20" t="s">
        <v>95</v>
      </c>
      <c r="E851" s="20" t="s">
        <v>143</v>
      </c>
      <c r="F851" s="27"/>
    </row>
    <row r="852">
      <c r="A852" s="26">
        <v>44661.58225091435</v>
      </c>
      <c r="B852" s="20" t="s">
        <v>249</v>
      </c>
      <c r="C852" s="20">
        <v>487.0</v>
      </c>
      <c r="D852" s="20" t="s">
        <v>40</v>
      </c>
      <c r="E852" s="20" t="s">
        <v>101</v>
      </c>
      <c r="F852" s="27"/>
    </row>
    <row r="853">
      <c r="A853" s="26">
        <v>44661.582829363426</v>
      </c>
      <c r="B853" s="20" t="s">
        <v>252</v>
      </c>
      <c r="C853" s="20">
        <v>120.0</v>
      </c>
      <c r="D853" s="20" t="s">
        <v>304</v>
      </c>
      <c r="E853" s="20" t="s">
        <v>101</v>
      </c>
      <c r="F853" s="27"/>
    </row>
    <row r="854">
      <c r="A854" s="26">
        <v>44661.583219988424</v>
      </c>
      <c r="B854" s="20" t="s">
        <v>252</v>
      </c>
      <c r="C854" s="20">
        <v>582.0</v>
      </c>
      <c r="D854" s="20" t="s">
        <v>40</v>
      </c>
      <c r="E854" s="20" t="s">
        <v>50</v>
      </c>
      <c r="F854" s="27"/>
    </row>
    <row r="855">
      <c r="A855" s="26">
        <v>44661.583926886575</v>
      </c>
      <c r="B855" s="20" t="s">
        <v>266</v>
      </c>
      <c r="C855" s="20">
        <v>139.0</v>
      </c>
      <c r="D855" s="20" t="s">
        <v>305</v>
      </c>
      <c r="E855" s="20" t="s">
        <v>50</v>
      </c>
      <c r="F855" s="27"/>
    </row>
    <row r="856">
      <c r="A856" s="26">
        <v>44661.64418013889</v>
      </c>
      <c r="B856" s="20" t="s">
        <v>63</v>
      </c>
      <c r="C856" s="20">
        <v>20.0</v>
      </c>
      <c r="D856" s="20" t="s">
        <v>64</v>
      </c>
      <c r="E856" s="20" t="s">
        <v>63</v>
      </c>
      <c r="F856" s="27"/>
    </row>
    <row r="857">
      <c r="A857" s="26">
        <v>44661.71433700231</v>
      </c>
      <c r="B857" s="20" t="s">
        <v>63</v>
      </c>
      <c r="C857" s="20">
        <v>5.0</v>
      </c>
      <c r="D857" s="20" t="s">
        <v>64</v>
      </c>
      <c r="E857" s="20" t="s">
        <v>63</v>
      </c>
      <c r="F857" s="27"/>
    </row>
    <row r="858">
      <c r="A858" s="26">
        <v>44661.714722233795</v>
      </c>
      <c r="B858" s="20" t="s">
        <v>63</v>
      </c>
      <c r="C858" s="20">
        <v>16.0</v>
      </c>
      <c r="D858" s="20" t="s">
        <v>64</v>
      </c>
      <c r="E858" s="20" t="s">
        <v>63</v>
      </c>
      <c r="F858" s="27"/>
    </row>
    <row r="859">
      <c r="A859" s="26">
        <v>44664.62569829861</v>
      </c>
      <c r="B859" s="20" t="s">
        <v>177</v>
      </c>
      <c r="C859" s="20">
        <v>816.0</v>
      </c>
      <c r="D859" s="20" t="s">
        <v>47</v>
      </c>
      <c r="E859" s="20" t="s">
        <v>306</v>
      </c>
      <c r="F859" s="27"/>
    </row>
    <row r="860">
      <c r="A860" s="26">
        <v>44664.62609672453</v>
      </c>
      <c r="B860" s="20" t="s">
        <v>177</v>
      </c>
      <c r="C860" s="20">
        <v>607.0</v>
      </c>
      <c r="D860" s="20" t="s">
        <v>40</v>
      </c>
      <c r="E860" s="20" t="s">
        <v>307</v>
      </c>
      <c r="F860" s="27"/>
    </row>
    <row r="861">
      <c r="A861" s="26">
        <v>44664.670126365745</v>
      </c>
      <c r="B861" s="20" t="s">
        <v>214</v>
      </c>
      <c r="C861" s="20">
        <v>788.0</v>
      </c>
      <c r="D861" s="20" t="s">
        <v>308</v>
      </c>
      <c r="E861" s="20" t="s">
        <v>46</v>
      </c>
      <c r="F861" s="27"/>
    </row>
    <row r="862">
      <c r="A862" s="26">
        <v>44664.67332002315</v>
      </c>
      <c r="B862" s="20" t="s">
        <v>214</v>
      </c>
      <c r="C862" s="20">
        <v>468.0</v>
      </c>
      <c r="D862" s="20" t="s">
        <v>95</v>
      </c>
      <c r="E862" s="20" t="s">
        <v>46</v>
      </c>
      <c r="F862" s="27"/>
    </row>
    <row r="863">
      <c r="A863" s="26">
        <v>44664.788604236106</v>
      </c>
      <c r="B863" s="20" t="s">
        <v>49</v>
      </c>
      <c r="C863" s="20">
        <v>520.0</v>
      </c>
      <c r="D863" s="20" t="s">
        <v>47</v>
      </c>
      <c r="E863" s="20" t="s">
        <v>46</v>
      </c>
      <c r="F863" s="27"/>
    </row>
    <row r="864">
      <c r="A864" s="26">
        <v>44664.82640893519</v>
      </c>
      <c r="B864" s="20" t="s">
        <v>49</v>
      </c>
      <c r="C864" s="20">
        <v>500.0</v>
      </c>
      <c r="D864" s="20" t="s">
        <v>47</v>
      </c>
      <c r="E864" s="20" t="s">
        <v>237</v>
      </c>
      <c r="F864" s="27"/>
    </row>
    <row r="865">
      <c r="A865" s="26">
        <v>44664.826716365744</v>
      </c>
      <c r="B865" s="20" t="s">
        <v>49</v>
      </c>
      <c r="C865" s="20">
        <v>472.0</v>
      </c>
      <c r="D865" s="20" t="s">
        <v>156</v>
      </c>
      <c r="E865" s="20" t="s">
        <v>75</v>
      </c>
      <c r="F865" s="27"/>
    </row>
    <row r="866">
      <c r="A866" s="26">
        <v>44664.82718090278</v>
      </c>
      <c r="B866" s="20" t="s">
        <v>49</v>
      </c>
      <c r="C866" s="20">
        <v>382.0</v>
      </c>
      <c r="D866" s="20" t="s">
        <v>309</v>
      </c>
      <c r="E866" s="20" t="s">
        <v>75</v>
      </c>
      <c r="F866" s="27"/>
    </row>
    <row r="867">
      <c r="A867" s="26">
        <v>44664.82758369213</v>
      </c>
      <c r="B867" s="20" t="s">
        <v>49</v>
      </c>
      <c r="C867" s="20">
        <v>646.0</v>
      </c>
      <c r="D867" s="20" t="s">
        <v>87</v>
      </c>
      <c r="E867" s="20" t="s">
        <v>75</v>
      </c>
      <c r="F867" s="27"/>
    </row>
    <row r="868">
      <c r="A868" s="26">
        <v>44664.82812519676</v>
      </c>
      <c r="B868" s="20" t="s">
        <v>49</v>
      </c>
      <c r="C868" s="20">
        <v>346.0</v>
      </c>
      <c r="D868" s="20" t="s">
        <v>64</v>
      </c>
      <c r="E868" s="20" t="s">
        <v>219</v>
      </c>
      <c r="F868" s="27"/>
    </row>
    <row r="869">
      <c r="A869" s="26">
        <v>44664.82844056713</v>
      </c>
      <c r="B869" s="20" t="s">
        <v>49</v>
      </c>
      <c r="C869" s="20">
        <v>1336.0</v>
      </c>
      <c r="D869" s="20" t="s">
        <v>87</v>
      </c>
      <c r="E869" s="20" t="s">
        <v>75</v>
      </c>
      <c r="F869" s="27"/>
    </row>
    <row r="870">
      <c r="A870" s="26">
        <v>44664.82873337963</v>
      </c>
      <c r="B870" s="20" t="s">
        <v>49</v>
      </c>
      <c r="C870" s="20">
        <v>843.0</v>
      </c>
      <c r="D870" s="20" t="s">
        <v>87</v>
      </c>
      <c r="E870" s="20" t="s">
        <v>75</v>
      </c>
      <c r="F870" s="27"/>
    </row>
    <row r="871">
      <c r="A871" s="26">
        <v>44664.829007002314</v>
      </c>
      <c r="B871" s="20" t="s">
        <v>49</v>
      </c>
      <c r="C871" s="20">
        <v>1283.0</v>
      </c>
      <c r="D871" s="20" t="s">
        <v>87</v>
      </c>
      <c r="E871" s="20" t="s">
        <v>75</v>
      </c>
      <c r="F871" s="27"/>
    </row>
    <row r="872">
      <c r="A872" s="26">
        <v>44664.82945855324</v>
      </c>
      <c r="B872" s="20" t="s">
        <v>49</v>
      </c>
      <c r="C872" s="20">
        <v>576.0</v>
      </c>
      <c r="D872" s="20" t="s">
        <v>40</v>
      </c>
      <c r="E872" s="20" t="s">
        <v>75</v>
      </c>
      <c r="F872" s="27"/>
    </row>
    <row r="873">
      <c r="A873" s="26">
        <v>44664.82967010417</v>
      </c>
      <c r="B873" s="20" t="s">
        <v>49</v>
      </c>
      <c r="C873" s="20">
        <v>616.0</v>
      </c>
      <c r="D873" s="20" t="s">
        <v>40</v>
      </c>
      <c r="E873" s="20" t="s">
        <v>75</v>
      </c>
      <c r="F873" s="27"/>
    </row>
    <row r="874">
      <c r="A874" s="26">
        <v>44664.82995140046</v>
      </c>
      <c r="B874" s="20" t="s">
        <v>49</v>
      </c>
      <c r="C874" s="20">
        <v>551.0</v>
      </c>
      <c r="D874" s="20" t="s">
        <v>40</v>
      </c>
      <c r="E874" s="20" t="s">
        <v>75</v>
      </c>
      <c r="F874" s="27"/>
    </row>
    <row r="875">
      <c r="A875" s="26">
        <v>44664.83026935185</v>
      </c>
      <c r="B875" s="20" t="s">
        <v>49</v>
      </c>
      <c r="C875" s="20">
        <v>570.0</v>
      </c>
      <c r="D875" s="20" t="s">
        <v>40</v>
      </c>
      <c r="E875" s="20" t="s">
        <v>75</v>
      </c>
      <c r="F875" s="27"/>
    </row>
    <row r="876">
      <c r="A876" s="26">
        <v>44664.83054285879</v>
      </c>
      <c r="B876" s="20" t="s">
        <v>49</v>
      </c>
      <c r="C876" s="20">
        <v>525.0</v>
      </c>
      <c r="D876" s="20" t="s">
        <v>77</v>
      </c>
      <c r="E876" s="20" t="s">
        <v>75</v>
      </c>
      <c r="F876" s="27"/>
    </row>
    <row r="877">
      <c r="A877" s="26">
        <v>44664.83087311343</v>
      </c>
      <c r="B877" s="20" t="s">
        <v>49</v>
      </c>
      <c r="C877" s="20">
        <v>572.0</v>
      </c>
      <c r="D877" s="20" t="s">
        <v>77</v>
      </c>
      <c r="E877" s="20" t="s">
        <v>75</v>
      </c>
      <c r="F877" s="27"/>
    </row>
    <row r="878">
      <c r="A878" s="26">
        <v>44664.83140263888</v>
      </c>
      <c r="B878" s="20" t="s">
        <v>49</v>
      </c>
      <c r="C878" s="20">
        <v>1744.0</v>
      </c>
      <c r="D878" s="20" t="s">
        <v>310</v>
      </c>
      <c r="E878" s="20" t="s">
        <v>75</v>
      </c>
      <c r="F878" s="27"/>
    </row>
    <row r="879">
      <c r="A879" s="26">
        <v>44665.54709375</v>
      </c>
      <c r="B879" s="20" t="s">
        <v>84</v>
      </c>
      <c r="C879" s="20">
        <v>210.0</v>
      </c>
      <c r="D879" s="20" t="s">
        <v>64</v>
      </c>
      <c r="E879" s="20" t="s">
        <v>86</v>
      </c>
      <c r="F879" s="27"/>
    </row>
    <row r="880">
      <c r="A880" s="26">
        <v>44665.57018923611</v>
      </c>
      <c r="B880" s="20" t="s">
        <v>84</v>
      </c>
      <c r="C880" s="20">
        <v>61.0</v>
      </c>
      <c r="D880" s="20" t="s">
        <v>73</v>
      </c>
      <c r="E880" s="20" t="s">
        <v>86</v>
      </c>
      <c r="F880" s="27"/>
    </row>
    <row r="881">
      <c r="A881" s="26">
        <v>44665.57790925926</v>
      </c>
      <c r="B881" s="20" t="s">
        <v>84</v>
      </c>
      <c r="C881" s="20">
        <v>9.0</v>
      </c>
      <c r="D881" s="20" t="s">
        <v>73</v>
      </c>
      <c r="E881" s="20" t="s">
        <v>86</v>
      </c>
      <c r="F881" s="27"/>
    </row>
    <row r="882">
      <c r="A882" s="26">
        <v>44666.69497331019</v>
      </c>
      <c r="B882" s="20" t="s">
        <v>233</v>
      </c>
      <c r="C882" s="20">
        <v>126.0</v>
      </c>
      <c r="D882" s="20" t="s">
        <v>64</v>
      </c>
      <c r="E882" s="20" t="s">
        <v>234</v>
      </c>
      <c r="F882" s="27"/>
    </row>
    <row r="883">
      <c r="A883" s="26">
        <v>44666.74084115741</v>
      </c>
      <c r="B883" s="20" t="s">
        <v>49</v>
      </c>
      <c r="C883" s="20">
        <v>701.0</v>
      </c>
      <c r="D883" s="20" t="s">
        <v>40</v>
      </c>
      <c r="E883" s="20" t="s">
        <v>96</v>
      </c>
      <c r="F883" s="27"/>
    </row>
    <row r="884">
      <c r="A884" s="26">
        <v>44666.741129814814</v>
      </c>
      <c r="B884" s="20" t="s">
        <v>49</v>
      </c>
      <c r="C884" s="20">
        <v>570.0</v>
      </c>
      <c r="D884" s="20" t="s">
        <v>36</v>
      </c>
      <c r="E884" s="20" t="s">
        <v>96</v>
      </c>
      <c r="F884" s="27"/>
    </row>
    <row r="885">
      <c r="A885" s="26">
        <v>44666.74148240741</v>
      </c>
      <c r="B885" s="20" t="s">
        <v>49</v>
      </c>
      <c r="C885" s="20">
        <v>190.0</v>
      </c>
      <c r="D885" s="20" t="s">
        <v>64</v>
      </c>
      <c r="E885" s="20" t="s">
        <v>96</v>
      </c>
      <c r="F885" s="27"/>
    </row>
    <row r="886">
      <c r="A886" s="26">
        <v>44666.74203170139</v>
      </c>
      <c r="B886" s="20" t="s">
        <v>49</v>
      </c>
      <c r="C886" s="20">
        <v>414.0</v>
      </c>
      <c r="D886" s="20" t="s">
        <v>38</v>
      </c>
      <c r="E886" s="20" t="s">
        <v>96</v>
      </c>
      <c r="F886" s="27"/>
    </row>
    <row r="887">
      <c r="A887" s="26">
        <v>44666.74365752315</v>
      </c>
      <c r="B887" s="20" t="s">
        <v>49</v>
      </c>
      <c r="C887" s="20">
        <v>157.0</v>
      </c>
      <c r="D887" s="20" t="s">
        <v>73</v>
      </c>
      <c r="E887" s="20" t="s">
        <v>96</v>
      </c>
      <c r="F887" s="27"/>
    </row>
    <row r="888">
      <c r="A888" s="26">
        <v>44666.744017731486</v>
      </c>
      <c r="B888" s="20" t="s">
        <v>49</v>
      </c>
      <c r="C888" s="20">
        <v>25.0</v>
      </c>
      <c r="D888" s="20" t="s">
        <v>125</v>
      </c>
      <c r="E888" s="20" t="s">
        <v>96</v>
      </c>
      <c r="F888" s="27"/>
    </row>
    <row r="889">
      <c r="A889" s="26">
        <v>44667.51941486111</v>
      </c>
      <c r="B889" s="20" t="s">
        <v>285</v>
      </c>
      <c r="C889" s="20">
        <v>582.0</v>
      </c>
      <c r="D889" s="20" t="s">
        <v>40</v>
      </c>
      <c r="E889" s="20" t="s">
        <v>311</v>
      </c>
      <c r="F889" s="27"/>
    </row>
    <row r="890">
      <c r="A890" s="26">
        <v>44667.52025461805</v>
      </c>
      <c r="B890" s="20" t="s">
        <v>285</v>
      </c>
      <c r="C890" s="20">
        <v>668.0</v>
      </c>
      <c r="D890" s="20" t="s">
        <v>40</v>
      </c>
      <c r="E890" s="20" t="s">
        <v>312</v>
      </c>
      <c r="F890" s="27"/>
    </row>
    <row r="891">
      <c r="A891" s="26">
        <v>44667.52201173611</v>
      </c>
      <c r="B891" s="20" t="s">
        <v>284</v>
      </c>
      <c r="C891" s="20">
        <v>715.0</v>
      </c>
      <c r="D891" s="20" t="s">
        <v>40</v>
      </c>
      <c r="E891" s="20" t="s">
        <v>312</v>
      </c>
      <c r="F891" s="27"/>
    </row>
    <row r="892">
      <c r="A892" s="26">
        <v>44667.52245143519</v>
      </c>
      <c r="B892" s="20" t="s">
        <v>285</v>
      </c>
      <c r="C892" s="20">
        <v>731.0</v>
      </c>
      <c r="D892" s="20" t="s">
        <v>40</v>
      </c>
      <c r="E892" s="20" t="s">
        <v>312</v>
      </c>
      <c r="F892" s="27"/>
    </row>
    <row r="893">
      <c r="A893" s="26">
        <v>44667.52295484954</v>
      </c>
      <c r="B893" s="20" t="s">
        <v>285</v>
      </c>
      <c r="C893" s="20">
        <v>679.0</v>
      </c>
      <c r="D893" s="20" t="s">
        <v>40</v>
      </c>
      <c r="E893" s="20" t="s">
        <v>312</v>
      </c>
      <c r="F893" s="27"/>
    </row>
    <row r="894">
      <c r="A894" s="26">
        <v>44667.52368894676</v>
      </c>
      <c r="B894" s="20" t="s">
        <v>285</v>
      </c>
      <c r="C894" s="20">
        <v>128.0</v>
      </c>
      <c r="D894" s="20" t="s">
        <v>283</v>
      </c>
      <c r="E894" s="20" t="s">
        <v>312</v>
      </c>
      <c r="F894" s="27"/>
    </row>
    <row r="895">
      <c r="A895" s="26">
        <v>44667.52444115741</v>
      </c>
      <c r="B895" s="20" t="s">
        <v>285</v>
      </c>
      <c r="C895" s="20">
        <v>1482.0</v>
      </c>
      <c r="D895" s="20" t="s">
        <v>313</v>
      </c>
      <c r="E895" s="20" t="s">
        <v>311</v>
      </c>
      <c r="F895" s="27"/>
    </row>
    <row r="896">
      <c r="A896" s="26">
        <v>44667.52496009259</v>
      </c>
      <c r="B896" s="20" t="s">
        <v>285</v>
      </c>
      <c r="C896" s="20">
        <v>639.0</v>
      </c>
      <c r="D896" s="20" t="s">
        <v>314</v>
      </c>
      <c r="E896" s="20" t="s">
        <v>312</v>
      </c>
      <c r="F896" s="27"/>
    </row>
    <row r="897">
      <c r="A897" s="26">
        <v>44667.527214155096</v>
      </c>
      <c r="B897" s="20" t="s">
        <v>285</v>
      </c>
      <c r="C897" s="20">
        <v>636.0</v>
      </c>
      <c r="D897" s="20" t="s">
        <v>315</v>
      </c>
      <c r="E897" s="20" t="s">
        <v>312</v>
      </c>
      <c r="F897" s="27"/>
    </row>
    <row r="898">
      <c r="A898" s="26">
        <v>44667.529306122684</v>
      </c>
      <c r="B898" s="20" t="s">
        <v>285</v>
      </c>
      <c r="C898" s="20">
        <v>415.0</v>
      </c>
      <c r="D898" s="20" t="s">
        <v>316</v>
      </c>
      <c r="E898" s="20" t="s">
        <v>311</v>
      </c>
      <c r="F898" s="27"/>
    </row>
    <row r="899">
      <c r="A899" s="26">
        <v>44667.53000510417</v>
      </c>
      <c r="B899" s="20" t="s">
        <v>285</v>
      </c>
      <c r="C899" s="20">
        <v>376.0</v>
      </c>
      <c r="D899" s="20" t="s">
        <v>156</v>
      </c>
      <c r="E899" s="20" t="s">
        <v>311</v>
      </c>
      <c r="F899" s="27"/>
    </row>
    <row r="900">
      <c r="A900" s="26">
        <v>44667.53455030093</v>
      </c>
      <c r="B900" s="20" t="s">
        <v>285</v>
      </c>
      <c r="C900" s="20">
        <v>604.0</v>
      </c>
      <c r="D900" s="20" t="s">
        <v>113</v>
      </c>
      <c r="E900" s="20" t="s">
        <v>311</v>
      </c>
      <c r="F900" s="27"/>
    </row>
    <row r="901">
      <c r="A901" s="26">
        <v>44667.538621747684</v>
      </c>
      <c r="B901" s="20" t="s">
        <v>285</v>
      </c>
      <c r="C901" s="20">
        <v>667.0</v>
      </c>
      <c r="D901" s="20" t="s">
        <v>113</v>
      </c>
      <c r="E901" s="20" t="s">
        <v>311</v>
      </c>
      <c r="F901" s="27"/>
    </row>
    <row r="902">
      <c r="A902" s="26">
        <v>44667.54331085648</v>
      </c>
      <c r="B902" s="20" t="s">
        <v>285</v>
      </c>
      <c r="C902" s="20">
        <v>722.0</v>
      </c>
      <c r="D902" s="20" t="s">
        <v>43</v>
      </c>
      <c r="E902" s="20" t="s">
        <v>312</v>
      </c>
      <c r="F902" s="27"/>
    </row>
    <row r="903">
      <c r="A903" s="26">
        <v>44667.54572135417</v>
      </c>
      <c r="B903" s="20" t="s">
        <v>285</v>
      </c>
      <c r="C903" s="20">
        <v>1051.0</v>
      </c>
      <c r="D903" s="20" t="s">
        <v>317</v>
      </c>
      <c r="E903" s="20" t="s">
        <v>312</v>
      </c>
      <c r="F903" s="27"/>
    </row>
    <row r="904">
      <c r="A904" s="26">
        <v>44667.550612280094</v>
      </c>
      <c r="B904" s="20" t="s">
        <v>285</v>
      </c>
      <c r="C904" s="20">
        <v>917.0</v>
      </c>
      <c r="D904" s="20" t="s">
        <v>36</v>
      </c>
      <c r="E904" s="20" t="s">
        <v>312</v>
      </c>
      <c r="F904" s="27"/>
    </row>
    <row r="905">
      <c r="A905" s="26">
        <v>44667.55658284722</v>
      </c>
      <c r="B905" s="20" t="s">
        <v>285</v>
      </c>
      <c r="C905" s="20">
        <v>276.0</v>
      </c>
      <c r="D905" s="20" t="s">
        <v>38</v>
      </c>
      <c r="E905" s="20" t="s">
        <v>312</v>
      </c>
      <c r="F905" s="27"/>
    </row>
    <row r="906">
      <c r="A906" s="26">
        <v>44667.559468252315</v>
      </c>
      <c r="B906" s="20" t="s">
        <v>285</v>
      </c>
      <c r="C906" s="20">
        <v>904.0</v>
      </c>
      <c r="D906" s="20" t="s">
        <v>38</v>
      </c>
      <c r="E906" s="20" t="s">
        <v>312</v>
      </c>
      <c r="F906" s="27"/>
    </row>
    <row r="907">
      <c r="A907" s="26">
        <v>44667.564079421296</v>
      </c>
      <c r="B907" s="20" t="s">
        <v>285</v>
      </c>
      <c r="C907" s="20">
        <v>1088.0</v>
      </c>
      <c r="D907" s="20" t="s">
        <v>47</v>
      </c>
      <c r="E907" s="20" t="s">
        <v>312</v>
      </c>
      <c r="F907" s="27"/>
    </row>
    <row r="908">
      <c r="A908" s="26">
        <v>44667.57053660879</v>
      </c>
      <c r="B908" s="20" t="s">
        <v>285</v>
      </c>
      <c r="C908" s="20">
        <v>155.0</v>
      </c>
      <c r="D908" s="20" t="s">
        <v>38</v>
      </c>
      <c r="E908" s="20" t="s">
        <v>312</v>
      </c>
      <c r="F908" s="27"/>
    </row>
    <row r="909">
      <c r="A909" s="26">
        <v>44667.695073738425</v>
      </c>
      <c r="B909" s="20" t="s">
        <v>49</v>
      </c>
      <c r="C909" s="20">
        <v>281.0</v>
      </c>
      <c r="D909" s="20" t="s">
        <v>40</v>
      </c>
      <c r="E909" s="20" t="s">
        <v>75</v>
      </c>
      <c r="F909" s="27"/>
    </row>
    <row r="910">
      <c r="A910" s="26">
        <v>44667.695559988424</v>
      </c>
      <c r="B910" s="20" t="s">
        <v>49</v>
      </c>
      <c r="C910" s="20">
        <v>165.0</v>
      </c>
      <c r="D910" s="20" t="s">
        <v>318</v>
      </c>
      <c r="E910" s="20" t="s">
        <v>75</v>
      </c>
      <c r="F910" s="27"/>
    </row>
    <row r="911">
      <c r="A911" s="26">
        <v>44667.69585907407</v>
      </c>
      <c r="B911" s="20" t="s">
        <v>49</v>
      </c>
      <c r="C911" s="32">
        <v>-290.0</v>
      </c>
      <c r="D911" s="20" t="s">
        <v>38</v>
      </c>
      <c r="E911" s="20" t="s">
        <v>75</v>
      </c>
      <c r="F911" s="27"/>
    </row>
    <row r="912">
      <c r="A912" s="26">
        <v>44667.6962083449</v>
      </c>
      <c r="B912" s="20" t="s">
        <v>49</v>
      </c>
      <c r="C912" s="20">
        <v>142.0</v>
      </c>
      <c r="D912" s="20" t="s">
        <v>38</v>
      </c>
      <c r="E912" s="20" t="s">
        <v>75</v>
      </c>
      <c r="F912" s="27"/>
    </row>
    <row r="913">
      <c r="A913" s="26">
        <v>44667.69658633102</v>
      </c>
      <c r="B913" s="20" t="s">
        <v>49</v>
      </c>
      <c r="C913" s="32">
        <v>-470.0</v>
      </c>
      <c r="D913" s="20" t="s">
        <v>47</v>
      </c>
      <c r="E913" s="20" t="s">
        <v>75</v>
      </c>
      <c r="F913" s="27"/>
    </row>
    <row r="914">
      <c r="A914" s="26">
        <v>44667.69706127315</v>
      </c>
      <c r="B914" s="20" t="s">
        <v>49</v>
      </c>
      <c r="C914" s="32">
        <v>-495.0</v>
      </c>
      <c r="D914" s="20" t="s">
        <v>314</v>
      </c>
      <c r="E914" s="20" t="s">
        <v>75</v>
      </c>
      <c r="F914" s="27"/>
    </row>
    <row r="915">
      <c r="A915" s="26">
        <v>44667.69759982639</v>
      </c>
      <c r="B915" s="20" t="s">
        <v>49</v>
      </c>
      <c r="C915" s="32">
        <v>-15.0</v>
      </c>
      <c r="D915" s="20" t="s">
        <v>319</v>
      </c>
      <c r="E915" s="20" t="s">
        <v>75</v>
      </c>
      <c r="F915" s="27"/>
    </row>
    <row r="916">
      <c r="A916" s="26">
        <v>44667.69840581018</v>
      </c>
      <c r="B916" s="20" t="s">
        <v>49</v>
      </c>
      <c r="C916" s="32">
        <v>-663.0</v>
      </c>
      <c r="D916" s="20" t="s">
        <v>40</v>
      </c>
      <c r="E916" s="20" t="s">
        <v>75</v>
      </c>
      <c r="F916" s="27"/>
    </row>
    <row r="917">
      <c r="A917" s="26">
        <v>44667.69889880787</v>
      </c>
      <c r="B917" s="20" t="s">
        <v>49</v>
      </c>
      <c r="C917" s="32">
        <v>-407.0</v>
      </c>
      <c r="D917" s="20" t="s">
        <v>40</v>
      </c>
      <c r="E917" s="20" t="s">
        <v>75</v>
      </c>
      <c r="F917" s="27"/>
    </row>
    <row r="918">
      <c r="A918" s="26">
        <v>44667.699208969905</v>
      </c>
      <c r="B918" s="20" t="s">
        <v>49</v>
      </c>
      <c r="C918" s="32">
        <v>-423.0</v>
      </c>
      <c r="D918" s="20" t="s">
        <v>113</v>
      </c>
      <c r="E918" s="20" t="s">
        <v>75</v>
      </c>
      <c r="F918" s="27"/>
    </row>
    <row r="919">
      <c r="A919" s="26">
        <v>44667.70025119213</v>
      </c>
      <c r="B919" s="20" t="s">
        <v>49</v>
      </c>
      <c r="C919" s="32">
        <v>-611.0</v>
      </c>
      <c r="D919" s="20" t="s">
        <v>315</v>
      </c>
      <c r="E919" s="20" t="s">
        <v>75</v>
      </c>
      <c r="F919" s="27"/>
    </row>
    <row r="920">
      <c r="A920" s="26">
        <v>44667.70061223379</v>
      </c>
      <c r="B920" s="20" t="s">
        <v>49</v>
      </c>
      <c r="C920" s="32">
        <v>-635.0</v>
      </c>
      <c r="D920" s="20" t="s">
        <v>36</v>
      </c>
      <c r="E920" s="20" t="s">
        <v>75</v>
      </c>
      <c r="F920" s="27"/>
    </row>
    <row r="921">
      <c r="A921" s="26">
        <v>44667.70149186342</v>
      </c>
      <c r="B921" s="20" t="s">
        <v>49</v>
      </c>
      <c r="C921" s="32">
        <v>-821.0</v>
      </c>
      <c r="D921" s="20" t="s">
        <v>313</v>
      </c>
      <c r="E921" s="20" t="s">
        <v>75</v>
      </c>
      <c r="F921" s="27"/>
    </row>
    <row r="922">
      <c r="A922" s="26">
        <v>44667.70204320602</v>
      </c>
      <c r="B922" s="20" t="s">
        <v>49</v>
      </c>
      <c r="C922" s="32">
        <v>-69.0</v>
      </c>
      <c r="D922" s="20" t="s">
        <v>40</v>
      </c>
      <c r="E922" s="20" t="s">
        <v>75</v>
      </c>
      <c r="F922" s="27"/>
    </row>
    <row r="923">
      <c r="A923" s="26">
        <v>44667.702720625</v>
      </c>
      <c r="B923" s="20" t="s">
        <v>49</v>
      </c>
      <c r="C923" s="32">
        <v>-363.0</v>
      </c>
      <c r="D923" s="20" t="s">
        <v>113</v>
      </c>
      <c r="E923" s="20" t="s">
        <v>75</v>
      </c>
      <c r="F923" s="27"/>
    </row>
    <row r="924">
      <c r="A924" s="26">
        <v>44667.70365844907</v>
      </c>
      <c r="B924" s="20" t="s">
        <v>49</v>
      </c>
      <c r="C924" s="32">
        <v>-134.0</v>
      </c>
      <c r="D924" s="20" t="s">
        <v>320</v>
      </c>
      <c r="E924" s="20" t="s">
        <v>75</v>
      </c>
      <c r="F924" s="27"/>
    </row>
    <row r="925">
      <c r="A925" s="26">
        <v>44667.704035613424</v>
      </c>
      <c r="B925" s="20" t="s">
        <v>49</v>
      </c>
      <c r="C925" s="32">
        <v>-77.0</v>
      </c>
      <c r="D925" s="20" t="s">
        <v>321</v>
      </c>
      <c r="E925" s="20" t="s">
        <v>75</v>
      </c>
      <c r="F925" s="27"/>
    </row>
    <row r="926">
      <c r="A926" s="26">
        <v>44667.7047984838</v>
      </c>
      <c r="B926" s="20" t="s">
        <v>49</v>
      </c>
      <c r="C926" s="32">
        <v>-727.0</v>
      </c>
      <c r="D926" s="20" t="s">
        <v>228</v>
      </c>
      <c r="E926" s="20" t="s">
        <v>75</v>
      </c>
      <c r="F926" s="27"/>
    </row>
    <row r="927">
      <c r="A927" s="26">
        <v>44667.88623886574</v>
      </c>
      <c r="B927" s="20" t="s">
        <v>322</v>
      </c>
      <c r="C927" s="20">
        <v>19.0</v>
      </c>
      <c r="D927" s="20" t="s">
        <v>80</v>
      </c>
      <c r="E927" s="20" t="s">
        <v>323</v>
      </c>
      <c r="F927" s="27"/>
    </row>
    <row r="928">
      <c r="A928" s="26">
        <v>44668.52008949074</v>
      </c>
      <c r="C928" s="20">
        <v>686.0</v>
      </c>
      <c r="D928" s="20" t="s">
        <v>40</v>
      </c>
      <c r="E928" s="20" t="s">
        <v>145</v>
      </c>
      <c r="F928" s="27"/>
    </row>
    <row r="929">
      <c r="A929" s="26">
        <v>44668.52027311343</v>
      </c>
      <c r="C929" s="20">
        <v>349.0</v>
      </c>
      <c r="D929" s="20" t="s">
        <v>40</v>
      </c>
      <c r="E929" s="20" t="s">
        <v>145</v>
      </c>
      <c r="F929" s="27"/>
    </row>
    <row r="930">
      <c r="A930" s="26">
        <v>44668.521175057875</v>
      </c>
      <c r="C930" s="20">
        <v>427.0</v>
      </c>
      <c r="D930" s="20" t="s">
        <v>47</v>
      </c>
      <c r="E930" s="20" t="s">
        <v>145</v>
      </c>
      <c r="F930" s="27"/>
    </row>
    <row r="931">
      <c r="A931" s="26">
        <v>44668.5215980787</v>
      </c>
      <c r="C931" s="20">
        <v>378.0</v>
      </c>
      <c r="D931" s="20" t="s">
        <v>324</v>
      </c>
      <c r="E931" s="20" t="s">
        <v>145</v>
      </c>
      <c r="F931" s="27"/>
    </row>
    <row r="932">
      <c r="A932" s="26">
        <v>44668.521791701394</v>
      </c>
      <c r="C932" s="20">
        <v>15.0</v>
      </c>
      <c r="D932" s="20" t="s">
        <v>40</v>
      </c>
      <c r="E932" s="20" t="s">
        <v>145</v>
      </c>
      <c r="F932" s="27"/>
    </row>
    <row r="933">
      <c r="A933" s="26">
        <v>44668.522010925924</v>
      </c>
      <c r="C933" s="20">
        <v>520.0</v>
      </c>
      <c r="D933" s="20" t="s">
        <v>40</v>
      </c>
      <c r="E933" s="20" t="s">
        <v>50</v>
      </c>
      <c r="F933" s="27"/>
    </row>
    <row r="934">
      <c r="A934" s="26">
        <v>44668.54649511574</v>
      </c>
      <c r="C934" s="20">
        <v>287.0</v>
      </c>
      <c r="D934" s="20" t="s">
        <v>40</v>
      </c>
      <c r="E934" s="20" t="s">
        <v>65</v>
      </c>
      <c r="F934" s="27"/>
    </row>
    <row r="935">
      <c r="A935" s="26">
        <v>44668.63448275463</v>
      </c>
      <c r="B935" s="20" t="s">
        <v>63</v>
      </c>
      <c r="C935" s="20">
        <v>51.0</v>
      </c>
      <c r="D935" s="20" t="s">
        <v>325</v>
      </c>
      <c r="E935" s="20" t="s">
        <v>65</v>
      </c>
      <c r="F935" s="27"/>
    </row>
    <row r="936">
      <c r="A936" s="26">
        <v>44668.68710758102</v>
      </c>
      <c r="B936" s="20" t="s">
        <v>49</v>
      </c>
      <c r="C936" s="20">
        <v>17.0</v>
      </c>
      <c r="D936" s="20" t="s">
        <v>64</v>
      </c>
      <c r="E936" s="20" t="s">
        <v>63</v>
      </c>
      <c r="F936" s="27"/>
    </row>
    <row r="937">
      <c r="A937" s="26">
        <v>44668.68779784722</v>
      </c>
      <c r="B937" s="20" t="s">
        <v>63</v>
      </c>
      <c r="C937" s="20">
        <v>18.0</v>
      </c>
      <c r="D937" s="20" t="s">
        <v>64</v>
      </c>
      <c r="E937" s="20" t="s">
        <v>63</v>
      </c>
      <c r="F937" s="27"/>
    </row>
    <row r="938">
      <c r="A938" s="26">
        <v>44668.71395118056</v>
      </c>
      <c r="B938" s="20" t="s">
        <v>63</v>
      </c>
      <c r="C938" s="20">
        <v>11.0</v>
      </c>
      <c r="D938" s="20" t="s">
        <v>64</v>
      </c>
      <c r="E938" s="20" t="s">
        <v>63</v>
      </c>
      <c r="F938" s="27"/>
    </row>
    <row r="939">
      <c r="A939" s="26">
        <v>44668.74936987269</v>
      </c>
      <c r="B939" s="20" t="s">
        <v>49</v>
      </c>
      <c r="C939" s="20">
        <v>47.0</v>
      </c>
      <c r="D939" s="20" t="s">
        <v>40</v>
      </c>
      <c r="E939" s="20" t="s">
        <v>65</v>
      </c>
      <c r="F939" s="27"/>
    </row>
    <row r="940">
      <c r="A940" s="26">
        <v>44668.74969866898</v>
      </c>
      <c r="B940" s="20" t="s">
        <v>49</v>
      </c>
      <c r="C940" s="20">
        <v>88.0</v>
      </c>
      <c r="D940" s="20" t="s">
        <v>73</v>
      </c>
      <c r="E940" s="20" t="s">
        <v>65</v>
      </c>
      <c r="F940" s="27"/>
    </row>
    <row r="941">
      <c r="A941" s="26">
        <v>44668.74990440972</v>
      </c>
      <c r="B941" s="20" t="s">
        <v>49</v>
      </c>
      <c r="C941" s="20">
        <v>51.0</v>
      </c>
      <c r="D941" s="20" t="s">
        <v>40</v>
      </c>
      <c r="E941" s="20" t="s">
        <v>65</v>
      </c>
      <c r="F941" s="27"/>
    </row>
    <row r="942">
      <c r="A942" s="26">
        <v>44672.68114020833</v>
      </c>
      <c r="B942" s="20" t="s">
        <v>326</v>
      </c>
      <c r="C942" s="20">
        <v>692.0</v>
      </c>
      <c r="D942" s="20" t="s">
        <v>40</v>
      </c>
      <c r="E942" s="20" t="s">
        <v>70</v>
      </c>
      <c r="F942" s="27"/>
    </row>
    <row r="943">
      <c r="A943" s="26">
        <v>44672.6826654051</v>
      </c>
      <c r="B943" s="20" t="s">
        <v>327</v>
      </c>
      <c r="C943" s="20">
        <v>601.0</v>
      </c>
      <c r="D943" s="20" t="s">
        <v>36</v>
      </c>
      <c r="E943" s="20" t="s">
        <v>328</v>
      </c>
      <c r="F943" s="27"/>
    </row>
    <row r="944">
      <c r="A944" s="26">
        <v>44672.68342611111</v>
      </c>
      <c r="B944" s="20" t="s">
        <v>327</v>
      </c>
      <c r="C944" s="20">
        <v>162.0</v>
      </c>
      <c r="D944" s="20" t="s">
        <v>95</v>
      </c>
      <c r="E944" s="20" t="s">
        <v>46</v>
      </c>
      <c r="F944" s="27"/>
    </row>
    <row r="945">
      <c r="A945" s="26">
        <v>44672.68440900463</v>
      </c>
      <c r="B945" s="20" t="s">
        <v>329</v>
      </c>
      <c r="C945" s="20">
        <v>627.0</v>
      </c>
      <c r="D945" s="20" t="s">
        <v>40</v>
      </c>
      <c r="E945" s="20" t="s">
        <v>46</v>
      </c>
      <c r="F945" s="27"/>
    </row>
    <row r="946">
      <c r="A946" s="26">
        <v>44672.6860319213</v>
      </c>
      <c r="B946" s="20" t="s">
        <v>327</v>
      </c>
      <c r="C946" s="20">
        <v>394.0</v>
      </c>
      <c r="D946" s="20" t="s">
        <v>38</v>
      </c>
      <c r="E946" s="20" t="s">
        <v>216</v>
      </c>
      <c r="F946" s="27"/>
    </row>
    <row r="947">
      <c r="A947" s="26">
        <v>44672.68682313657</v>
      </c>
      <c r="B947" s="20" t="s">
        <v>327</v>
      </c>
      <c r="C947" s="20">
        <v>343.0</v>
      </c>
      <c r="D947" s="20" t="s">
        <v>36</v>
      </c>
      <c r="E947" s="20" t="s">
        <v>216</v>
      </c>
      <c r="F947" s="27"/>
    </row>
    <row r="948">
      <c r="A948" s="26">
        <v>44672.687316111114</v>
      </c>
      <c r="B948" s="20" t="s">
        <v>327</v>
      </c>
      <c r="C948" s="20">
        <v>130.0</v>
      </c>
      <c r="D948" s="20" t="s">
        <v>95</v>
      </c>
      <c r="E948" s="20" t="s">
        <v>216</v>
      </c>
      <c r="F948" s="27"/>
    </row>
    <row r="949">
      <c r="A949" s="26">
        <v>44672.86153206018</v>
      </c>
      <c r="B949" s="20" t="s">
        <v>63</v>
      </c>
      <c r="C949" s="20">
        <v>195.0</v>
      </c>
      <c r="D949" s="20" t="s">
        <v>64</v>
      </c>
      <c r="E949" s="20" t="s">
        <v>63</v>
      </c>
      <c r="F949" s="27"/>
    </row>
    <row r="950">
      <c r="A950" s="26">
        <v>44673.642192534724</v>
      </c>
      <c r="B950" s="20" t="s">
        <v>112</v>
      </c>
      <c r="C950" s="20">
        <v>337.0</v>
      </c>
      <c r="D950" s="20" t="s">
        <v>330</v>
      </c>
      <c r="E950" s="20" t="s">
        <v>96</v>
      </c>
      <c r="F950" s="27"/>
    </row>
    <row r="951">
      <c r="A951" s="26">
        <v>44673.68075429398</v>
      </c>
      <c r="B951" s="20" t="s">
        <v>233</v>
      </c>
      <c r="C951" s="20">
        <v>149.0</v>
      </c>
      <c r="D951" s="20" t="s">
        <v>64</v>
      </c>
      <c r="E951" s="20" t="s">
        <v>234</v>
      </c>
      <c r="F951" s="27"/>
    </row>
    <row r="952">
      <c r="A952" s="26">
        <v>44673.72867582176</v>
      </c>
      <c r="B952" s="20" t="s">
        <v>49</v>
      </c>
      <c r="C952" s="20">
        <v>1190.0</v>
      </c>
      <c r="D952" s="20" t="s">
        <v>36</v>
      </c>
      <c r="E952" s="20" t="s">
        <v>96</v>
      </c>
      <c r="F952" s="27"/>
    </row>
    <row r="953">
      <c r="A953" s="26">
        <v>44673.72928696759</v>
      </c>
      <c r="B953" s="20" t="s">
        <v>49</v>
      </c>
      <c r="C953" s="20">
        <v>337.0</v>
      </c>
      <c r="D953" s="20" t="s">
        <v>73</v>
      </c>
      <c r="E953" s="20" t="s">
        <v>96</v>
      </c>
      <c r="F953" s="27"/>
    </row>
    <row r="954">
      <c r="A954" s="26">
        <v>44673.73211960648</v>
      </c>
      <c r="B954" s="20" t="s">
        <v>49</v>
      </c>
      <c r="C954" s="20">
        <v>627.0</v>
      </c>
      <c r="D954" s="20" t="s">
        <v>40</v>
      </c>
      <c r="E954" s="20" t="s">
        <v>46</v>
      </c>
      <c r="F954" s="27"/>
    </row>
    <row r="955">
      <c r="A955" s="26">
        <v>44674.487326608796</v>
      </c>
      <c r="B955" s="20" t="s">
        <v>177</v>
      </c>
      <c r="C955" s="20">
        <v>883.0</v>
      </c>
      <c r="D955" s="20" t="s">
        <v>40</v>
      </c>
      <c r="E955" s="20" t="s">
        <v>271</v>
      </c>
      <c r="F955" s="27"/>
    </row>
    <row r="956">
      <c r="A956" s="26">
        <v>44674.48754613426</v>
      </c>
      <c r="B956" s="20" t="s">
        <v>177</v>
      </c>
      <c r="C956" s="20">
        <v>107.0</v>
      </c>
      <c r="D956" s="20" t="s">
        <v>38</v>
      </c>
      <c r="E956" s="20" t="s">
        <v>271</v>
      </c>
      <c r="F956" s="27"/>
    </row>
    <row r="957">
      <c r="A957" s="26">
        <v>44674.5138628125</v>
      </c>
      <c r="B957" s="20" t="s">
        <v>331</v>
      </c>
      <c r="C957" s="20">
        <v>625.0</v>
      </c>
      <c r="D957" s="20" t="s">
        <v>332</v>
      </c>
      <c r="E957" s="20" t="s">
        <v>333</v>
      </c>
      <c r="F957" s="27"/>
    </row>
    <row r="958">
      <c r="A958" s="26">
        <v>44674.51460173611</v>
      </c>
      <c r="B958" s="20" t="s">
        <v>285</v>
      </c>
      <c r="C958" s="20">
        <v>923.0</v>
      </c>
      <c r="D958" s="20" t="s">
        <v>292</v>
      </c>
      <c r="E958" s="20" t="s">
        <v>312</v>
      </c>
      <c r="F958" s="27"/>
    </row>
    <row r="959">
      <c r="A959" s="26">
        <v>44674.515685543985</v>
      </c>
      <c r="B959" s="20" t="s">
        <v>285</v>
      </c>
      <c r="C959" s="20">
        <v>924.0</v>
      </c>
      <c r="D959" s="20" t="s">
        <v>292</v>
      </c>
      <c r="E959" s="20" t="s">
        <v>312</v>
      </c>
      <c r="F959" s="27"/>
    </row>
    <row r="960">
      <c r="A960" s="26">
        <v>44674.516295277775</v>
      </c>
      <c r="B960" s="20" t="s">
        <v>285</v>
      </c>
      <c r="C960" s="20">
        <v>944.0</v>
      </c>
      <c r="D960" s="20" t="s">
        <v>297</v>
      </c>
      <c r="E960" s="20" t="s">
        <v>311</v>
      </c>
      <c r="F960" s="27"/>
    </row>
    <row r="961">
      <c r="A961" s="26">
        <v>44674.51722770833</v>
      </c>
      <c r="B961" s="20" t="s">
        <v>285</v>
      </c>
      <c r="C961" s="20">
        <v>614.0</v>
      </c>
      <c r="D961" s="20" t="s">
        <v>282</v>
      </c>
      <c r="E961" s="20" t="s">
        <v>311</v>
      </c>
      <c r="F961" s="27"/>
    </row>
    <row r="962">
      <c r="A962" s="26">
        <v>44674.517627187495</v>
      </c>
      <c r="B962" s="20" t="s">
        <v>285</v>
      </c>
      <c r="C962" s="20">
        <v>179.0</v>
      </c>
      <c r="D962" s="20" t="s">
        <v>76</v>
      </c>
      <c r="E962" s="20" t="s">
        <v>311</v>
      </c>
      <c r="F962" s="27"/>
    </row>
    <row r="963">
      <c r="A963" s="26">
        <v>44674.52056696759</v>
      </c>
      <c r="B963" s="20" t="s">
        <v>285</v>
      </c>
      <c r="C963" s="20">
        <v>419.0</v>
      </c>
      <c r="D963" s="20" t="s">
        <v>156</v>
      </c>
      <c r="E963" s="20" t="s">
        <v>311</v>
      </c>
      <c r="F963" s="27"/>
    </row>
    <row r="964">
      <c r="A964" s="26">
        <v>44674.52281606481</v>
      </c>
      <c r="B964" s="20" t="s">
        <v>285</v>
      </c>
      <c r="C964" s="20">
        <v>801.0</v>
      </c>
      <c r="D964" s="20" t="s">
        <v>317</v>
      </c>
      <c r="E964" s="20" t="s">
        <v>312</v>
      </c>
      <c r="F964" s="27"/>
    </row>
    <row r="965">
      <c r="A965" s="26">
        <v>44674.52434701389</v>
      </c>
      <c r="B965" s="20" t="s">
        <v>285</v>
      </c>
      <c r="C965" s="20">
        <v>195.0</v>
      </c>
      <c r="D965" s="20" t="s">
        <v>283</v>
      </c>
      <c r="E965" s="20" t="s">
        <v>312</v>
      </c>
      <c r="F965" s="27"/>
    </row>
    <row r="966">
      <c r="A966" s="26">
        <v>44674.526103703705</v>
      </c>
      <c r="B966" s="20" t="s">
        <v>285</v>
      </c>
      <c r="C966" s="20">
        <v>640.0</v>
      </c>
      <c r="D966" s="20" t="s">
        <v>76</v>
      </c>
      <c r="E966" s="20" t="s">
        <v>312</v>
      </c>
      <c r="F966" s="27"/>
    </row>
    <row r="967">
      <c r="A967" s="26">
        <v>44674.5287956713</v>
      </c>
      <c r="B967" s="20" t="s">
        <v>285</v>
      </c>
      <c r="C967" s="20">
        <v>1070.0</v>
      </c>
      <c r="D967" s="20" t="s">
        <v>78</v>
      </c>
      <c r="E967" s="20" t="s">
        <v>312</v>
      </c>
      <c r="F967" s="27"/>
    </row>
    <row r="968">
      <c r="A968" s="26">
        <v>44674.572003506946</v>
      </c>
      <c r="B968" s="20" t="s">
        <v>285</v>
      </c>
      <c r="C968" s="20">
        <v>271.0</v>
      </c>
      <c r="D968" s="20" t="s">
        <v>38</v>
      </c>
      <c r="E968" s="20" t="s">
        <v>311</v>
      </c>
      <c r="F968" s="27"/>
    </row>
    <row r="969">
      <c r="A969" s="26">
        <v>44674.57573096065</v>
      </c>
      <c r="B969" s="20" t="s">
        <v>191</v>
      </c>
      <c r="C969" s="20">
        <v>551.0</v>
      </c>
      <c r="D969" s="20" t="s">
        <v>47</v>
      </c>
      <c r="E969" s="20" t="s">
        <v>75</v>
      </c>
      <c r="F969" s="27"/>
    </row>
    <row r="970">
      <c r="A970" s="26">
        <v>44674.57776935185</v>
      </c>
      <c r="B970" s="20" t="s">
        <v>193</v>
      </c>
      <c r="C970" s="20">
        <v>698.0</v>
      </c>
      <c r="D970" s="20" t="s">
        <v>38</v>
      </c>
      <c r="E970" s="20" t="s">
        <v>75</v>
      </c>
      <c r="F970" s="27"/>
    </row>
    <row r="971">
      <c r="A971" s="26">
        <v>44674.68207833334</v>
      </c>
      <c r="B971" s="20" t="s">
        <v>193</v>
      </c>
      <c r="C971" s="32">
        <v>-218.0</v>
      </c>
      <c r="D971" s="20" t="s">
        <v>137</v>
      </c>
      <c r="E971" s="20" t="s">
        <v>312</v>
      </c>
      <c r="F971" s="27"/>
    </row>
    <row r="972">
      <c r="A972" s="26">
        <v>44674.683344317134</v>
      </c>
      <c r="B972" s="20" t="s">
        <v>193</v>
      </c>
      <c r="C972" s="32">
        <v>-276.0</v>
      </c>
      <c r="D972" s="20" t="s">
        <v>80</v>
      </c>
      <c r="E972" s="20" t="s">
        <v>312</v>
      </c>
      <c r="F972" s="27"/>
    </row>
    <row r="973">
      <c r="A973" s="26">
        <v>44674.6857821875</v>
      </c>
      <c r="B973" s="20" t="s">
        <v>191</v>
      </c>
      <c r="C973" s="32">
        <v>-107.0</v>
      </c>
      <c r="D973" s="20" t="s">
        <v>76</v>
      </c>
      <c r="E973" s="20" t="s">
        <v>75</v>
      </c>
      <c r="F973" s="27"/>
    </row>
    <row r="974">
      <c r="A974" s="26">
        <v>44674.687278784724</v>
      </c>
      <c r="B974" s="20" t="s">
        <v>193</v>
      </c>
      <c r="C974" s="20">
        <v>31.0</v>
      </c>
      <c r="D974" s="20" t="s">
        <v>47</v>
      </c>
      <c r="E974" s="20" t="s">
        <v>75</v>
      </c>
      <c r="F974" s="27"/>
    </row>
    <row r="975">
      <c r="A975" s="26">
        <v>44674.69162375</v>
      </c>
      <c r="B975" s="20" t="s">
        <v>193</v>
      </c>
      <c r="C975" s="32">
        <v>-217.0</v>
      </c>
      <c r="D975" s="20" t="s">
        <v>156</v>
      </c>
      <c r="E975" s="20" t="s">
        <v>75</v>
      </c>
      <c r="F975" s="27"/>
    </row>
    <row r="976">
      <c r="A976" s="26">
        <v>44674.69536359954</v>
      </c>
      <c r="B976" s="20" t="s">
        <v>334</v>
      </c>
      <c r="C976" s="32">
        <v>-359.0</v>
      </c>
      <c r="D976" s="20" t="s">
        <v>76</v>
      </c>
      <c r="E976" s="20" t="s">
        <v>75</v>
      </c>
      <c r="F976" s="27"/>
    </row>
    <row r="977">
      <c r="A977" s="26">
        <v>44674.696408703705</v>
      </c>
      <c r="B977" s="20" t="s">
        <v>193</v>
      </c>
      <c r="C977" s="32">
        <v>-480.0</v>
      </c>
      <c r="D977" s="20" t="s">
        <v>279</v>
      </c>
      <c r="E977" s="20" t="s">
        <v>75</v>
      </c>
      <c r="F977" s="27"/>
    </row>
    <row r="978">
      <c r="A978" s="26">
        <v>44674.69779121528</v>
      </c>
      <c r="B978" s="20" t="s">
        <v>193</v>
      </c>
      <c r="C978" s="32">
        <v>-91.0</v>
      </c>
      <c r="D978" s="20" t="s">
        <v>335</v>
      </c>
      <c r="E978" s="20" t="s">
        <v>75</v>
      </c>
      <c r="F978" s="27"/>
    </row>
    <row r="979">
      <c r="A979" s="26">
        <v>44674.70044179398</v>
      </c>
      <c r="B979" s="20" t="s">
        <v>191</v>
      </c>
      <c r="C979" s="32">
        <v>-192.0</v>
      </c>
      <c r="D979" s="20" t="s">
        <v>315</v>
      </c>
      <c r="E979" s="20" t="s">
        <v>75</v>
      </c>
      <c r="F979" s="27"/>
    </row>
    <row r="980">
      <c r="A980" s="26">
        <v>44674.810800300926</v>
      </c>
      <c r="B980" s="20" t="s">
        <v>49</v>
      </c>
      <c r="C980" s="20">
        <v>168.0</v>
      </c>
      <c r="D980" s="20" t="s">
        <v>336</v>
      </c>
      <c r="E980" s="20" t="s">
        <v>75</v>
      </c>
      <c r="F980" s="27"/>
    </row>
    <row r="981">
      <c r="A981" s="26">
        <v>44674.810986655095</v>
      </c>
      <c r="B981" s="20" t="s">
        <v>49</v>
      </c>
      <c r="C981" s="20">
        <v>243.0</v>
      </c>
      <c r="D981" s="20" t="s">
        <v>76</v>
      </c>
      <c r="E981" s="20" t="s">
        <v>75</v>
      </c>
      <c r="F981" s="27"/>
    </row>
    <row r="982">
      <c r="A982" s="26">
        <v>44674.81119898148</v>
      </c>
      <c r="B982" s="20" t="s">
        <v>49</v>
      </c>
      <c r="C982" s="20">
        <v>41.0</v>
      </c>
      <c r="D982" s="20" t="s">
        <v>337</v>
      </c>
      <c r="E982" s="20" t="s">
        <v>75</v>
      </c>
      <c r="F982" s="27"/>
    </row>
    <row r="983">
      <c r="A983" s="26">
        <v>44674.81149928241</v>
      </c>
      <c r="B983" s="20" t="s">
        <v>49</v>
      </c>
      <c r="C983" s="20">
        <v>160.0</v>
      </c>
      <c r="D983" s="20" t="s">
        <v>336</v>
      </c>
      <c r="E983" s="20" t="s">
        <v>75</v>
      </c>
      <c r="F983" s="27"/>
    </row>
    <row r="984">
      <c r="A984" s="26">
        <v>44674.811695752316</v>
      </c>
      <c r="B984" s="20" t="s">
        <v>49</v>
      </c>
      <c r="C984" s="20">
        <v>476.0</v>
      </c>
      <c r="D984" s="20" t="s">
        <v>77</v>
      </c>
      <c r="E984" s="20" t="s">
        <v>75</v>
      </c>
      <c r="F984" s="27"/>
    </row>
    <row r="985">
      <c r="A985" s="26">
        <v>44674.81195649305</v>
      </c>
      <c r="B985" s="20" t="s">
        <v>49</v>
      </c>
      <c r="C985" s="20">
        <v>193.0</v>
      </c>
      <c r="D985" s="20" t="s">
        <v>47</v>
      </c>
      <c r="E985" s="20" t="s">
        <v>75</v>
      </c>
      <c r="F985" s="27"/>
    </row>
    <row r="986">
      <c r="A986" s="26">
        <v>44674.812201990746</v>
      </c>
      <c r="B986" s="20" t="s">
        <v>49</v>
      </c>
      <c r="C986" s="20">
        <v>651.0</v>
      </c>
      <c r="D986" s="20" t="s">
        <v>99</v>
      </c>
      <c r="E986" s="20" t="s">
        <v>75</v>
      </c>
      <c r="F986" s="27"/>
    </row>
    <row r="987">
      <c r="A987" s="26">
        <v>44675.5177784838</v>
      </c>
      <c r="B987" s="20" t="s">
        <v>193</v>
      </c>
      <c r="C987" s="20">
        <v>528.0</v>
      </c>
      <c r="D987" s="20" t="s">
        <v>40</v>
      </c>
      <c r="E987" s="20" t="s">
        <v>101</v>
      </c>
      <c r="F987" s="27"/>
    </row>
    <row r="988">
      <c r="A988" s="26">
        <v>44675.52939778935</v>
      </c>
      <c r="B988" s="20" t="s">
        <v>193</v>
      </c>
      <c r="C988" s="20">
        <v>300.0</v>
      </c>
      <c r="D988" s="20" t="s">
        <v>38</v>
      </c>
      <c r="E988" s="20" t="s">
        <v>101</v>
      </c>
      <c r="F988" s="27"/>
    </row>
    <row r="989">
      <c r="A989" s="26">
        <v>44675.53713560185</v>
      </c>
      <c r="B989" s="20" t="s">
        <v>193</v>
      </c>
      <c r="C989" s="20">
        <v>221.0</v>
      </c>
      <c r="D989" s="20" t="s">
        <v>40</v>
      </c>
      <c r="E989" s="20" t="s">
        <v>101</v>
      </c>
      <c r="F989" s="27"/>
    </row>
    <row r="990">
      <c r="A990" s="26">
        <v>44675.53743362268</v>
      </c>
      <c r="B990" s="20" t="s">
        <v>193</v>
      </c>
      <c r="C990" s="20">
        <v>542.0</v>
      </c>
      <c r="D990" s="20" t="s">
        <v>36</v>
      </c>
      <c r="E990" s="20" t="s">
        <v>101</v>
      </c>
      <c r="F990" s="27"/>
    </row>
    <row r="991">
      <c r="A991" s="26">
        <v>44675.53796255787</v>
      </c>
      <c r="B991" s="20" t="s">
        <v>193</v>
      </c>
      <c r="C991" s="20">
        <v>251.0</v>
      </c>
      <c r="D991" s="20" t="s">
        <v>64</v>
      </c>
      <c r="E991" s="20" t="s">
        <v>101</v>
      </c>
      <c r="F991" s="27"/>
    </row>
    <row r="992">
      <c r="A992" s="26">
        <v>44675.57739903935</v>
      </c>
      <c r="B992" s="20" t="s">
        <v>191</v>
      </c>
      <c r="C992" s="20">
        <v>468.0</v>
      </c>
      <c r="D992" s="20" t="s">
        <v>64</v>
      </c>
      <c r="E992" s="20" t="s">
        <v>50</v>
      </c>
      <c r="F992" s="27"/>
    </row>
    <row r="993">
      <c r="A993" s="26">
        <v>44675.65424329861</v>
      </c>
      <c r="B993" s="20" t="s">
        <v>63</v>
      </c>
      <c r="C993" s="20">
        <v>19.0</v>
      </c>
      <c r="D993" s="20" t="s">
        <v>64</v>
      </c>
      <c r="E993" s="20" t="s">
        <v>63</v>
      </c>
      <c r="F993" s="27"/>
    </row>
    <row r="994">
      <c r="A994" s="26">
        <v>44675.65469310185</v>
      </c>
      <c r="B994" s="20" t="s">
        <v>63</v>
      </c>
      <c r="C994" s="20">
        <v>20.0</v>
      </c>
      <c r="D994" s="20" t="s">
        <v>64</v>
      </c>
      <c r="E994" s="20" t="s">
        <v>63</v>
      </c>
      <c r="F994" s="27"/>
    </row>
    <row r="995">
      <c r="A995" s="26">
        <v>44675.660229120374</v>
      </c>
      <c r="B995" s="20" t="s">
        <v>49</v>
      </c>
      <c r="C995" s="20">
        <v>8.0</v>
      </c>
      <c r="D995" s="20" t="s">
        <v>64</v>
      </c>
      <c r="E995" s="20" t="s">
        <v>63</v>
      </c>
      <c r="F995" s="27"/>
    </row>
    <row r="996">
      <c r="A996" s="26">
        <v>44678.77506436342</v>
      </c>
      <c r="B996" s="20" t="s">
        <v>338</v>
      </c>
      <c r="C996" s="20">
        <v>525.0</v>
      </c>
      <c r="D996" s="20" t="s">
        <v>339</v>
      </c>
      <c r="E996" s="20" t="s">
        <v>340</v>
      </c>
      <c r="F996" s="27"/>
    </row>
    <row r="997">
      <c r="A997" s="26">
        <v>44678.77561202546</v>
      </c>
      <c r="B997" s="20" t="s">
        <v>338</v>
      </c>
      <c r="C997" s="20">
        <v>514.0</v>
      </c>
      <c r="D997" s="20" t="s">
        <v>40</v>
      </c>
      <c r="E997" s="20" t="s">
        <v>341</v>
      </c>
      <c r="F997" s="27"/>
    </row>
    <row r="998">
      <c r="A998" s="26">
        <v>44678.77611939815</v>
      </c>
      <c r="B998" s="20" t="s">
        <v>338</v>
      </c>
      <c r="C998" s="20">
        <v>465.0</v>
      </c>
      <c r="D998" s="20" t="s">
        <v>40</v>
      </c>
      <c r="E998" s="20" t="s">
        <v>341</v>
      </c>
      <c r="F998" s="27"/>
    </row>
    <row r="999">
      <c r="A999" s="26">
        <v>44678.77666296296</v>
      </c>
      <c r="B999" s="20" t="s">
        <v>338</v>
      </c>
      <c r="C999" s="20">
        <v>782.0</v>
      </c>
      <c r="D999" s="20" t="s">
        <v>93</v>
      </c>
      <c r="E999" s="20" t="s">
        <v>341</v>
      </c>
      <c r="F999" s="27"/>
    </row>
    <row r="1000">
      <c r="A1000" s="26">
        <v>44678.77738141204</v>
      </c>
      <c r="B1000" s="20" t="s">
        <v>338</v>
      </c>
      <c r="C1000" s="20">
        <v>787.0</v>
      </c>
      <c r="D1000" s="20" t="s">
        <v>36</v>
      </c>
      <c r="E1000" s="20" t="s">
        <v>46</v>
      </c>
      <c r="F1000" s="27"/>
    </row>
    <row r="1001">
      <c r="A1001" s="26">
        <v>44678.77767210648</v>
      </c>
      <c r="B1001" s="20" t="s">
        <v>338</v>
      </c>
      <c r="C1001" s="20">
        <v>199.0</v>
      </c>
      <c r="D1001" s="20" t="s">
        <v>38</v>
      </c>
      <c r="E1001" s="20" t="s">
        <v>46</v>
      </c>
      <c r="F1001" s="27"/>
    </row>
    <row r="1002">
      <c r="A1002" s="26">
        <v>44678.862515057874</v>
      </c>
      <c r="B1002" s="20" t="s">
        <v>342</v>
      </c>
      <c r="C1002" s="20">
        <v>100.0</v>
      </c>
      <c r="D1002" s="20" t="s">
        <v>36</v>
      </c>
      <c r="E1002" s="20" t="s">
        <v>63</v>
      </c>
      <c r="F1002" s="27"/>
    </row>
    <row r="1003">
      <c r="A1003" s="26">
        <v>44679.72835857639</v>
      </c>
      <c r="B1003" s="20" t="s">
        <v>49</v>
      </c>
      <c r="C1003" s="20">
        <v>420.0</v>
      </c>
      <c r="D1003" s="20" t="s">
        <v>38</v>
      </c>
      <c r="E1003" s="20" t="s">
        <v>343</v>
      </c>
      <c r="F1003" s="27"/>
    </row>
    <row r="1004">
      <c r="A1004" s="26">
        <v>44679.72988324074</v>
      </c>
      <c r="B1004" s="20" t="s">
        <v>49</v>
      </c>
      <c r="C1004" s="20">
        <v>611.0</v>
      </c>
      <c r="D1004" s="20" t="s">
        <v>40</v>
      </c>
      <c r="E1004" s="20" t="s">
        <v>343</v>
      </c>
      <c r="F1004" s="27"/>
    </row>
    <row r="1005">
      <c r="A1005" s="26">
        <v>44680.64279388889</v>
      </c>
      <c r="B1005" s="20" t="s">
        <v>344</v>
      </c>
      <c r="C1005" s="20">
        <v>458.0</v>
      </c>
      <c r="D1005" s="20" t="s">
        <v>64</v>
      </c>
      <c r="E1005" s="20" t="s">
        <v>96</v>
      </c>
      <c r="F1005" s="27"/>
    </row>
    <row r="1006">
      <c r="A1006" s="26">
        <v>44680.64450206018</v>
      </c>
      <c r="B1006" s="20" t="s">
        <v>344</v>
      </c>
      <c r="C1006" s="20">
        <v>654.0</v>
      </c>
      <c r="D1006" s="20" t="s">
        <v>40</v>
      </c>
      <c r="E1006" s="20" t="s">
        <v>96</v>
      </c>
      <c r="F1006" s="27"/>
    </row>
    <row r="1007">
      <c r="A1007" s="26">
        <v>44680.67771762732</v>
      </c>
      <c r="B1007" s="20" t="s">
        <v>233</v>
      </c>
      <c r="C1007" s="20">
        <v>183.0</v>
      </c>
      <c r="D1007" s="20" t="s">
        <v>64</v>
      </c>
      <c r="E1007" s="20" t="s">
        <v>234</v>
      </c>
      <c r="F1007" s="27"/>
    </row>
    <row r="1008">
      <c r="A1008" s="26">
        <v>44680.69416479167</v>
      </c>
      <c r="B1008" s="20" t="s">
        <v>49</v>
      </c>
      <c r="C1008" s="20">
        <v>32.0</v>
      </c>
      <c r="D1008" s="20" t="s">
        <v>64</v>
      </c>
      <c r="E1008" s="20" t="s">
        <v>96</v>
      </c>
      <c r="F1008" s="27"/>
    </row>
    <row r="1009">
      <c r="A1009" s="28">
        <v>44680.0</v>
      </c>
      <c r="B1009" s="20" t="s">
        <v>345</v>
      </c>
      <c r="C1009" s="20">
        <v>262.0</v>
      </c>
      <c r="D1009" s="20" t="s">
        <v>38</v>
      </c>
      <c r="E1009" s="20" t="s">
        <v>96</v>
      </c>
      <c r="F1009" s="27"/>
    </row>
    <row r="1010">
      <c r="A1010" s="26">
        <v>44681.758974745375</v>
      </c>
      <c r="B1010" s="20" t="s">
        <v>49</v>
      </c>
      <c r="C1010" s="20">
        <v>858.0</v>
      </c>
      <c r="D1010" s="20" t="s">
        <v>77</v>
      </c>
      <c r="E1010" s="20" t="s">
        <v>75</v>
      </c>
      <c r="F1010" s="27"/>
    </row>
    <row r="1011">
      <c r="A1011" s="26">
        <v>44681.75989400463</v>
      </c>
      <c r="B1011" s="20" t="s">
        <v>49</v>
      </c>
      <c r="C1011" s="20">
        <v>388.0</v>
      </c>
      <c r="D1011" s="20" t="s">
        <v>76</v>
      </c>
      <c r="E1011" s="20" t="s">
        <v>75</v>
      </c>
      <c r="F1011" s="27"/>
    </row>
    <row r="1012">
      <c r="A1012" s="26">
        <v>44681.76022177083</v>
      </c>
      <c r="B1012" s="20" t="s">
        <v>49</v>
      </c>
      <c r="C1012" s="20">
        <v>810.0</v>
      </c>
      <c r="D1012" s="20" t="s">
        <v>156</v>
      </c>
      <c r="E1012" s="20" t="s">
        <v>75</v>
      </c>
      <c r="F1012" s="27"/>
    </row>
    <row r="1013">
      <c r="A1013" s="26">
        <v>44681.760590868056</v>
      </c>
      <c r="B1013" s="20" t="s">
        <v>49</v>
      </c>
      <c r="C1013" s="20">
        <v>359.0</v>
      </c>
      <c r="D1013" s="20" t="s">
        <v>318</v>
      </c>
      <c r="E1013" s="20" t="s">
        <v>75</v>
      </c>
      <c r="F1013" s="27"/>
    </row>
    <row r="1014">
      <c r="A1014" s="26">
        <v>44681.76088263889</v>
      </c>
      <c r="B1014" s="20" t="s">
        <v>49</v>
      </c>
      <c r="C1014" s="20">
        <v>790.0</v>
      </c>
      <c r="D1014" s="20" t="s">
        <v>228</v>
      </c>
      <c r="E1014" s="20" t="s">
        <v>75</v>
      </c>
      <c r="F1014" s="27"/>
    </row>
    <row r="1015">
      <c r="A1015" s="26">
        <v>44681.761250324074</v>
      </c>
      <c r="B1015" s="20" t="s">
        <v>49</v>
      </c>
      <c r="C1015" s="20">
        <v>411.0</v>
      </c>
      <c r="D1015" s="20" t="s">
        <v>346</v>
      </c>
      <c r="E1015" s="20" t="s">
        <v>75</v>
      </c>
      <c r="F1015" s="27"/>
    </row>
    <row r="1016">
      <c r="A1016" s="26">
        <v>44681.76163083334</v>
      </c>
      <c r="B1016" s="20" t="s">
        <v>49</v>
      </c>
      <c r="C1016" s="20">
        <v>199.0</v>
      </c>
      <c r="D1016" s="20" t="s">
        <v>315</v>
      </c>
      <c r="E1016" s="20" t="s">
        <v>75</v>
      </c>
      <c r="F1016" s="27"/>
    </row>
    <row r="1017">
      <c r="A1017" s="26">
        <v>44681.76288679398</v>
      </c>
      <c r="B1017" s="20" t="s">
        <v>49</v>
      </c>
      <c r="C1017" s="20">
        <v>3945.0</v>
      </c>
      <c r="D1017" s="20" t="s">
        <v>40</v>
      </c>
      <c r="E1017" s="20" t="s">
        <v>75</v>
      </c>
      <c r="F1017" s="27"/>
    </row>
    <row r="1018">
      <c r="A1018" s="26">
        <v>44681.76321824074</v>
      </c>
      <c r="B1018" s="20" t="s">
        <v>49</v>
      </c>
      <c r="C1018" s="20">
        <v>1576.0</v>
      </c>
      <c r="D1018" s="20" t="s">
        <v>78</v>
      </c>
      <c r="E1018" s="20" t="s">
        <v>75</v>
      </c>
      <c r="F1018" s="27"/>
    </row>
    <row r="1019">
      <c r="A1019" s="26">
        <v>44681.7637400463</v>
      </c>
      <c r="B1019" s="20" t="s">
        <v>49</v>
      </c>
      <c r="C1019" s="20">
        <v>1378.0</v>
      </c>
      <c r="D1019" s="20" t="s">
        <v>36</v>
      </c>
      <c r="E1019" s="20" t="s">
        <v>75</v>
      </c>
      <c r="F1019" s="27"/>
    </row>
    <row r="1020">
      <c r="A1020" s="26">
        <v>44681.76409092592</v>
      </c>
      <c r="B1020" s="20" t="s">
        <v>49</v>
      </c>
      <c r="C1020" s="20">
        <v>609.0</v>
      </c>
      <c r="D1020" s="20" t="s">
        <v>47</v>
      </c>
      <c r="E1020" s="20" t="s">
        <v>75</v>
      </c>
      <c r="F1020" s="27"/>
      <c r="G1020" s="20">
        <v>863339.0</v>
      </c>
    </row>
    <row r="1021">
      <c r="A1021" s="26">
        <v>44681.76470884259</v>
      </c>
      <c r="B1021" s="20" t="s">
        <v>49</v>
      </c>
      <c r="C1021" s="20">
        <v>1024.0</v>
      </c>
      <c r="D1021" s="20" t="s">
        <v>47</v>
      </c>
      <c r="E1021" s="20" t="s">
        <v>75</v>
      </c>
      <c r="F1021" s="27"/>
    </row>
    <row r="1022">
      <c r="A1022" s="26">
        <v>44681.76522369213</v>
      </c>
      <c r="B1022" s="20" t="s">
        <v>49</v>
      </c>
      <c r="C1022" s="20">
        <v>61.0</v>
      </c>
      <c r="D1022" s="20" t="s">
        <v>38</v>
      </c>
      <c r="E1022" s="20" t="s">
        <v>75</v>
      </c>
      <c r="F1022" s="27"/>
    </row>
    <row r="1023">
      <c r="A1023" s="26">
        <v>44681.76605114584</v>
      </c>
      <c r="B1023" s="20" t="s">
        <v>49</v>
      </c>
      <c r="C1023" s="32">
        <v>-272.0</v>
      </c>
      <c r="D1023" s="20" t="s">
        <v>47</v>
      </c>
      <c r="E1023" s="20" t="s">
        <v>75</v>
      </c>
      <c r="F1023" s="27"/>
    </row>
    <row r="1024">
      <c r="A1024" s="26">
        <v>44681.76638137731</v>
      </c>
      <c r="B1024" s="20" t="s">
        <v>49</v>
      </c>
      <c r="C1024" s="20">
        <v>603.0</v>
      </c>
      <c r="D1024" s="20" t="s">
        <v>36</v>
      </c>
      <c r="E1024" s="20" t="s">
        <v>75</v>
      </c>
      <c r="F1024" s="27"/>
    </row>
    <row r="1025">
      <c r="A1025" s="26">
        <v>44681.76663136574</v>
      </c>
      <c r="B1025" s="20" t="s">
        <v>49</v>
      </c>
      <c r="C1025" s="31">
        <v>809.0</v>
      </c>
      <c r="D1025" s="20" t="s">
        <v>40</v>
      </c>
      <c r="E1025" s="20" t="s">
        <v>75</v>
      </c>
      <c r="F1025" s="27"/>
    </row>
    <row r="1026">
      <c r="A1026" s="26">
        <v>44681.7669700463</v>
      </c>
      <c r="B1026" s="20" t="s">
        <v>63</v>
      </c>
      <c r="C1026" s="32">
        <v>-809.0</v>
      </c>
      <c r="D1026" s="20" t="s">
        <v>40</v>
      </c>
      <c r="E1026" s="20" t="s">
        <v>75</v>
      </c>
      <c r="F1026" s="27"/>
    </row>
    <row r="1027">
      <c r="A1027" s="26">
        <v>44681.76716157407</v>
      </c>
      <c r="B1027" s="20" t="s">
        <v>49</v>
      </c>
      <c r="C1027" s="32">
        <v>-809.0</v>
      </c>
      <c r="D1027" s="20" t="s">
        <v>40</v>
      </c>
      <c r="E1027" s="20" t="s">
        <v>75</v>
      </c>
      <c r="F1027" s="27"/>
    </row>
    <row r="1028">
      <c r="A1028" s="26">
        <v>44681.767377094904</v>
      </c>
      <c r="B1028" s="20" t="s">
        <v>49</v>
      </c>
      <c r="C1028" s="32">
        <v>-70.0</v>
      </c>
      <c r="D1028" s="20" t="s">
        <v>47</v>
      </c>
      <c r="E1028" s="20" t="s">
        <v>75</v>
      </c>
      <c r="F1028" s="27"/>
    </row>
    <row r="1029">
      <c r="A1029" s="26">
        <v>44681.76788121527</v>
      </c>
      <c r="B1029" s="20" t="s">
        <v>63</v>
      </c>
      <c r="C1029" s="32">
        <v>-596.0</v>
      </c>
      <c r="D1029" s="20" t="s">
        <v>315</v>
      </c>
      <c r="E1029" s="20" t="s">
        <v>75</v>
      </c>
      <c r="F1029" s="27"/>
    </row>
    <row r="1030">
      <c r="A1030" s="26">
        <v>44681.768212106486</v>
      </c>
      <c r="B1030" s="20" t="s">
        <v>49</v>
      </c>
      <c r="C1030" s="32">
        <v>-559.0</v>
      </c>
      <c r="D1030" s="20" t="s">
        <v>40</v>
      </c>
      <c r="E1030" s="20" t="s">
        <v>75</v>
      </c>
      <c r="F1030" s="27"/>
    </row>
    <row r="1031">
      <c r="A1031" s="26">
        <v>44681.768623194446</v>
      </c>
      <c r="B1031" s="20" t="s">
        <v>49</v>
      </c>
      <c r="C1031" s="32">
        <v>-565.0</v>
      </c>
      <c r="D1031" s="20" t="s">
        <v>99</v>
      </c>
      <c r="E1031" s="20" t="s">
        <v>75</v>
      </c>
      <c r="F1031" s="27"/>
    </row>
    <row r="1032">
      <c r="A1032" s="26">
        <v>44681.76906032408</v>
      </c>
      <c r="B1032" s="20" t="s">
        <v>49</v>
      </c>
      <c r="C1032" s="32">
        <v>-163.0</v>
      </c>
      <c r="D1032" s="20" t="s">
        <v>76</v>
      </c>
      <c r="E1032" s="20" t="s">
        <v>75</v>
      </c>
      <c r="F1032" s="27"/>
    </row>
    <row r="1033">
      <c r="A1033" s="26">
        <v>44681.76952599537</v>
      </c>
      <c r="B1033" s="20" t="s">
        <v>49</v>
      </c>
      <c r="C1033" s="32">
        <v>-595.0</v>
      </c>
      <c r="D1033" s="20" t="s">
        <v>228</v>
      </c>
      <c r="E1033" s="20" t="s">
        <v>75</v>
      </c>
      <c r="F1033" s="27"/>
    </row>
    <row r="1034">
      <c r="A1034" s="26">
        <v>44681.76995431713</v>
      </c>
      <c r="B1034" s="20" t="s">
        <v>49</v>
      </c>
      <c r="C1034" s="32">
        <v>-159.0</v>
      </c>
      <c r="D1034" s="20" t="s">
        <v>113</v>
      </c>
      <c r="E1034" s="20" t="s">
        <v>75</v>
      </c>
      <c r="F1034" s="27"/>
      <c r="G1034" s="24">
        <f>sum(C788:C1034)</f>
        <v>86631</v>
      </c>
    </row>
    <row r="1035">
      <c r="A1035" s="26">
        <v>44682.509129375</v>
      </c>
      <c r="B1035" s="20" t="s">
        <v>67</v>
      </c>
      <c r="C1035" s="20">
        <v>831.0</v>
      </c>
      <c r="D1035" s="20" t="s">
        <v>40</v>
      </c>
      <c r="E1035" s="20" t="s">
        <v>81</v>
      </c>
      <c r="F1035" s="27"/>
    </row>
    <row r="1036">
      <c r="A1036" s="26">
        <v>44682.5106221875</v>
      </c>
      <c r="B1036" s="20" t="s">
        <v>67</v>
      </c>
      <c r="C1036" s="20">
        <v>975.0</v>
      </c>
      <c r="D1036" s="20" t="s">
        <v>40</v>
      </c>
      <c r="E1036" s="20" t="s">
        <v>81</v>
      </c>
      <c r="F1036" s="27"/>
    </row>
    <row r="1037">
      <c r="A1037" s="26">
        <v>44682.51742527778</v>
      </c>
      <c r="B1037" s="20" t="s">
        <v>67</v>
      </c>
      <c r="C1037" s="20">
        <v>493.0</v>
      </c>
      <c r="D1037" s="20" t="s">
        <v>36</v>
      </c>
      <c r="E1037" s="20" t="s">
        <v>81</v>
      </c>
      <c r="F1037" s="27"/>
    </row>
    <row r="1038">
      <c r="A1038" s="26">
        <v>44682.53380019676</v>
      </c>
      <c r="B1038" s="20" t="s">
        <v>67</v>
      </c>
      <c r="C1038" s="20">
        <v>211.0</v>
      </c>
      <c r="D1038" s="20" t="s">
        <v>38</v>
      </c>
      <c r="E1038" s="20" t="s">
        <v>81</v>
      </c>
      <c r="F1038" s="27"/>
    </row>
    <row r="1039">
      <c r="A1039" s="26">
        <v>44682.58392293981</v>
      </c>
      <c r="B1039" s="20" t="s">
        <v>347</v>
      </c>
      <c r="C1039" s="20">
        <v>77.0</v>
      </c>
      <c r="D1039" s="20" t="s">
        <v>38</v>
      </c>
      <c r="E1039" s="20" t="s">
        <v>65</v>
      </c>
      <c r="F1039" s="27"/>
    </row>
    <row r="1040">
      <c r="A1040" s="26">
        <v>44682.584828657404</v>
      </c>
      <c r="B1040" s="20" t="s">
        <v>347</v>
      </c>
      <c r="C1040" s="20">
        <v>33.0</v>
      </c>
      <c r="D1040" s="20" t="s">
        <v>348</v>
      </c>
      <c r="E1040" s="20" t="s">
        <v>65</v>
      </c>
      <c r="F1040" s="27"/>
    </row>
    <row r="1041">
      <c r="A1041" s="26">
        <v>44682.58516321759</v>
      </c>
      <c r="B1041" s="20" t="s">
        <v>347</v>
      </c>
      <c r="C1041" s="20">
        <v>809.0</v>
      </c>
      <c r="D1041" s="20" t="s">
        <v>40</v>
      </c>
      <c r="E1041" s="20" t="s">
        <v>65</v>
      </c>
      <c r="F1041" s="27"/>
    </row>
    <row r="1042">
      <c r="A1042" s="26">
        <v>44682.58559945602</v>
      </c>
      <c r="B1042" s="20" t="s">
        <v>347</v>
      </c>
      <c r="C1042" s="20">
        <v>20.0</v>
      </c>
      <c r="D1042" s="20" t="s">
        <v>73</v>
      </c>
      <c r="E1042" s="20" t="s">
        <v>65</v>
      </c>
      <c r="F1042" s="27"/>
    </row>
    <row r="1043">
      <c r="A1043" s="26">
        <v>44682.585892766205</v>
      </c>
      <c r="B1043" s="20" t="s">
        <v>249</v>
      </c>
      <c r="C1043" s="20">
        <v>435.0</v>
      </c>
      <c r="D1043" s="20" t="s">
        <v>40</v>
      </c>
      <c r="E1043" s="20" t="s">
        <v>50</v>
      </c>
      <c r="F1043" s="27"/>
    </row>
    <row r="1044">
      <c r="A1044" s="26">
        <v>44682.68225827546</v>
      </c>
      <c r="B1044" s="20" t="s">
        <v>63</v>
      </c>
      <c r="C1044" s="20">
        <v>10.0</v>
      </c>
      <c r="D1044" s="20" t="s">
        <v>64</v>
      </c>
      <c r="E1044" s="20" t="s">
        <v>63</v>
      </c>
      <c r="F1044" s="27"/>
    </row>
    <row r="1045">
      <c r="A1045" s="26">
        <v>44682.68323587963</v>
      </c>
      <c r="B1045" s="20" t="s">
        <v>63</v>
      </c>
      <c r="C1045" s="20">
        <v>18.0</v>
      </c>
      <c r="D1045" s="20" t="s">
        <v>64</v>
      </c>
      <c r="E1045" s="20" t="s">
        <v>63</v>
      </c>
      <c r="F1045" s="27"/>
    </row>
    <row r="1046">
      <c r="A1046" s="26">
        <v>44684.72494980324</v>
      </c>
      <c r="B1046" s="20" t="s">
        <v>349</v>
      </c>
      <c r="C1046" s="20">
        <v>29.0</v>
      </c>
      <c r="D1046" s="20" t="s">
        <v>64</v>
      </c>
      <c r="E1046" s="20" t="s">
        <v>350</v>
      </c>
      <c r="F1046" s="27"/>
    </row>
    <row r="1047">
      <c r="A1047" s="28">
        <v>44685.0</v>
      </c>
      <c r="B1047" s="20" t="s">
        <v>345</v>
      </c>
      <c r="C1047" s="20">
        <v>282.0</v>
      </c>
      <c r="D1047" s="20" t="s">
        <v>351</v>
      </c>
      <c r="E1047" s="20" t="s">
        <v>70</v>
      </c>
      <c r="F1047" s="27"/>
    </row>
    <row r="1048">
      <c r="A1048" s="28">
        <v>44685.0</v>
      </c>
      <c r="B1048" s="20" t="s">
        <v>345</v>
      </c>
      <c r="C1048" s="20">
        <v>841.0</v>
      </c>
      <c r="D1048" s="20" t="s">
        <v>352</v>
      </c>
      <c r="E1048" s="20" t="s">
        <v>70</v>
      </c>
      <c r="F1048" s="27"/>
    </row>
    <row r="1049">
      <c r="A1049" s="28">
        <v>44685.0</v>
      </c>
      <c r="B1049" s="20" t="s">
        <v>345</v>
      </c>
      <c r="C1049" s="20">
        <v>297.0</v>
      </c>
      <c r="D1049" s="20" t="s">
        <v>38</v>
      </c>
      <c r="E1049" s="20" t="s">
        <v>70</v>
      </c>
      <c r="F1049" s="27"/>
    </row>
    <row r="1050">
      <c r="A1050" s="28">
        <v>44685.0</v>
      </c>
      <c r="B1050" s="20" t="s">
        <v>345</v>
      </c>
      <c r="C1050" s="20">
        <v>394.0</v>
      </c>
      <c r="D1050" s="20" t="s">
        <v>36</v>
      </c>
      <c r="E1050" s="20" t="s">
        <v>70</v>
      </c>
      <c r="F1050" s="27"/>
    </row>
    <row r="1051">
      <c r="A1051" s="28">
        <v>44685.0</v>
      </c>
      <c r="B1051" s="20" t="s">
        <v>345</v>
      </c>
      <c r="C1051" s="20">
        <v>340.0</v>
      </c>
      <c r="D1051" s="20" t="s">
        <v>353</v>
      </c>
      <c r="E1051" s="20" t="s">
        <v>45</v>
      </c>
      <c r="F1051" s="27"/>
    </row>
    <row r="1052">
      <c r="A1052" s="28">
        <v>44685.0</v>
      </c>
      <c r="B1052" s="20" t="s">
        <v>345</v>
      </c>
      <c r="C1052" s="20">
        <v>544.0</v>
      </c>
      <c r="D1052" s="20" t="s">
        <v>352</v>
      </c>
      <c r="E1052" s="20" t="s">
        <v>45</v>
      </c>
      <c r="F1052" s="27"/>
    </row>
    <row r="1053">
      <c r="A1053" s="26">
        <v>44686.55193548611</v>
      </c>
      <c r="B1053" s="20" t="s">
        <v>84</v>
      </c>
      <c r="C1053" s="20">
        <v>199.0</v>
      </c>
      <c r="D1053" s="20" t="s">
        <v>64</v>
      </c>
      <c r="E1053" s="20" t="s">
        <v>86</v>
      </c>
      <c r="F1053" s="27"/>
    </row>
    <row r="1054">
      <c r="A1054" s="26">
        <v>44686.67249287037</v>
      </c>
      <c r="B1054" s="20" t="s">
        <v>163</v>
      </c>
      <c r="C1054" s="20">
        <v>679.0</v>
      </c>
      <c r="D1054" s="20" t="s">
        <v>64</v>
      </c>
      <c r="E1054" s="20" t="s">
        <v>328</v>
      </c>
      <c r="F1054" s="27"/>
    </row>
    <row r="1055">
      <c r="A1055" s="26">
        <v>44686.68127793982</v>
      </c>
      <c r="B1055" s="20" t="s">
        <v>163</v>
      </c>
      <c r="C1055" s="20">
        <v>346.0</v>
      </c>
      <c r="D1055" s="20" t="s">
        <v>38</v>
      </c>
      <c r="E1055" s="20" t="s">
        <v>328</v>
      </c>
      <c r="F1055" s="27"/>
    </row>
    <row r="1056">
      <c r="A1056" s="26">
        <v>44686.683537164354</v>
      </c>
      <c r="B1056" s="20" t="s">
        <v>163</v>
      </c>
      <c r="C1056" s="20">
        <v>157.0</v>
      </c>
      <c r="D1056" s="20" t="s">
        <v>354</v>
      </c>
      <c r="E1056" s="20" t="s">
        <v>216</v>
      </c>
      <c r="F1056" s="27"/>
    </row>
    <row r="1057">
      <c r="A1057" s="26">
        <v>44686.68448414352</v>
      </c>
      <c r="B1057" s="20" t="s">
        <v>163</v>
      </c>
      <c r="C1057" s="20">
        <v>481.0</v>
      </c>
      <c r="D1057" s="20" t="s">
        <v>36</v>
      </c>
      <c r="E1057" s="20" t="s">
        <v>216</v>
      </c>
      <c r="F1057" s="27"/>
    </row>
    <row r="1058">
      <c r="A1058" s="26">
        <v>44686.68527107639</v>
      </c>
      <c r="B1058" s="20" t="s">
        <v>163</v>
      </c>
      <c r="C1058" s="20">
        <v>13.0</v>
      </c>
      <c r="D1058" s="20" t="s">
        <v>76</v>
      </c>
      <c r="E1058" s="20" t="s">
        <v>216</v>
      </c>
      <c r="F1058" s="27"/>
    </row>
    <row r="1059">
      <c r="A1059" s="26">
        <v>44686.8504344213</v>
      </c>
      <c r="B1059" s="20" t="s">
        <v>63</v>
      </c>
      <c r="C1059" s="20">
        <v>107.0</v>
      </c>
      <c r="D1059" s="20" t="s">
        <v>64</v>
      </c>
      <c r="E1059" s="20" t="s">
        <v>63</v>
      </c>
      <c r="F1059" s="27"/>
    </row>
    <row r="1060">
      <c r="A1060" s="26">
        <v>44687.558288229164</v>
      </c>
      <c r="B1060" s="20" t="s">
        <v>355</v>
      </c>
      <c r="C1060" s="20">
        <v>435.0</v>
      </c>
      <c r="D1060" s="20" t="s">
        <v>40</v>
      </c>
      <c r="E1060" s="20" t="s">
        <v>356</v>
      </c>
      <c r="F1060" s="27"/>
    </row>
    <row r="1061">
      <c r="A1061" s="26">
        <v>44687.5586191551</v>
      </c>
      <c r="B1061" s="20" t="s">
        <v>357</v>
      </c>
      <c r="C1061" s="20">
        <v>143.0</v>
      </c>
      <c r="D1061" s="20" t="s">
        <v>80</v>
      </c>
      <c r="E1061" s="20" t="s">
        <v>358</v>
      </c>
      <c r="F1061" s="27"/>
    </row>
    <row r="1062">
      <c r="A1062" s="26">
        <v>44687.56153121528</v>
      </c>
      <c r="B1062" s="20" t="s">
        <v>357</v>
      </c>
      <c r="C1062" s="20">
        <v>86.0</v>
      </c>
      <c r="D1062" s="20" t="s">
        <v>47</v>
      </c>
      <c r="E1062" s="20" t="s">
        <v>356</v>
      </c>
      <c r="F1062" s="27"/>
    </row>
    <row r="1063">
      <c r="A1063" s="26">
        <v>44687.70196924769</v>
      </c>
      <c r="B1063" s="20" t="s">
        <v>233</v>
      </c>
      <c r="C1063" s="20">
        <v>160.0</v>
      </c>
      <c r="D1063" s="20" t="s">
        <v>64</v>
      </c>
      <c r="E1063" s="20" t="s">
        <v>234</v>
      </c>
      <c r="F1063" s="27"/>
    </row>
    <row r="1064">
      <c r="A1064" s="26">
        <v>44688.49451017361</v>
      </c>
      <c r="B1064" s="20" t="s">
        <v>67</v>
      </c>
      <c r="C1064" s="20">
        <v>435.0</v>
      </c>
      <c r="D1064" s="20" t="s">
        <v>64</v>
      </c>
      <c r="E1064" s="20" t="s">
        <v>358</v>
      </c>
      <c r="F1064" s="27"/>
    </row>
    <row r="1065">
      <c r="A1065" s="26">
        <v>44688.49673085648</v>
      </c>
      <c r="B1065" s="20" t="s">
        <v>359</v>
      </c>
      <c r="C1065" s="20">
        <v>143.0</v>
      </c>
      <c r="D1065" s="20" t="s">
        <v>80</v>
      </c>
      <c r="E1065" s="20" t="s">
        <v>356</v>
      </c>
      <c r="F1065" s="27"/>
    </row>
    <row r="1066">
      <c r="A1066" s="26">
        <v>44688.497719861116</v>
      </c>
      <c r="B1066" s="20" t="s">
        <v>285</v>
      </c>
      <c r="C1066" s="20">
        <v>86.0</v>
      </c>
      <c r="D1066" s="20" t="s">
        <v>47</v>
      </c>
      <c r="E1066" s="20" t="s">
        <v>356</v>
      </c>
      <c r="F1066" s="27"/>
    </row>
    <row r="1067">
      <c r="A1067" s="26">
        <v>44688.499501377315</v>
      </c>
      <c r="B1067" s="20" t="s">
        <v>285</v>
      </c>
      <c r="C1067" s="20">
        <v>598.0</v>
      </c>
      <c r="D1067" s="20" t="s">
        <v>64</v>
      </c>
      <c r="E1067" s="20" t="s">
        <v>219</v>
      </c>
      <c r="F1067" s="27"/>
    </row>
    <row r="1068">
      <c r="A1068" s="26">
        <v>44688.50424568287</v>
      </c>
      <c r="B1068" s="20" t="s">
        <v>285</v>
      </c>
      <c r="C1068" s="20">
        <v>904.0</v>
      </c>
      <c r="D1068" s="20" t="s">
        <v>40</v>
      </c>
      <c r="E1068" s="20" t="s">
        <v>311</v>
      </c>
      <c r="F1068" s="27"/>
    </row>
    <row r="1069">
      <c r="A1069" s="26">
        <v>44688.50728464121</v>
      </c>
      <c r="B1069" s="20" t="s">
        <v>285</v>
      </c>
      <c r="C1069" s="20">
        <v>562.0</v>
      </c>
      <c r="D1069" s="20" t="s">
        <v>294</v>
      </c>
      <c r="E1069" s="20" t="s">
        <v>312</v>
      </c>
      <c r="F1069" s="27"/>
    </row>
    <row r="1070">
      <c r="A1070" s="28">
        <v>44688.0</v>
      </c>
      <c r="B1070" s="20" t="s">
        <v>345</v>
      </c>
      <c r="C1070" s="20">
        <v>-267.0</v>
      </c>
      <c r="D1070" s="20" t="s">
        <v>360</v>
      </c>
      <c r="E1070" s="20" t="s">
        <v>312</v>
      </c>
      <c r="F1070" s="27"/>
    </row>
    <row r="1071">
      <c r="A1071" s="26">
        <v>44688.511358159725</v>
      </c>
      <c r="B1071" s="20" t="s">
        <v>285</v>
      </c>
      <c r="C1071" s="20">
        <v>921.0</v>
      </c>
      <c r="D1071" s="20" t="s">
        <v>40</v>
      </c>
      <c r="E1071" s="20" t="s">
        <v>312</v>
      </c>
      <c r="F1071" s="27"/>
    </row>
    <row r="1072">
      <c r="A1072" s="26">
        <v>44688.51358666667</v>
      </c>
      <c r="B1072" s="20" t="s">
        <v>361</v>
      </c>
      <c r="C1072" s="20">
        <v>506.0</v>
      </c>
      <c r="D1072" s="20" t="s">
        <v>317</v>
      </c>
      <c r="E1072" s="20" t="s">
        <v>312</v>
      </c>
      <c r="F1072" s="27"/>
    </row>
    <row r="1073">
      <c r="A1073" s="26">
        <v>44688.516111053235</v>
      </c>
      <c r="B1073" s="20" t="s">
        <v>285</v>
      </c>
      <c r="C1073" s="20">
        <v>451.0</v>
      </c>
      <c r="D1073" s="20" t="s">
        <v>76</v>
      </c>
      <c r="E1073" s="20" t="s">
        <v>312</v>
      </c>
      <c r="F1073" s="27"/>
    </row>
    <row r="1074">
      <c r="A1074" s="28">
        <v>44688.0</v>
      </c>
      <c r="B1074" s="20" t="s">
        <v>345</v>
      </c>
      <c r="C1074" s="20">
        <v>-296.0</v>
      </c>
      <c r="D1074" s="20" t="s">
        <v>362</v>
      </c>
      <c r="E1074" s="20" t="s">
        <v>312</v>
      </c>
      <c r="F1074" s="27"/>
    </row>
    <row r="1075">
      <c r="A1075" s="26">
        <v>44688.5180531713</v>
      </c>
      <c r="B1075" s="20" t="s">
        <v>285</v>
      </c>
      <c r="C1075" s="20">
        <v>543.0</v>
      </c>
      <c r="D1075" s="20" t="s">
        <v>156</v>
      </c>
      <c r="E1075" s="20" t="s">
        <v>312</v>
      </c>
      <c r="F1075" s="27"/>
    </row>
    <row r="1076">
      <c r="A1076" s="28">
        <v>44688.0</v>
      </c>
      <c r="B1076" s="20" t="s">
        <v>345</v>
      </c>
      <c r="C1076" s="20">
        <v>-518.0</v>
      </c>
      <c r="D1076" s="20" t="s">
        <v>363</v>
      </c>
      <c r="E1076" s="20" t="s">
        <v>312</v>
      </c>
      <c r="F1076" s="27"/>
    </row>
    <row r="1077">
      <c r="A1077" s="26">
        <v>44688.5207787963</v>
      </c>
      <c r="B1077" s="20" t="s">
        <v>285</v>
      </c>
      <c r="C1077" s="20">
        <v>795.0</v>
      </c>
      <c r="D1077" s="20" t="s">
        <v>315</v>
      </c>
      <c r="E1077" s="20" t="s">
        <v>311</v>
      </c>
      <c r="F1077" s="27"/>
    </row>
    <row r="1078">
      <c r="A1078" s="28">
        <v>44688.0</v>
      </c>
      <c r="B1078" s="20" t="s">
        <v>345</v>
      </c>
      <c r="C1078" s="20">
        <v>-325.0</v>
      </c>
      <c r="D1078" s="20" t="s">
        <v>364</v>
      </c>
      <c r="E1078" s="20" t="s">
        <v>312</v>
      </c>
      <c r="F1078" s="27"/>
    </row>
    <row r="1079">
      <c r="A1079" s="26">
        <v>44688.55956309028</v>
      </c>
      <c r="B1079" s="20" t="s">
        <v>285</v>
      </c>
      <c r="C1079" s="20">
        <v>574.0</v>
      </c>
      <c r="D1079" s="20" t="s">
        <v>36</v>
      </c>
      <c r="E1079" s="20" t="s">
        <v>312</v>
      </c>
      <c r="F1079" s="27"/>
    </row>
    <row r="1080">
      <c r="A1080" s="26">
        <v>44688.55994288194</v>
      </c>
      <c r="B1080" s="20" t="s">
        <v>285</v>
      </c>
      <c r="C1080" s="20">
        <v>373.0</v>
      </c>
      <c r="D1080" s="20" t="s">
        <v>38</v>
      </c>
      <c r="E1080" s="20" t="s">
        <v>312</v>
      </c>
      <c r="F1080" s="27"/>
    </row>
    <row r="1081">
      <c r="A1081" s="26">
        <v>44688.56033907407</v>
      </c>
      <c r="B1081" s="20" t="s">
        <v>285</v>
      </c>
      <c r="C1081" s="20">
        <v>748.0</v>
      </c>
      <c r="D1081" s="20" t="s">
        <v>38</v>
      </c>
      <c r="E1081" s="20" t="s">
        <v>312</v>
      </c>
      <c r="F1081" s="27"/>
    </row>
    <row r="1082">
      <c r="A1082" s="28">
        <v>44688.0</v>
      </c>
      <c r="B1082" s="20" t="s">
        <v>345</v>
      </c>
      <c r="C1082" s="20">
        <v>-426.0</v>
      </c>
      <c r="D1082" s="20" t="s">
        <v>365</v>
      </c>
      <c r="E1082" s="20" t="s">
        <v>312</v>
      </c>
      <c r="F1082" s="27"/>
    </row>
    <row r="1083">
      <c r="A1083" s="26">
        <v>44688.56537824074</v>
      </c>
      <c r="B1083" s="20" t="s">
        <v>366</v>
      </c>
      <c r="C1083" s="20">
        <v>714.0</v>
      </c>
      <c r="D1083" s="20" t="s">
        <v>38</v>
      </c>
      <c r="E1083" s="20" t="s">
        <v>75</v>
      </c>
      <c r="F1083" s="27"/>
    </row>
    <row r="1084">
      <c r="A1084" s="26">
        <v>44688.579432604165</v>
      </c>
      <c r="B1084" s="20" t="s">
        <v>366</v>
      </c>
      <c r="C1084" s="20">
        <v>1223.0</v>
      </c>
      <c r="D1084" s="20" t="s">
        <v>36</v>
      </c>
      <c r="E1084" s="20" t="s">
        <v>75</v>
      </c>
      <c r="F1084" s="27"/>
    </row>
    <row r="1085">
      <c r="A1085" s="28">
        <v>44688.0</v>
      </c>
      <c r="B1085" s="20" t="s">
        <v>345</v>
      </c>
      <c r="C1085" s="20">
        <v>-269.0</v>
      </c>
      <c r="D1085" s="20" t="s">
        <v>367</v>
      </c>
      <c r="E1085" s="20" t="s">
        <v>312</v>
      </c>
      <c r="F1085" s="27"/>
    </row>
    <row r="1086">
      <c r="A1086" s="28">
        <v>44688.0</v>
      </c>
      <c r="B1086" s="20" t="s">
        <v>345</v>
      </c>
      <c r="C1086" s="20">
        <v>-261.0</v>
      </c>
      <c r="D1086" s="20" t="s">
        <v>368</v>
      </c>
      <c r="E1086" s="20" t="s">
        <v>312</v>
      </c>
      <c r="F1086" s="27"/>
    </row>
    <row r="1087">
      <c r="A1087" s="28">
        <v>44688.0</v>
      </c>
      <c r="B1087" s="20" t="s">
        <v>345</v>
      </c>
      <c r="C1087" s="20">
        <v>-403.0</v>
      </c>
      <c r="D1087" s="20" t="s">
        <v>369</v>
      </c>
      <c r="E1087" s="20" t="s">
        <v>312</v>
      </c>
      <c r="F1087" s="27"/>
    </row>
    <row r="1088">
      <c r="A1088" s="26">
        <v>44689.56280755787</v>
      </c>
      <c r="B1088" s="20" t="s">
        <v>49</v>
      </c>
      <c r="C1088" s="20">
        <v>820.0</v>
      </c>
      <c r="D1088" s="20" t="s">
        <v>40</v>
      </c>
      <c r="E1088" s="20" t="s">
        <v>81</v>
      </c>
      <c r="F1088" s="27"/>
    </row>
    <row r="1089">
      <c r="A1089" s="26">
        <v>44689.56317302083</v>
      </c>
      <c r="B1089" s="20" t="s">
        <v>49</v>
      </c>
      <c r="C1089" s="20">
        <v>876.0</v>
      </c>
      <c r="D1089" s="20" t="s">
        <v>36</v>
      </c>
      <c r="E1089" s="20" t="s">
        <v>37</v>
      </c>
      <c r="F1089" s="27"/>
    </row>
    <row r="1090">
      <c r="A1090" s="26">
        <v>44689.56343871528</v>
      </c>
      <c r="B1090" s="20" t="s">
        <v>49</v>
      </c>
      <c r="C1090" s="20">
        <v>389.0</v>
      </c>
      <c r="D1090" s="20" t="s">
        <v>64</v>
      </c>
      <c r="E1090" s="20" t="s">
        <v>81</v>
      </c>
      <c r="F1090" s="27"/>
    </row>
    <row r="1091">
      <c r="A1091" s="26">
        <v>44689.56381760417</v>
      </c>
      <c r="B1091" s="20" t="s">
        <v>49</v>
      </c>
      <c r="C1091" s="20">
        <v>56.0</v>
      </c>
      <c r="D1091" s="20" t="s">
        <v>73</v>
      </c>
      <c r="E1091" s="20" t="s">
        <v>81</v>
      </c>
      <c r="F1091" s="27"/>
    </row>
    <row r="1092">
      <c r="A1092" s="26">
        <v>44689.56472908564</v>
      </c>
      <c r="B1092" s="20" t="s">
        <v>49</v>
      </c>
      <c r="C1092" s="20">
        <v>924.0</v>
      </c>
      <c r="D1092" s="20" t="s">
        <v>40</v>
      </c>
      <c r="E1092" s="20" t="s">
        <v>81</v>
      </c>
      <c r="F1092" s="27"/>
    </row>
    <row r="1093">
      <c r="A1093" s="26">
        <v>44689.56501997686</v>
      </c>
      <c r="B1093" s="20" t="s">
        <v>49</v>
      </c>
      <c r="C1093" s="20">
        <v>707.0</v>
      </c>
      <c r="D1093" s="20" t="s">
        <v>47</v>
      </c>
      <c r="E1093" s="20" t="s">
        <v>81</v>
      </c>
      <c r="F1093" s="27"/>
    </row>
    <row r="1094">
      <c r="A1094" s="26">
        <v>44689.565569074075</v>
      </c>
      <c r="B1094" s="20" t="s">
        <v>49</v>
      </c>
      <c r="C1094" s="20">
        <v>876.0</v>
      </c>
      <c r="D1094" s="20" t="s">
        <v>40</v>
      </c>
      <c r="E1094" s="20" t="s">
        <v>81</v>
      </c>
      <c r="F1094" s="27"/>
    </row>
    <row r="1095">
      <c r="A1095" s="26">
        <v>44689.56591101852</v>
      </c>
      <c r="B1095" s="20" t="s">
        <v>49</v>
      </c>
      <c r="C1095" s="20">
        <v>90.0</v>
      </c>
      <c r="D1095" s="20" t="s">
        <v>40</v>
      </c>
      <c r="E1095" s="20" t="s">
        <v>50</v>
      </c>
      <c r="F1095" s="27"/>
    </row>
    <row r="1096">
      <c r="A1096" s="33">
        <v>44691.55192795139</v>
      </c>
      <c r="B1096" s="32" t="s">
        <v>370</v>
      </c>
      <c r="C1096" s="32">
        <v>748.0</v>
      </c>
      <c r="D1096" s="20" t="s">
        <v>371</v>
      </c>
      <c r="E1096" s="20"/>
      <c r="F1096" s="27"/>
    </row>
    <row r="1097">
      <c r="A1097" s="26">
        <v>44692.58324975694</v>
      </c>
      <c r="B1097" s="20" t="s">
        <v>67</v>
      </c>
      <c r="C1097" s="20">
        <v>703.0</v>
      </c>
      <c r="D1097" s="20" t="s">
        <v>40</v>
      </c>
      <c r="E1097" s="20" t="s">
        <v>70</v>
      </c>
      <c r="F1097" s="27"/>
    </row>
    <row r="1098">
      <c r="A1098" s="26">
        <v>44692.58381685185</v>
      </c>
      <c r="B1098" s="20" t="s">
        <v>67</v>
      </c>
      <c r="C1098" s="20">
        <v>643.0</v>
      </c>
      <c r="D1098" s="20" t="s">
        <v>36</v>
      </c>
      <c r="E1098" s="20" t="s">
        <v>372</v>
      </c>
      <c r="F1098" s="27"/>
    </row>
    <row r="1099">
      <c r="A1099" s="26">
        <v>44692.584341643524</v>
      </c>
      <c r="B1099" s="20" t="s">
        <v>67</v>
      </c>
      <c r="C1099" s="20">
        <v>238.0</v>
      </c>
      <c r="D1099" s="20" t="s">
        <v>38</v>
      </c>
      <c r="E1099" s="20" t="s">
        <v>70</v>
      </c>
      <c r="F1099" s="27"/>
    </row>
    <row r="1100">
      <c r="A1100" s="26">
        <v>44692.587261215274</v>
      </c>
      <c r="B1100" s="20" t="s">
        <v>67</v>
      </c>
      <c r="C1100" s="20">
        <v>487.0</v>
      </c>
      <c r="D1100" s="20" t="s">
        <v>40</v>
      </c>
      <c r="E1100" s="20" t="s">
        <v>46</v>
      </c>
      <c r="F1100" s="27"/>
    </row>
    <row r="1101">
      <c r="A1101" s="26">
        <v>44692.62976039352</v>
      </c>
      <c r="B1101" s="20" t="s">
        <v>49</v>
      </c>
      <c r="C1101" s="20">
        <v>117.0</v>
      </c>
      <c r="D1101" s="20" t="s">
        <v>64</v>
      </c>
      <c r="E1101" s="20" t="s">
        <v>63</v>
      </c>
      <c r="F1101" s="27"/>
    </row>
    <row r="1102">
      <c r="A1102" s="26">
        <v>44692.68283413195</v>
      </c>
      <c r="B1102" s="20" t="s">
        <v>67</v>
      </c>
      <c r="C1102" s="20">
        <v>368.0</v>
      </c>
      <c r="D1102" s="20" t="s">
        <v>38</v>
      </c>
      <c r="E1102" s="20" t="s">
        <v>46</v>
      </c>
      <c r="F1102" s="27"/>
    </row>
    <row r="1103">
      <c r="A1103" s="26">
        <v>44692.87417131945</v>
      </c>
      <c r="B1103" s="20" t="s">
        <v>49</v>
      </c>
      <c r="C1103" s="20">
        <v>12.0</v>
      </c>
      <c r="D1103" s="20" t="s">
        <v>64</v>
      </c>
      <c r="E1103" s="20" t="s">
        <v>46</v>
      </c>
      <c r="F1103" s="27"/>
    </row>
    <row r="1104">
      <c r="A1104" s="26">
        <v>44692.87505771991</v>
      </c>
      <c r="B1104" s="20" t="s">
        <v>49</v>
      </c>
      <c r="C1104" s="20">
        <v>487.0</v>
      </c>
      <c r="D1104" s="20" t="s">
        <v>40</v>
      </c>
      <c r="E1104" s="20" t="s">
        <v>46</v>
      </c>
      <c r="F1104" s="27"/>
    </row>
    <row r="1105">
      <c r="A1105" s="26">
        <v>44693.55294217593</v>
      </c>
      <c r="B1105" s="20" t="s">
        <v>84</v>
      </c>
      <c r="C1105" s="20">
        <v>129.0</v>
      </c>
      <c r="D1105" s="20" t="s">
        <v>64</v>
      </c>
      <c r="E1105" s="20" t="s">
        <v>86</v>
      </c>
      <c r="F1105" s="27"/>
    </row>
    <row r="1106">
      <c r="A1106" s="26">
        <v>44693.598469062505</v>
      </c>
      <c r="B1106" s="20" t="s">
        <v>49</v>
      </c>
      <c r="C1106" s="20">
        <v>689.0</v>
      </c>
      <c r="D1106" s="20" t="s">
        <v>64</v>
      </c>
      <c r="E1106" s="20" t="s">
        <v>343</v>
      </c>
      <c r="F1106" s="27"/>
    </row>
    <row r="1107">
      <c r="A1107" s="26">
        <v>44693.60875020833</v>
      </c>
      <c r="B1107" s="20" t="s">
        <v>49</v>
      </c>
      <c r="C1107" s="20">
        <v>382.0</v>
      </c>
      <c r="D1107" s="20" t="s">
        <v>47</v>
      </c>
      <c r="E1107" s="20" t="s">
        <v>343</v>
      </c>
      <c r="F1107" s="27"/>
    </row>
    <row r="1108">
      <c r="A1108" s="26">
        <v>44693.681329722225</v>
      </c>
      <c r="B1108" s="20" t="s">
        <v>49</v>
      </c>
      <c r="C1108" s="20">
        <v>181.0</v>
      </c>
      <c r="D1108" s="20" t="s">
        <v>64</v>
      </c>
      <c r="E1108" s="20" t="s">
        <v>373</v>
      </c>
      <c r="F1108" s="27"/>
    </row>
    <row r="1109">
      <c r="A1109" s="26">
        <v>44694.56733160879</v>
      </c>
      <c r="B1109" s="20" t="s">
        <v>300</v>
      </c>
      <c r="C1109" s="20">
        <v>91.0</v>
      </c>
      <c r="D1109" s="20" t="s">
        <v>64</v>
      </c>
      <c r="E1109" s="20" t="s">
        <v>374</v>
      </c>
      <c r="F1109" s="27"/>
    </row>
    <row r="1110">
      <c r="A1110" s="26">
        <v>44694.589940844904</v>
      </c>
      <c r="B1110" s="20" t="s">
        <v>300</v>
      </c>
      <c r="C1110" s="20">
        <v>29.0</v>
      </c>
      <c r="D1110" s="20" t="s">
        <v>64</v>
      </c>
      <c r="E1110" s="20" t="s">
        <v>374</v>
      </c>
      <c r="F1110" s="27"/>
    </row>
    <row r="1111">
      <c r="A1111" s="26">
        <v>44694.598580879625</v>
      </c>
      <c r="B1111" s="20" t="s">
        <v>300</v>
      </c>
      <c r="C1111" s="20">
        <v>11.0</v>
      </c>
      <c r="D1111" s="20" t="s">
        <v>64</v>
      </c>
      <c r="E1111" s="20" t="s">
        <v>375</v>
      </c>
      <c r="F1111" s="27"/>
    </row>
    <row r="1112">
      <c r="A1112" s="26">
        <v>44694.60050944444</v>
      </c>
      <c r="B1112" s="20" t="s">
        <v>67</v>
      </c>
      <c r="C1112" s="20">
        <v>513.0</v>
      </c>
      <c r="D1112" s="20" t="s">
        <v>38</v>
      </c>
      <c r="E1112" s="20" t="s">
        <v>96</v>
      </c>
      <c r="F1112" s="27"/>
    </row>
    <row r="1113">
      <c r="A1113" s="26">
        <v>44694.60084704861</v>
      </c>
      <c r="B1113" s="20" t="s">
        <v>67</v>
      </c>
      <c r="C1113" s="20">
        <v>526.0</v>
      </c>
      <c r="D1113" s="20" t="s">
        <v>40</v>
      </c>
      <c r="E1113" s="20" t="s">
        <v>96</v>
      </c>
      <c r="F1113" s="27"/>
    </row>
    <row r="1114">
      <c r="A1114" s="26">
        <v>44694.68508634259</v>
      </c>
      <c r="B1114" s="20" t="s">
        <v>233</v>
      </c>
      <c r="C1114" s="20">
        <v>148.0</v>
      </c>
      <c r="D1114" s="20" t="s">
        <v>64</v>
      </c>
      <c r="E1114" s="20" t="s">
        <v>234</v>
      </c>
      <c r="F1114" s="27"/>
    </row>
    <row r="1115">
      <c r="A1115" s="26">
        <v>44694.714668229164</v>
      </c>
      <c r="B1115" s="20" t="s">
        <v>49</v>
      </c>
      <c r="C1115" s="20">
        <v>26.0</v>
      </c>
      <c r="D1115" s="20" t="s">
        <v>64</v>
      </c>
      <c r="E1115" s="20" t="s">
        <v>96</v>
      </c>
      <c r="F1115" s="27"/>
    </row>
    <row r="1116">
      <c r="A1116" s="26">
        <v>44694.71670608796</v>
      </c>
      <c r="B1116" s="20" t="s">
        <v>67</v>
      </c>
      <c r="C1116" s="20">
        <v>272.0</v>
      </c>
      <c r="D1116" s="20" t="s">
        <v>47</v>
      </c>
      <c r="E1116" s="20" t="s">
        <v>96</v>
      </c>
      <c r="F1116" s="27"/>
    </row>
    <row r="1117">
      <c r="A1117" s="26">
        <v>44695.491175752315</v>
      </c>
      <c r="B1117" s="20" t="s">
        <v>67</v>
      </c>
      <c r="C1117" s="20">
        <v>563.0</v>
      </c>
      <c r="D1117" s="20" t="s">
        <v>376</v>
      </c>
      <c r="E1117" s="20" t="s">
        <v>75</v>
      </c>
      <c r="F1117" s="27"/>
    </row>
    <row r="1118">
      <c r="A1118" s="26">
        <v>44695.49150844908</v>
      </c>
      <c r="B1118" s="20" t="s">
        <v>67</v>
      </c>
      <c r="C1118" s="20">
        <v>146.0</v>
      </c>
      <c r="D1118" s="20" t="s">
        <v>76</v>
      </c>
      <c r="E1118" s="20" t="s">
        <v>75</v>
      </c>
      <c r="F1118" s="27"/>
    </row>
    <row r="1119">
      <c r="A1119" s="26">
        <v>44695.491906944444</v>
      </c>
      <c r="B1119" s="20" t="s">
        <v>67</v>
      </c>
      <c r="C1119" s="20">
        <v>378.0</v>
      </c>
      <c r="D1119" s="20" t="s">
        <v>156</v>
      </c>
      <c r="E1119" s="20" t="s">
        <v>75</v>
      </c>
      <c r="F1119" s="27"/>
    </row>
    <row r="1120">
      <c r="A1120" s="26">
        <v>44695.49246335648</v>
      </c>
      <c r="B1120" s="20" t="s">
        <v>67</v>
      </c>
      <c r="C1120" s="20">
        <v>631.0</v>
      </c>
      <c r="D1120" s="20" t="s">
        <v>80</v>
      </c>
      <c r="E1120" s="20" t="s">
        <v>75</v>
      </c>
      <c r="F1120" s="27"/>
    </row>
    <row r="1121">
      <c r="A1121" s="26">
        <v>44695.50665407407</v>
      </c>
      <c r="B1121" s="20" t="s">
        <v>285</v>
      </c>
      <c r="C1121" s="20">
        <v>894.0</v>
      </c>
      <c r="D1121" s="20" t="s">
        <v>93</v>
      </c>
      <c r="E1121" s="20" t="s">
        <v>312</v>
      </c>
      <c r="F1121" s="27"/>
    </row>
    <row r="1122">
      <c r="A1122" s="26">
        <v>44695.5074815625</v>
      </c>
      <c r="B1122" s="20" t="s">
        <v>285</v>
      </c>
      <c r="C1122" s="20">
        <v>631.0</v>
      </c>
      <c r="D1122" s="20" t="s">
        <v>299</v>
      </c>
      <c r="E1122" s="20" t="s">
        <v>75</v>
      </c>
      <c r="F1122" s="27"/>
    </row>
    <row r="1123">
      <c r="A1123" s="26">
        <v>44695.50794164352</v>
      </c>
      <c r="B1123" s="20" t="s">
        <v>285</v>
      </c>
      <c r="C1123" s="20">
        <v>168.0</v>
      </c>
      <c r="D1123" s="20" t="s">
        <v>377</v>
      </c>
      <c r="E1123" s="20" t="s">
        <v>75</v>
      </c>
      <c r="F1123" s="27"/>
    </row>
    <row r="1124">
      <c r="A1124" s="26">
        <v>44695.509771122684</v>
      </c>
      <c r="B1124" s="20" t="s">
        <v>285</v>
      </c>
      <c r="C1124" s="20">
        <v>781.0</v>
      </c>
      <c r="D1124" s="20" t="s">
        <v>115</v>
      </c>
      <c r="E1124" s="20" t="s">
        <v>75</v>
      </c>
      <c r="F1124" s="27"/>
    </row>
    <row r="1125">
      <c r="A1125" s="26">
        <v>44695.51377826389</v>
      </c>
      <c r="B1125" s="20" t="s">
        <v>285</v>
      </c>
      <c r="C1125" s="20">
        <v>1442.0</v>
      </c>
      <c r="D1125" s="20" t="s">
        <v>93</v>
      </c>
      <c r="E1125" s="20" t="s">
        <v>75</v>
      </c>
      <c r="F1125" s="27"/>
    </row>
    <row r="1126">
      <c r="A1126" s="26">
        <v>44695.51786486111</v>
      </c>
      <c r="B1126" s="20" t="s">
        <v>285</v>
      </c>
      <c r="C1126" s="20">
        <v>709.0</v>
      </c>
      <c r="D1126" s="20" t="s">
        <v>378</v>
      </c>
      <c r="E1126" s="20" t="s">
        <v>75</v>
      </c>
      <c r="F1126" s="27"/>
    </row>
    <row r="1127">
      <c r="A1127" s="26">
        <v>44695.52032962963</v>
      </c>
      <c r="B1127" s="20" t="s">
        <v>284</v>
      </c>
      <c r="C1127" s="20">
        <v>709.0</v>
      </c>
      <c r="D1127" s="20" t="s">
        <v>378</v>
      </c>
      <c r="E1127" s="20" t="s">
        <v>75</v>
      </c>
      <c r="F1127" s="27"/>
    </row>
    <row r="1128">
      <c r="A1128" s="26">
        <v>44695.52324597222</v>
      </c>
      <c r="B1128" s="20" t="s">
        <v>285</v>
      </c>
      <c r="C1128" s="20">
        <v>166.0</v>
      </c>
      <c r="D1128" s="20" t="s">
        <v>299</v>
      </c>
      <c r="E1128" s="20" t="s">
        <v>75</v>
      </c>
      <c r="F1128" s="27"/>
    </row>
    <row r="1129">
      <c r="A1129" s="26">
        <v>44695.53906328704</v>
      </c>
      <c r="B1129" s="20" t="s">
        <v>285</v>
      </c>
      <c r="C1129" s="20">
        <v>385.0</v>
      </c>
      <c r="D1129" s="20" t="s">
        <v>47</v>
      </c>
      <c r="E1129" s="20" t="s">
        <v>75</v>
      </c>
      <c r="F1129" s="27"/>
    </row>
    <row r="1130">
      <c r="A1130" s="26">
        <v>44695.53974861111</v>
      </c>
      <c r="B1130" s="20" t="s">
        <v>285</v>
      </c>
      <c r="C1130" s="20">
        <v>280.0</v>
      </c>
      <c r="D1130" s="20" t="s">
        <v>169</v>
      </c>
      <c r="E1130" s="20" t="s">
        <v>75</v>
      </c>
      <c r="F1130" s="27"/>
    </row>
    <row r="1131">
      <c r="A1131" s="26">
        <v>44695.54013533564</v>
      </c>
      <c r="B1131" s="20" t="s">
        <v>285</v>
      </c>
      <c r="C1131" s="20">
        <v>173.0</v>
      </c>
      <c r="D1131" s="20" t="s">
        <v>80</v>
      </c>
      <c r="E1131" s="20" t="s">
        <v>75</v>
      </c>
      <c r="F1131" s="27"/>
    </row>
    <row r="1132">
      <c r="A1132" s="26">
        <v>44695.669503854166</v>
      </c>
      <c r="B1132" s="20" t="s">
        <v>285</v>
      </c>
      <c r="C1132" s="20">
        <v>-185.0</v>
      </c>
      <c r="D1132" s="20" t="s">
        <v>47</v>
      </c>
      <c r="E1132" s="20" t="s">
        <v>75</v>
      </c>
      <c r="F1132" s="27"/>
    </row>
    <row r="1133">
      <c r="A1133" s="26">
        <v>44695.67008401621</v>
      </c>
      <c r="B1133" s="20" t="s">
        <v>284</v>
      </c>
      <c r="C1133" s="20">
        <v>442.0</v>
      </c>
      <c r="D1133" s="20" t="s">
        <v>38</v>
      </c>
      <c r="E1133" s="20" t="s">
        <v>75</v>
      </c>
      <c r="F1133" s="27"/>
    </row>
    <row r="1134">
      <c r="A1134" s="26">
        <v>44695.67170449074</v>
      </c>
      <c r="B1134" s="20" t="s">
        <v>285</v>
      </c>
      <c r="C1134" s="20">
        <v>-279.0</v>
      </c>
      <c r="D1134" s="20" t="s">
        <v>156</v>
      </c>
      <c r="E1134" s="20" t="s">
        <v>75</v>
      </c>
      <c r="F1134" s="27"/>
    </row>
    <row r="1135">
      <c r="A1135" s="26">
        <v>44695.672207662035</v>
      </c>
      <c r="B1135" s="20" t="s">
        <v>285</v>
      </c>
      <c r="C1135" s="20">
        <v>461.0</v>
      </c>
      <c r="D1135" s="20" t="s">
        <v>38</v>
      </c>
      <c r="E1135" s="20" t="s">
        <v>75</v>
      </c>
      <c r="F1135" s="27"/>
    </row>
    <row r="1136">
      <c r="A1136" s="26">
        <v>44695.6733419213</v>
      </c>
      <c r="B1136" s="20" t="s">
        <v>285</v>
      </c>
      <c r="C1136" s="20">
        <v>-312.0</v>
      </c>
      <c r="D1136" s="20" t="s">
        <v>76</v>
      </c>
      <c r="E1136" s="20" t="s">
        <v>75</v>
      </c>
      <c r="F1136" s="27"/>
    </row>
    <row r="1137">
      <c r="A1137" s="26">
        <v>44695.68358707176</v>
      </c>
      <c r="B1137" s="20" t="s">
        <v>285</v>
      </c>
      <c r="C1137" s="20">
        <v>-1442.0</v>
      </c>
      <c r="D1137" s="20" t="s">
        <v>379</v>
      </c>
      <c r="E1137" s="20" t="s">
        <v>75</v>
      </c>
      <c r="F1137" s="27"/>
    </row>
    <row r="1138">
      <c r="A1138" s="26">
        <v>44695.68526680555</v>
      </c>
      <c r="B1138" s="20" t="s">
        <v>285</v>
      </c>
      <c r="C1138" s="20">
        <v>-514.0</v>
      </c>
      <c r="D1138" s="20" t="s">
        <v>87</v>
      </c>
      <c r="E1138" s="20" t="s">
        <v>75</v>
      </c>
      <c r="F1138" s="27"/>
    </row>
    <row r="1139">
      <c r="A1139" s="26">
        <v>44695.68783935186</v>
      </c>
      <c r="B1139" s="20" t="s">
        <v>285</v>
      </c>
      <c r="C1139" s="20">
        <v>-188.0</v>
      </c>
      <c r="D1139" s="20" t="s">
        <v>380</v>
      </c>
      <c r="E1139" s="20" t="s">
        <v>75</v>
      </c>
      <c r="F1139" s="27"/>
    </row>
    <row r="1140">
      <c r="A1140" s="26">
        <v>44695.6897178588</v>
      </c>
      <c r="B1140" s="20" t="s">
        <v>285</v>
      </c>
      <c r="C1140" s="20">
        <v>-116.0</v>
      </c>
      <c r="D1140" s="20" t="s">
        <v>169</v>
      </c>
      <c r="E1140" s="20" t="s">
        <v>75</v>
      </c>
      <c r="F1140" s="27"/>
    </row>
    <row r="1141">
      <c r="A1141" s="26">
        <v>44695.72170005787</v>
      </c>
      <c r="B1141" s="20" t="s">
        <v>285</v>
      </c>
      <c r="C1141" s="20">
        <v>1032.0</v>
      </c>
      <c r="D1141" s="20" t="s">
        <v>64</v>
      </c>
      <c r="E1141" s="20" t="s">
        <v>48</v>
      </c>
      <c r="F1141" s="27"/>
    </row>
    <row r="1142">
      <c r="A1142" s="26">
        <v>44695.72534824074</v>
      </c>
      <c r="B1142" s="20" t="s">
        <v>285</v>
      </c>
      <c r="C1142" s="20">
        <v>185.0</v>
      </c>
      <c r="D1142" s="20" t="s">
        <v>93</v>
      </c>
      <c r="E1142" s="20" t="s">
        <v>48</v>
      </c>
      <c r="F1142" s="27"/>
    </row>
    <row r="1143">
      <c r="A1143" s="26">
        <v>44695.73761164352</v>
      </c>
      <c r="B1143" s="20" t="s">
        <v>49</v>
      </c>
      <c r="C1143" s="20">
        <v>131.0</v>
      </c>
      <c r="D1143" s="20" t="s">
        <v>53</v>
      </c>
      <c r="E1143" s="20" t="s">
        <v>381</v>
      </c>
      <c r="F1143" s="27"/>
    </row>
    <row r="1144">
      <c r="A1144" s="26">
        <v>44696.511401145835</v>
      </c>
      <c r="B1144" s="20" t="s">
        <v>67</v>
      </c>
      <c r="C1144" s="20">
        <v>493.0</v>
      </c>
      <c r="D1144" s="20" t="s">
        <v>38</v>
      </c>
      <c r="E1144" s="20" t="s">
        <v>81</v>
      </c>
      <c r="F1144" s="27"/>
    </row>
    <row r="1145">
      <c r="A1145" s="26">
        <v>44696.52842184028</v>
      </c>
      <c r="B1145" s="20" t="s">
        <v>49</v>
      </c>
      <c r="C1145" s="20">
        <v>838.0</v>
      </c>
      <c r="D1145" s="20" t="s">
        <v>36</v>
      </c>
      <c r="E1145" s="20" t="s">
        <v>81</v>
      </c>
      <c r="F1145" s="27"/>
    </row>
    <row r="1146">
      <c r="A1146" s="26">
        <v>44696.529527025465</v>
      </c>
      <c r="B1146" s="20" t="s">
        <v>49</v>
      </c>
      <c r="C1146" s="20">
        <v>419.0</v>
      </c>
      <c r="D1146" s="20" t="s">
        <v>47</v>
      </c>
      <c r="E1146" s="20" t="s">
        <v>81</v>
      </c>
      <c r="F1146" s="27"/>
    </row>
    <row r="1147">
      <c r="A1147" s="26">
        <v>44696.53058290509</v>
      </c>
      <c r="B1147" s="20" t="s">
        <v>49</v>
      </c>
      <c r="C1147" s="20">
        <v>578.0</v>
      </c>
      <c r="D1147" s="20" t="s">
        <v>64</v>
      </c>
      <c r="E1147" s="20" t="s">
        <v>81</v>
      </c>
      <c r="F1147" s="27"/>
    </row>
    <row r="1148">
      <c r="A1148" s="26">
        <v>44696.55029306713</v>
      </c>
      <c r="B1148" s="20" t="s">
        <v>67</v>
      </c>
      <c r="C1148" s="20">
        <v>170.0</v>
      </c>
      <c r="D1148" s="20" t="s">
        <v>64</v>
      </c>
      <c r="E1148" s="20" t="s">
        <v>382</v>
      </c>
      <c r="F1148" s="27"/>
    </row>
    <row r="1149">
      <c r="A1149" s="26">
        <v>44696.55428780093</v>
      </c>
      <c r="B1149" s="20" t="s">
        <v>49</v>
      </c>
      <c r="C1149" s="20">
        <v>395.0</v>
      </c>
      <c r="D1149" s="20" t="s">
        <v>64</v>
      </c>
      <c r="E1149" s="20" t="s">
        <v>65</v>
      </c>
      <c r="F1149" s="27"/>
    </row>
    <row r="1150">
      <c r="A1150" s="26">
        <v>44696.68542100694</v>
      </c>
      <c r="B1150" s="20" t="s">
        <v>63</v>
      </c>
      <c r="C1150" s="20">
        <v>19.0</v>
      </c>
      <c r="D1150" s="20" t="s">
        <v>64</v>
      </c>
      <c r="E1150" s="20" t="s">
        <v>63</v>
      </c>
      <c r="F1150" s="27"/>
    </row>
    <row r="1151">
      <c r="A1151" s="26">
        <v>44696.68723996528</v>
      </c>
      <c r="B1151" s="20" t="s">
        <v>63</v>
      </c>
      <c r="C1151" s="20">
        <v>20.0</v>
      </c>
      <c r="D1151" s="20" t="s">
        <v>64</v>
      </c>
      <c r="E1151" s="20" t="s">
        <v>63</v>
      </c>
      <c r="F1151" s="27"/>
    </row>
    <row r="1152">
      <c r="A1152" s="26">
        <v>44699.54659677083</v>
      </c>
      <c r="B1152" s="20" t="s">
        <v>383</v>
      </c>
      <c r="C1152" s="20">
        <v>730.0</v>
      </c>
      <c r="D1152" s="20" t="s">
        <v>47</v>
      </c>
      <c r="E1152" s="20" t="s">
        <v>70</v>
      </c>
      <c r="F1152" s="27"/>
    </row>
    <row r="1153">
      <c r="A1153" s="26">
        <v>44699.55054880787</v>
      </c>
      <c r="B1153" s="20" t="s">
        <v>70</v>
      </c>
      <c r="C1153" s="20">
        <v>406.0</v>
      </c>
      <c r="D1153" s="20" t="s">
        <v>38</v>
      </c>
      <c r="E1153" s="20" t="s">
        <v>70</v>
      </c>
      <c r="F1153" s="27"/>
    </row>
    <row r="1154">
      <c r="A1154" s="26">
        <v>44699.55712104167</v>
      </c>
      <c r="B1154" s="20" t="s">
        <v>70</v>
      </c>
      <c r="C1154" s="20">
        <v>474.0</v>
      </c>
      <c r="D1154" s="20" t="s">
        <v>36</v>
      </c>
      <c r="E1154" s="20" t="s">
        <v>70</v>
      </c>
      <c r="F1154" s="27"/>
    </row>
    <row r="1155">
      <c r="A1155" s="26">
        <v>44699.640185625</v>
      </c>
      <c r="B1155" s="20" t="s">
        <v>49</v>
      </c>
      <c r="C1155" s="20">
        <v>151.0</v>
      </c>
      <c r="D1155" s="20" t="s">
        <v>73</v>
      </c>
      <c r="E1155" s="20" t="s">
        <v>46</v>
      </c>
      <c r="F1155" s="27"/>
    </row>
    <row r="1156">
      <c r="A1156" s="26">
        <v>44699.66409885416</v>
      </c>
      <c r="B1156" s="20" t="s">
        <v>49</v>
      </c>
      <c r="C1156" s="20">
        <v>235.0</v>
      </c>
      <c r="D1156" s="20" t="s">
        <v>40</v>
      </c>
      <c r="E1156" s="20" t="s">
        <v>46</v>
      </c>
      <c r="F1156" s="27"/>
    </row>
    <row r="1157">
      <c r="A1157" s="26">
        <v>44699.66997203704</v>
      </c>
      <c r="B1157" s="20" t="s">
        <v>49</v>
      </c>
      <c r="C1157" s="20">
        <v>288.0</v>
      </c>
      <c r="D1157" s="20" t="s">
        <v>47</v>
      </c>
      <c r="E1157" s="20" t="s">
        <v>46</v>
      </c>
      <c r="F1157" s="27"/>
    </row>
    <row r="1158">
      <c r="A1158" s="26">
        <v>44699.90407097222</v>
      </c>
      <c r="B1158" s="20" t="s">
        <v>384</v>
      </c>
      <c r="D1158" s="20" t="s">
        <v>115</v>
      </c>
      <c r="E1158" s="20" t="s">
        <v>323</v>
      </c>
      <c r="F1158" s="27"/>
    </row>
    <row r="1159">
      <c r="A1159" s="26">
        <v>44700.485184756944</v>
      </c>
      <c r="B1159" s="20" t="s">
        <v>49</v>
      </c>
      <c r="C1159" s="20">
        <v>58.0</v>
      </c>
      <c r="D1159" s="20" t="s">
        <v>36</v>
      </c>
      <c r="E1159" s="20" t="s">
        <v>46</v>
      </c>
      <c r="F1159" s="27"/>
    </row>
    <row r="1160">
      <c r="A1160" s="26">
        <v>44700.56939754629</v>
      </c>
      <c r="B1160" s="20" t="s">
        <v>63</v>
      </c>
      <c r="C1160" s="20">
        <v>103.0</v>
      </c>
      <c r="D1160" s="20" t="s">
        <v>64</v>
      </c>
      <c r="E1160" s="20" t="s">
        <v>63</v>
      </c>
      <c r="F1160" s="27"/>
    </row>
    <row r="1161">
      <c r="A1161" s="26">
        <v>44700.57053078704</v>
      </c>
      <c r="B1161" s="20" t="s">
        <v>84</v>
      </c>
      <c r="C1161" s="20">
        <v>96.0</v>
      </c>
      <c r="D1161" s="20" t="s">
        <v>64</v>
      </c>
      <c r="E1161" s="20" t="s">
        <v>86</v>
      </c>
      <c r="F1161" s="27"/>
    </row>
    <row r="1162">
      <c r="A1162" s="26">
        <v>44700.6721116088</v>
      </c>
      <c r="B1162" s="20" t="s">
        <v>49</v>
      </c>
      <c r="C1162" s="20">
        <v>1005.0</v>
      </c>
      <c r="D1162" s="20" t="s">
        <v>36</v>
      </c>
      <c r="E1162" s="20" t="s">
        <v>385</v>
      </c>
      <c r="F1162" s="27"/>
    </row>
    <row r="1163">
      <c r="A1163" s="26">
        <v>44700.67534402778</v>
      </c>
      <c r="B1163" s="20" t="s">
        <v>49</v>
      </c>
      <c r="C1163" s="20">
        <v>238.0</v>
      </c>
      <c r="D1163" s="20" t="s">
        <v>38</v>
      </c>
      <c r="E1163" s="20" t="s">
        <v>385</v>
      </c>
      <c r="F1163" s="27"/>
    </row>
    <row r="1164">
      <c r="A1164" s="26">
        <v>44700.866686249996</v>
      </c>
      <c r="B1164" s="20" t="s">
        <v>49</v>
      </c>
      <c r="C1164" s="20">
        <v>318.0</v>
      </c>
      <c r="D1164" s="20" t="s">
        <v>47</v>
      </c>
      <c r="E1164" s="20" t="s">
        <v>343</v>
      </c>
      <c r="F1164" s="27"/>
    </row>
    <row r="1165">
      <c r="A1165" s="26">
        <v>44700.86695921296</v>
      </c>
      <c r="B1165" s="20" t="s">
        <v>49</v>
      </c>
      <c r="C1165" s="20">
        <v>325.0</v>
      </c>
      <c r="D1165" s="20" t="s">
        <v>40</v>
      </c>
      <c r="E1165" s="20" t="s">
        <v>343</v>
      </c>
      <c r="F1165" s="27"/>
    </row>
    <row r="1166">
      <c r="A1166" s="26">
        <v>44701.65047482639</v>
      </c>
      <c r="B1166" s="20" t="s">
        <v>49</v>
      </c>
      <c r="C1166" s="20">
        <v>153.0</v>
      </c>
      <c r="D1166" s="20" t="s">
        <v>38</v>
      </c>
      <c r="E1166" s="20" t="s">
        <v>46</v>
      </c>
      <c r="F1166" s="27"/>
    </row>
    <row r="1167">
      <c r="A1167" s="26">
        <v>44701.65273372685</v>
      </c>
      <c r="B1167" s="20" t="s">
        <v>49</v>
      </c>
      <c r="C1167" s="20">
        <v>639.0</v>
      </c>
      <c r="D1167" s="20" t="s">
        <v>386</v>
      </c>
      <c r="E1167" s="20" t="s">
        <v>96</v>
      </c>
      <c r="F1167" s="27"/>
    </row>
    <row r="1168">
      <c r="A1168" s="26">
        <v>44701.65321820602</v>
      </c>
      <c r="B1168" s="20" t="s">
        <v>49</v>
      </c>
      <c r="C1168" s="20">
        <v>152.0</v>
      </c>
      <c r="D1168" s="20" t="s">
        <v>80</v>
      </c>
      <c r="E1168" s="20" t="s">
        <v>96</v>
      </c>
      <c r="F1168" s="27"/>
    </row>
    <row r="1169">
      <c r="A1169" s="26">
        <v>44701.700046342594</v>
      </c>
      <c r="B1169" s="20" t="s">
        <v>233</v>
      </c>
      <c r="C1169" s="20">
        <v>98.0</v>
      </c>
      <c r="D1169" s="20" t="s">
        <v>64</v>
      </c>
      <c r="E1169" s="20" t="s">
        <v>234</v>
      </c>
      <c r="F1169" s="27"/>
    </row>
    <row r="1170">
      <c r="A1170" s="26">
        <v>44701.70155280092</v>
      </c>
      <c r="B1170" s="20" t="s">
        <v>49</v>
      </c>
      <c r="C1170" s="20">
        <v>3.0</v>
      </c>
      <c r="D1170" s="20" t="s">
        <v>80</v>
      </c>
      <c r="E1170" s="20" t="s">
        <v>96</v>
      </c>
      <c r="F1170" s="27"/>
    </row>
    <row r="1171">
      <c r="A1171" s="26">
        <v>44702.50933011574</v>
      </c>
      <c r="B1171" s="20" t="s">
        <v>285</v>
      </c>
      <c r="C1171" s="20">
        <v>243.0</v>
      </c>
      <c r="D1171" s="20" t="s">
        <v>95</v>
      </c>
      <c r="E1171" s="20" t="s">
        <v>75</v>
      </c>
      <c r="F1171" s="27"/>
    </row>
    <row r="1172">
      <c r="A1172" s="26">
        <v>44702.51002696759</v>
      </c>
      <c r="B1172" s="20" t="s">
        <v>285</v>
      </c>
      <c r="C1172" s="20">
        <v>319.0</v>
      </c>
      <c r="D1172" s="20" t="s">
        <v>95</v>
      </c>
      <c r="E1172" s="20" t="s">
        <v>75</v>
      </c>
      <c r="F1172" s="27"/>
    </row>
    <row r="1173">
      <c r="A1173" s="26">
        <v>44702.51136824074</v>
      </c>
      <c r="B1173" s="20" t="s">
        <v>285</v>
      </c>
      <c r="C1173" s="20">
        <v>1160.0</v>
      </c>
      <c r="D1173" s="20" t="s">
        <v>93</v>
      </c>
      <c r="E1173" s="20" t="s">
        <v>75</v>
      </c>
      <c r="F1173" s="27"/>
    </row>
    <row r="1174">
      <c r="A1174" s="26">
        <v>44702.51425078703</v>
      </c>
      <c r="B1174" s="20" t="s">
        <v>285</v>
      </c>
      <c r="C1174" s="20">
        <v>1000.0</v>
      </c>
      <c r="D1174" s="20" t="s">
        <v>93</v>
      </c>
      <c r="E1174" s="20" t="s">
        <v>75</v>
      </c>
      <c r="F1174" s="27"/>
    </row>
    <row r="1175">
      <c r="A1175" s="26">
        <v>44702.51620994213</v>
      </c>
      <c r="B1175" s="20" t="s">
        <v>285</v>
      </c>
      <c r="C1175" s="20">
        <v>926.0</v>
      </c>
      <c r="D1175" s="20" t="s">
        <v>313</v>
      </c>
      <c r="E1175" s="20" t="s">
        <v>75</v>
      </c>
      <c r="F1175" s="27"/>
    </row>
    <row r="1176">
      <c r="A1176" s="26">
        <v>44702.51920393518</v>
      </c>
      <c r="B1176" s="20" t="s">
        <v>285</v>
      </c>
      <c r="C1176" s="20">
        <v>151.0</v>
      </c>
      <c r="D1176" s="20" t="s">
        <v>387</v>
      </c>
      <c r="E1176" s="20" t="s">
        <v>75</v>
      </c>
      <c r="F1176" s="27"/>
    </row>
    <row r="1177">
      <c r="A1177" s="26">
        <v>44702.51984179398</v>
      </c>
      <c r="B1177" s="20" t="s">
        <v>285</v>
      </c>
      <c r="C1177" s="20">
        <v>-243.0</v>
      </c>
      <c r="D1177" s="20" t="s">
        <v>95</v>
      </c>
      <c r="E1177" s="20" t="s">
        <v>75</v>
      </c>
      <c r="F1177" s="27"/>
    </row>
    <row r="1178">
      <c r="A1178" s="26">
        <v>44702.52393488426</v>
      </c>
      <c r="B1178" s="20" t="s">
        <v>285</v>
      </c>
      <c r="C1178" s="20">
        <v>370.0</v>
      </c>
      <c r="D1178" s="20" t="s">
        <v>76</v>
      </c>
      <c r="E1178" s="20" t="s">
        <v>75</v>
      </c>
      <c r="F1178" s="27"/>
    </row>
    <row r="1179">
      <c r="A1179" s="26">
        <v>44702.527899305554</v>
      </c>
      <c r="B1179" s="20" t="s">
        <v>285</v>
      </c>
      <c r="C1179" s="20">
        <v>253.0</v>
      </c>
      <c r="D1179" s="20" t="s">
        <v>388</v>
      </c>
      <c r="E1179" s="20" t="s">
        <v>75</v>
      </c>
      <c r="F1179" s="27"/>
    </row>
    <row r="1180">
      <c r="A1180" s="26">
        <v>44702.52969319445</v>
      </c>
      <c r="B1180" s="20" t="s">
        <v>285</v>
      </c>
      <c r="C1180" s="20">
        <v>423.0</v>
      </c>
      <c r="D1180" s="20" t="s">
        <v>315</v>
      </c>
      <c r="E1180" s="20" t="s">
        <v>75</v>
      </c>
      <c r="F1180" s="27"/>
    </row>
    <row r="1181">
      <c r="A1181" s="26">
        <v>44702.53176951389</v>
      </c>
      <c r="B1181" s="20" t="s">
        <v>285</v>
      </c>
      <c r="C1181" s="20">
        <v>192.0</v>
      </c>
      <c r="D1181" s="20" t="s">
        <v>156</v>
      </c>
      <c r="E1181" s="20" t="s">
        <v>75</v>
      </c>
      <c r="F1181" s="27"/>
    </row>
    <row r="1182">
      <c r="A1182" s="26">
        <v>44702.538503310185</v>
      </c>
      <c r="B1182" s="20" t="s">
        <v>285</v>
      </c>
      <c r="C1182" s="20">
        <v>281.0</v>
      </c>
      <c r="D1182" s="20" t="s">
        <v>299</v>
      </c>
      <c r="E1182" s="20" t="s">
        <v>75</v>
      </c>
      <c r="F1182" s="27"/>
    </row>
    <row r="1183">
      <c r="A1183" s="26">
        <v>44702.53954381944</v>
      </c>
      <c r="B1183" s="20" t="s">
        <v>285</v>
      </c>
      <c r="C1183" s="20">
        <v>415.0</v>
      </c>
      <c r="D1183" s="20" t="s">
        <v>64</v>
      </c>
      <c r="E1183" s="20" t="s">
        <v>219</v>
      </c>
      <c r="F1183" s="27"/>
    </row>
    <row r="1184">
      <c r="A1184" s="26">
        <v>44702.56159979167</v>
      </c>
      <c r="B1184" s="20" t="s">
        <v>285</v>
      </c>
      <c r="C1184" s="20">
        <v>385.0</v>
      </c>
      <c r="D1184" s="20" t="s">
        <v>47</v>
      </c>
      <c r="E1184" s="20" t="s">
        <v>75</v>
      </c>
      <c r="F1184" s="27"/>
    </row>
    <row r="1185">
      <c r="A1185" s="26">
        <v>44702.569278668976</v>
      </c>
      <c r="B1185" s="20" t="s">
        <v>285</v>
      </c>
      <c r="C1185" s="20">
        <v>389.0</v>
      </c>
      <c r="D1185" s="20" t="s">
        <v>38</v>
      </c>
      <c r="E1185" s="20" t="s">
        <v>75</v>
      </c>
      <c r="F1185" s="27"/>
    </row>
    <row r="1186">
      <c r="A1186" s="26">
        <v>44702.57182048611</v>
      </c>
      <c r="B1186" s="20" t="s">
        <v>285</v>
      </c>
      <c r="C1186" s="20">
        <v>410.0</v>
      </c>
      <c r="D1186" s="20" t="s">
        <v>38</v>
      </c>
      <c r="E1186" s="20" t="s">
        <v>75</v>
      </c>
      <c r="F1186" s="27"/>
    </row>
    <row r="1187">
      <c r="A1187" s="26">
        <v>44702.57537777778</v>
      </c>
      <c r="B1187" s="20" t="s">
        <v>285</v>
      </c>
      <c r="C1187" s="20">
        <v>-89.0</v>
      </c>
      <c r="D1187" s="20" t="s">
        <v>299</v>
      </c>
      <c r="E1187" s="20" t="s">
        <v>75</v>
      </c>
      <c r="F1187" s="27"/>
    </row>
    <row r="1188">
      <c r="A1188" s="26">
        <v>44702.72601732639</v>
      </c>
      <c r="B1188" s="20" t="s">
        <v>67</v>
      </c>
      <c r="C1188" s="20">
        <v>-165.0</v>
      </c>
      <c r="D1188" s="20" t="s">
        <v>95</v>
      </c>
      <c r="E1188" s="20" t="s">
        <v>75</v>
      </c>
      <c r="F1188" s="27"/>
    </row>
    <row r="1189">
      <c r="A1189" s="26">
        <v>44702.72660121528</v>
      </c>
      <c r="B1189" s="20" t="s">
        <v>67</v>
      </c>
      <c r="C1189" s="20">
        <v>-980.0</v>
      </c>
      <c r="D1189" s="20" t="s">
        <v>47</v>
      </c>
      <c r="E1189" s="20" t="s">
        <v>75</v>
      </c>
      <c r="F1189" s="27"/>
    </row>
    <row r="1190">
      <c r="A1190" s="26">
        <v>44702.72710665509</v>
      </c>
      <c r="B1190" s="20" t="s">
        <v>67</v>
      </c>
      <c r="C1190" s="20">
        <v>-281.0</v>
      </c>
      <c r="D1190" s="20" t="s">
        <v>38</v>
      </c>
      <c r="E1190" s="20" t="s">
        <v>75</v>
      </c>
      <c r="F1190" s="27"/>
    </row>
    <row r="1191">
      <c r="A1191" s="26">
        <v>44702.72751635416</v>
      </c>
      <c r="B1191" s="20" t="s">
        <v>67</v>
      </c>
      <c r="C1191" s="20">
        <v>-838.0</v>
      </c>
      <c r="D1191" s="20" t="s">
        <v>47</v>
      </c>
      <c r="E1191" s="20" t="s">
        <v>75</v>
      </c>
      <c r="F1191" s="27"/>
    </row>
    <row r="1192">
      <c r="A1192" s="26">
        <v>44702.727912118055</v>
      </c>
      <c r="B1192" s="20" t="s">
        <v>67</v>
      </c>
      <c r="C1192" s="20">
        <v>-82.0</v>
      </c>
      <c r="D1192" s="20" t="s">
        <v>156</v>
      </c>
      <c r="E1192" s="20" t="s">
        <v>75</v>
      </c>
      <c r="F1192" s="27"/>
    </row>
    <row r="1193">
      <c r="A1193" s="26">
        <v>44702.72855206019</v>
      </c>
      <c r="B1193" s="20" t="s">
        <v>67</v>
      </c>
      <c r="C1193" s="20">
        <v>-887.0</v>
      </c>
      <c r="D1193" s="20" t="s">
        <v>87</v>
      </c>
      <c r="E1193" s="20" t="s">
        <v>75</v>
      </c>
      <c r="F1193" s="27"/>
    </row>
    <row r="1194">
      <c r="A1194" s="26">
        <v>44702.7289509838</v>
      </c>
      <c r="B1194" s="20" t="s">
        <v>67</v>
      </c>
      <c r="C1194" s="20">
        <v>-140.0</v>
      </c>
      <c r="D1194" s="20" t="s">
        <v>76</v>
      </c>
      <c r="E1194" s="20" t="s">
        <v>75</v>
      </c>
      <c r="F1194" s="27"/>
    </row>
    <row r="1195">
      <c r="A1195" s="26">
        <v>44702.72948918982</v>
      </c>
      <c r="B1195" s="20" t="s">
        <v>67</v>
      </c>
      <c r="C1195" s="20">
        <v>-435.0</v>
      </c>
      <c r="E1195" s="20" t="s">
        <v>87</v>
      </c>
      <c r="F1195" s="27"/>
    </row>
    <row r="1196">
      <c r="A1196" s="26">
        <v>44702.730186747685</v>
      </c>
      <c r="B1196" s="20" t="s">
        <v>67</v>
      </c>
      <c r="C1196" s="20">
        <v>-298.0</v>
      </c>
      <c r="D1196" s="20" t="s">
        <v>156</v>
      </c>
      <c r="E1196" s="20" t="s">
        <v>75</v>
      </c>
      <c r="F1196" s="27"/>
    </row>
    <row r="1197">
      <c r="A1197" s="26">
        <v>44702.73074643518</v>
      </c>
      <c r="B1197" s="20" t="s">
        <v>67</v>
      </c>
      <c r="C1197" s="20">
        <v>-264.0</v>
      </c>
      <c r="D1197" s="20" t="s">
        <v>156</v>
      </c>
      <c r="E1197" s="20" t="s">
        <v>75</v>
      </c>
      <c r="F1197" s="27"/>
    </row>
    <row r="1198">
      <c r="A1198" s="26">
        <v>44702.731419502314</v>
      </c>
      <c r="B1198" s="20" t="s">
        <v>67</v>
      </c>
      <c r="C1198" s="20">
        <v>-102.0</v>
      </c>
      <c r="D1198" s="20" t="s">
        <v>80</v>
      </c>
      <c r="E1198" s="20" t="s">
        <v>75</v>
      </c>
      <c r="F1198" s="27"/>
    </row>
    <row r="1199">
      <c r="A1199" s="26">
        <v>44703.56824783565</v>
      </c>
      <c r="B1199" s="20" t="s">
        <v>49</v>
      </c>
      <c r="C1199" s="20">
        <v>39.0</v>
      </c>
      <c r="D1199" s="20" t="s">
        <v>90</v>
      </c>
      <c r="E1199" s="20" t="s">
        <v>65</v>
      </c>
      <c r="F1199" s="27"/>
    </row>
    <row r="1200">
      <c r="A1200" s="26">
        <v>44703.56924877314</v>
      </c>
      <c r="B1200" s="20" t="s">
        <v>49</v>
      </c>
      <c r="C1200" s="20">
        <v>19.0</v>
      </c>
      <c r="D1200" s="20" t="s">
        <v>117</v>
      </c>
      <c r="E1200" s="20" t="s">
        <v>81</v>
      </c>
      <c r="F1200" s="27"/>
    </row>
    <row r="1201">
      <c r="A1201" s="26">
        <v>44703.57392226852</v>
      </c>
      <c r="B1201" s="20" t="s">
        <v>49</v>
      </c>
      <c r="C1201" s="20">
        <v>636.0</v>
      </c>
      <c r="D1201" s="20" t="s">
        <v>40</v>
      </c>
      <c r="E1201" s="20" t="s">
        <v>81</v>
      </c>
      <c r="F1201" s="27"/>
    </row>
    <row r="1202">
      <c r="A1202" s="26">
        <v>44703.57432486111</v>
      </c>
      <c r="B1202" s="20" t="s">
        <v>49</v>
      </c>
      <c r="C1202" s="20">
        <v>160.0</v>
      </c>
      <c r="D1202" s="20" t="s">
        <v>38</v>
      </c>
      <c r="E1202" s="20" t="s">
        <v>81</v>
      </c>
      <c r="F1202" s="27"/>
    </row>
    <row r="1203">
      <c r="A1203" s="26">
        <v>44703.574682210645</v>
      </c>
      <c r="B1203" s="20" t="s">
        <v>49</v>
      </c>
      <c r="C1203" s="20">
        <v>326.0</v>
      </c>
      <c r="D1203" s="20" t="s">
        <v>47</v>
      </c>
      <c r="E1203" s="20" t="s">
        <v>81</v>
      </c>
      <c r="F1203" s="27"/>
    </row>
    <row r="1204">
      <c r="A1204" s="26">
        <v>44703.57517386574</v>
      </c>
      <c r="B1204" s="20" t="s">
        <v>49</v>
      </c>
      <c r="C1204" s="20">
        <v>296.0</v>
      </c>
      <c r="D1204" s="20" t="s">
        <v>80</v>
      </c>
      <c r="E1204" s="20" t="s">
        <v>81</v>
      </c>
      <c r="F1204" s="27"/>
    </row>
    <row r="1205">
      <c r="A1205" s="26">
        <v>44703.57552337963</v>
      </c>
      <c r="B1205" s="20" t="s">
        <v>49</v>
      </c>
      <c r="C1205" s="20">
        <v>196.0</v>
      </c>
      <c r="D1205" s="20" t="s">
        <v>40</v>
      </c>
      <c r="E1205" s="20" t="s">
        <v>81</v>
      </c>
      <c r="F1205" s="27"/>
    </row>
    <row r="1206">
      <c r="A1206" s="26">
        <v>44703.57594335648</v>
      </c>
      <c r="B1206" s="20" t="s">
        <v>49</v>
      </c>
      <c r="C1206" s="20">
        <v>265.0</v>
      </c>
      <c r="D1206" s="20" t="s">
        <v>64</v>
      </c>
      <c r="E1206" s="20" t="s">
        <v>65</v>
      </c>
      <c r="F1206" s="27"/>
    </row>
    <row r="1207">
      <c r="A1207" s="26">
        <v>44703.57630458333</v>
      </c>
      <c r="B1207" s="20" t="s">
        <v>49</v>
      </c>
      <c r="C1207" s="20">
        <v>41.0</v>
      </c>
      <c r="D1207" s="20" t="s">
        <v>389</v>
      </c>
      <c r="E1207" s="20" t="s">
        <v>65</v>
      </c>
      <c r="F1207" s="27"/>
    </row>
    <row r="1208">
      <c r="A1208" s="26">
        <v>44703.68963086806</v>
      </c>
      <c r="B1208" s="20" t="s">
        <v>63</v>
      </c>
      <c r="C1208" s="20">
        <v>12.0</v>
      </c>
      <c r="D1208" s="20" t="s">
        <v>64</v>
      </c>
      <c r="E1208" s="20" t="s">
        <v>63</v>
      </c>
      <c r="F1208" s="27"/>
    </row>
    <row r="1209">
      <c r="A1209" s="26">
        <v>44703.70789760417</v>
      </c>
      <c r="B1209" s="20" t="s">
        <v>63</v>
      </c>
      <c r="C1209" s="20">
        <v>12.0</v>
      </c>
      <c r="D1209" s="20" t="s">
        <v>64</v>
      </c>
      <c r="E1209" s="20" t="s">
        <v>63</v>
      </c>
      <c r="F1209" s="27"/>
    </row>
    <row r="1210">
      <c r="A1210" s="26">
        <v>44703.70812582176</v>
      </c>
      <c r="B1210" s="20" t="s">
        <v>63</v>
      </c>
      <c r="C1210" s="20">
        <v>10.0</v>
      </c>
      <c r="D1210" s="20" t="s">
        <v>390</v>
      </c>
      <c r="E1210" s="20" t="s">
        <v>63</v>
      </c>
      <c r="F1210" s="27"/>
    </row>
    <row r="1211">
      <c r="A1211" s="26">
        <v>44703.71167030092</v>
      </c>
      <c r="B1211" s="20" t="s">
        <v>63</v>
      </c>
      <c r="C1211" s="20">
        <v>8.0</v>
      </c>
      <c r="D1211" s="20" t="s">
        <v>64</v>
      </c>
      <c r="E1211" s="20" t="s">
        <v>63</v>
      </c>
      <c r="F1211" s="27"/>
    </row>
    <row r="1212">
      <c r="A1212" s="26">
        <v>44703.717134039354</v>
      </c>
      <c r="B1212" s="20" t="s">
        <v>63</v>
      </c>
      <c r="C1212" s="20">
        <v>13.0</v>
      </c>
      <c r="D1212" s="20" t="s">
        <v>64</v>
      </c>
      <c r="E1212" s="20" t="s">
        <v>63</v>
      </c>
      <c r="F1212" s="27"/>
    </row>
    <row r="1213">
      <c r="A1213" s="26">
        <v>44703.735861712965</v>
      </c>
      <c r="B1213" s="20" t="s">
        <v>49</v>
      </c>
      <c r="C1213" s="20">
        <v>179.0</v>
      </c>
      <c r="D1213" s="20" t="s">
        <v>64</v>
      </c>
      <c r="E1213" s="20" t="s">
        <v>65</v>
      </c>
      <c r="F1213" s="27"/>
    </row>
    <row r="1214">
      <c r="A1214" s="26">
        <v>44706.64386193287</v>
      </c>
      <c r="B1214" s="20" t="s">
        <v>177</v>
      </c>
      <c r="C1214" s="20">
        <v>257.0</v>
      </c>
      <c r="D1214" s="20" t="s">
        <v>391</v>
      </c>
      <c r="E1214" s="20" t="s">
        <v>70</v>
      </c>
      <c r="F1214" s="27"/>
    </row>
    <row r="1215">
      <c r="A1215" s="26">
        <v>44706.64426775463</v>
      </c>
      <c r="B1215" s="20" t="s">
        <v>177</v>
      </c>
      <c r="C1215" s="20">
        <v>809.0</v>
      </c>
      <c r="D1215" s="20" t="s">
        <v>47</v>
      </c>
      <c r="E1215" s="20" t="s">
        <v>70</v>
      </c>
      <c r="F1215" s="27"/>
    </row>
    <row r="1216">
      <c r="A1216" s="26">
        <v>44706.64457984954</v>
      </c>
      <c r="B1216" s="20" t="s">
        <v>177</v>
      </c>
      <c r="C1216" s="20">
        <v>652.0</v>
      </c>
      <c r="D1216" s="20" t="s">
        <v>38</v>
      </c>
      <c r="E1216" s="20" t="s">
        <v>70</v>
      </c>
      <c r="F1216" s="27"/>
    </row>
    <row r="1217">
      <c r="A1217" s="26">
        <v>44706.64513133102</v>
      </c>
      <c r="B1217" s="20" t="s">
        <v>177</v>
      </c>
      <c r="C1217" s="20">
        <v>623.0</v>
      </c>
      <c r="D1217" s="20" t="s">
        <v>40</v>
      </c>
      <c r="E1217" s="20" t="s">
        <v>70</v>
      </c>
      <c r="F1217" s="27"/>
    </row>
    <row r="1218">
      <c r="A1218" s="26">
        <v>44706.64559251157</v>
      </c>
      <c r="B1218" s="20" t="s">
        <v>236</v>
      </c>
      <c r="C1218" s="20">
        <v>519.0</v>
      </c>
      <c r="D1218" s="20" t="s">
        <v>40</v>
      </c>
      <c r="E1218" s="20" t="s">
        <v>70</v>
      </c>
      <c r="F1218" s="27"/>
    </row>
    <row r="1219">
      <c r="A1219" s="26">
        <v>44706.726271782405</v>
      </c>
      <c r="B1219" s="20" t="s">
        <v>349</v>
      </c>
      <c r="C1219" s="20">
        <v>25.0</v>
      </c>
      <c r="D1219" s="20" t="s">
        <v>64</v>
      </c>
      <c r="E1219" s="20" t="s">
        <v>392</v>
      </c>
      <c r="F1219" s="27"/>
    </row>
    <row r="1220">
      <c r="A1220" s="26">
        <v>44707.58194903935</v>
      </c>
      <c r="B1220" s="20" t="s">
        <v>163</v>
      </c>
      <c r="C1220" s="20">
        <v>331.0</v>
      </c>
      <c r="D1220" s="20" t="s">
        <v>393</v>
      </c>
      <c r="E1220" s="20" t="s">
        <v>46</v>
      </c>
      <c r="F1220" s="27"/>
    </row>
    <row r="1221">
      <c r="A1221" s="26">
        <v>44707.58265930555</v>
      </c>
      <c r="B1221" s="20" t="s">
        <v>163</v>
      </c>
      <c r="C1221" s="20">
        <v>394.0</v>
      </c>
      <c r="D1221" s="20" t="s">
        <v>64</v>
      </c>
      <c r="E1221" s="20" t="s">
        <v>46</v>
      </c>
      <c r="F1221" s="27"/>
    </row>
    <row r="1222">
      <c r="A1222" s="26">
        <v>44707.58314138889</v>
      </c>
      <c r="B1222" s="20" t="s">
        <v>163</v>
      </c>
      <c r="C1222" s="20">
        <v>478.0</v>
      </c>
      <c r="D1222" s="20" t="s">
        <v>38</v>
      </c>
      <c r="E1222" s="20" t="s">
        <v>46</v>
      </c>
      <c r="F1222" s="27"/>
    </row>
    <row r="1223">
      <c r="A1223" s="26">
        <v>44707.584149120376</v>
      </c>
      <c r="B1223" s="20" t="s">
        <v>163</v>
      </c>
      <c r="C1223" s="20">
        <v>360.0</v>
      </c>
      <c r="D1223" s="20" t="s">
        <v>47</v>
      </c>
      <c r="E1223" s="20" t="s">
        <v>105</v>
      </c>
      <c r="F1223" s="27"/>
    </row>
    <row r="1224">
      <c r="A1224" s="26">
        <v>44707.58478189815</v>
      </c>
      <c r="B1224" s="20" t="s">
        <v>163</v>
      </c>
      <c r="C1224" s="20">
        <v>809.0</v>
      </c>
      <c r="D1224" s="20" t="s">
        <v>47</v>
      </c>
      <c r="E1224" s="20" t="s">
        <v>105</v>
      </c>
      <c r="F1224" s="27"/>
    </row>
    <row r="1225">
      <c r="A1225" s="26">
        <v>44707.585363819446</v>
      </c>
      <c r="B1225" s="20" t="s">
        <v>163</v>
      </c>
      <c r="C1225" s="20">
        <v>561.0</v>
      </c>
      <c r="D1225" s="20" t="s">
        <v>47</v>
      </c>
      <c r="E1225" s="20" t="s">
        <v>105</v>
      </c>
      <c r="F1225" s="27"/>
    </row>
    <row r="1226">
      <c r="A1226" s="26">
        <v>44707.58586018519</v>
      </c>
      <c r="B1226" s="20" t="s">
        <v>163</v>
      </c>
      <c r="C1226" s="20">
        <v>528.0</v>
      </c>
      <c r="D1226" s="20" t="s">
        <v>47</v>
      </c>
      <c r="E1226" s="20" t="s">
        <v>105</v>
      </c>
      <c r="F1226" s="27"/>
    </row>
    <row r="1227">
      <c r="A1227" s="26">
        <v>44707.586669490745</v>
      </c>
      <c r="B1227" s="20" t="s">
        <v>163</v>
      </c>
      <c r="C1227" s="20">
        <v>646.0</v>
      </c>
      <c r="D1227" s="20" t="s">
        <v>47</v>
      </c>
      <c r="E1227" s="20" t="s">
        <v>46</v>
      </c>
      <c r="F1227" s="27"/>
    </row>
    <row r="1228">
      <c r="A1228" s="26">
        <v>44707.587125543985</v>
      </c>
      <c r="B1228" s="20" t="s">
        <v>163</v>
      </c>
      <c r="C1228" s="20">
        <v>652.0</v>
      </c>
      <c r="D1228" s="20" t="s">
        <v>47</v>
      </c>
      <c r="E1228" s="20" t="s">
        <v>46</v>
      </c>
      <c r="F1228" s="27"/>
    </row>
    <row r="1229">
      <c r="A1229" s="26">
        <v>44707.58898502315</v>
      </c>
      <c r="B1229" s="20" t="s">
        <v>163</v>
      </c>
      <c r="C1229" s="20">
        <v>271.0</v>
      </c>
      <c r="D1229" s="20" t="s">
        <v>38</v>
      </c>
      <c r="E1229" s="20" t="s">
        <v>46</v>
      </c>
      <c r="F1229" s="27"/>
    </row>
    <row r="1230">
      <c r="A1230" s="26">
        <v>44707.61540831019</v>
      </c>
      <c r="B1230" s="20" t="s">
        <v>163</v>
      </c>
      <c r="C1230" s="20">
        <v>319.0</v>
      </c>
      <c r="D1230" s="20" t="s">
        <v>38</v>
      </c>
      <c r="E1230" s="20" t="s">
        <v>96</v>
      </c>
      <c r="F1230" s="27"/>
    </row>
    <row r="1231">
      <c r="A1231" s="26">
        <v>44707.62557106481</v>
      </c>
      <c r="B1231" s="20" t="s">
        <v>163</v>
      </c>
      <c r="C1231" s="20">
        <v>600.0</v>
      </c>
      <c r="D1231" s="20" t="s">
        <v>394</v>
      </c>
      <c r="E1231" s="20" t="s">
        <v>96</v>
      </c>
      <c r="F1231" s="27"/>
    </row>
    <row r="1232">
      <c r="A1232" s="26">
        <v>44707.637399618055</v>
      </c>
      <c r="B1232" s="20" t="s">
        <v>163</v>
      </c>
      <c r="C1232" s="20">
        <v>372.0</v>
      </c>
      <c r="D1232" s="20" t="s">
        <v>395</v>
      </c>
      <c r="E1232" s="20" t="s">
        <v>96</v>
      </c>
      <c r="F1232" s="27"/>
    </row>
    <row r="1233">
      <c r="A1233" s="26">
        <v>44707.63858832176</v>
      </c>
      <c r="B1233" s="20" t="s">
        <v>163</v>
      </c>
      <c r="C1233" s="20">
        <v>151.0</v>
      </c>
      <c r="D1233" s="20" t="s">
        <v>47</v>
      </c>
      <c r="E1233" s="20" t="s">
        <v>216</v>
      </c>
      <c r="F1233" s="27"/>
    </row>
    <row r="1234">
      <c r="A1234" s="26">
        <v>44707.639360671295</v>
      </c>
      <c r="B1234" s="20" t="s">
        <v>163</v>
      </c>
      <c r="C1234" s="20">
        <v>600.0</v>
      </c>
      <c r="D1234" s="20" t="s">
        <v>64</v>
      </c>
      <c r="E1234" s="20" t="s">
        <v>96</v>
      </c>
      <c r="F1234" s="27"/>
    </row>
    <row r="1235">
      <c r="A1235" s="26">
        <v>44707.63999614584</v>
      </c>
      <c r="B1235" s="20" t="s">
        <v>163</v>
      </c>
      <c r="C1235" s="20">
        <v>152.0</v>
      </c>
      <c r="D1235" s="20" t="s">
        <v>47</v>
      </c>
      <c r="E1235" s="20" t="s">
        <v>96</v>
      </c>
      <c r="F1235" s="27"/>
    </row>
    <row r="1236">
      <c r="A1236" s="26">
        <v>44707.64094561343</v>
      </c>
      <c r="B1236" s="20" t="s">
        <v>163</v>
      </c>
      <c r="C1236" s="20">
        <v>293.0</v>
      </c>
      <c r="D1236" s="20" t="s">
        <v>47</v>
      </c>
      <c r="E1236" s="20" t="s">
        <v>396</v>
      </c>
      <c r="F1236" s="27"/>
    </row>
    <row r="1237">
      <c r="A1237" s="26">
        <v>44707.64474746528</v>
      </c>
      <c r="B1237" s="20" t="s">
        <v>163</v>
      </c>
      <c r="C1237" s="20">
        <v>254.0</v>
      </c>
      <c r="D1237" s="20" t="s">
        <v>40</v>
      </c>
      <c r="E1237" s="20" t="s">
        <v>216</v>
      </c>
      <c r="F1237" s="27"/>
    </row>
    <row r="1238">
      <c r="A1238" s="26">
        <v>44707.720378287035</v>
      </c>
      <c r="B1238" s="20" t="s">
        <v>397</v>
      </c>
      <c r="C1238" s="20">
        <v>108.0</v>
      </c>
      <c r="D1238" s="20" t="s">
        <v>40</v>
      </c>
      <c r="E1238" s="20" t="s">
        <v>398</v>
      </c>
      <c r="F1238" s="27"/>
    </row>
    <row r="1239">
      <c r="A1239" s="26">
        <v>44707.72204324074</v>
      </c>
      <c r="B1239" s="20" t="s">
        <v>397</v>
      </c>
      <c r="C1239" s="20">
        <v>138.0</v>
      </c>
      <c r="D1239" s="20" t="s">
        <v>64</v>
      </c>
      <c r="E1239" s="20" t="s">
        <v>399</v>
      </c>
      <c r="F1239" s="27"/>
    </row>
    <row r="1240">
      <c r="A1240" s="26">
        <v>44707.72333483797</v>
      </c>
      <c r="B1240" s="20" t="s">
        <v>397</v>
      </c>
      <c r="C1240" s="20">
        <v>12.0</v>
      </c>
      <c r="D1240" s="20" t="s">
        <v>80</v>
      </c>
      <c r="E1240" s="20" t="s">
        <v>398</v>
      </c>
      <c r="F1240" s="27"/>
    </row>
    <row r="1241">
      <c r="A1241" s="26">
        <v>44708.75483626158</v>
      </c>
      <c r="B1241" s="20" t="s">
        <v>233</v>
      </c>
      <c r="C1241" s="20">
        <v>113.0</v>
      </c>
      <c r="D1241" s="20" t="s">
        <v>64</v>
      </c>
      <c r="E1241" s="20" t="s">
        <v>234</v>
      </c>
      <c r="F1241" s="27"/>
    </row>
    <row r="1242">
      <c r="A1242" s="26">
        <v>44709.491820428244</v>
      </c>
      <c r="B1242" s="20" t="s">
        <v>177</v>
      </c>
      <c r="C1242" s="20">
        <v>194.0</v>
      </c>
      <c r="D1242" s="20" t="s">
        <v>64</v>
      </c>
      <c r="E1242" s="20" t="s">
        <v>271</v>
      </c>
      <c r="F1242" s="27"/>
    </row>
    <row r="1243">
      <c r="A1243" s="26">
        <v>44709.498971099536</v>
      </c>
      <c r="B1243" s="20" t="s">
        <v>177</v>
      </c>
      <c r="C1243" s="20">
        <v>228.0</v>
      </c>
      <c r="D1243" s="20" t="s">
        <v>38</v>
      </c>
      <c r="E1243" s="20" t="s">
        <v>271</v>
      </c>
      <c r="F1243" s="27"/>
    </row>
    <row r="1244">
      <c r="A1244" s="26">
        <v>44709.717838171295</v>
      </c>
      <c r="B1244" s="20" t="s">
        <v>67</v>
      </c>
      <c r="C1244" s="20">
        <v>452.0</v>
      </c>
      <c r="D1244" s="20" t="s">
        <v>299</v>
      </c>
      <c r="E1244" s="20" t="s">
        <v>75</v>
      </c>
      <c r="F1244" s="27"/>
    </row>
    <row r="1245">
      <c r="A1245" s="26">
        <v>44709.718368437505</v>
      </c>
      <c r="B1245" s="20" t="s">
        <v>67</v>
      </c>
      <c r="C1245" s="20">
        <v>-270.0</v>
      </c>
      <c r="D1245" s="20" t="s">
        <v>299</v>
      </c>
      <c r="E1245" s="20" t="s">
        <v>75</v>
      </c>
      <c r="F1245" s="27"/>
    </row>
    <row r="1246">
      <c r="A1246" s="26">
        <v>44709.71876645833</v>
      </c>
      <c r="B1246" s="20" t="s">
        <v>67</v>
      </c>
      <c r="C1246" s="20">
        <v>173.0</v>
      </c>
      <c r="D1246" s="20" t="s">
        <v>299</v>
      </c>
      <c r="E1246" s="20" t="s">
        <v>75</v>
      </c>
      <c r="F1246" s="27"/>
    </row>
    <row r="1247">
      <c r="A1247" s="26">
        <v>44709.71941009259</v>
      </c>
      <c r="B1247" s="20" t="s">
        <v>67</v>
      </c>
      <c r="C1247" s="20">
        <v>166.0</v>
      </c>
      <c r="D1247" s="20" t="s">
        <v>299</v>
      </c>
      <c r="E1247" s="20" t="s">
        <v>75</v>
      </c>
      <c r="F1247" s="27"/>
    </row>
    <row r="1248">
      <c r="A1248" s="26">
        <v>44709.72017435185</v>
      </c>
      <c r="B1248" s="20" t="s">
        <v>67</v>
      </c>
      <c r="C1248" s="20">
        <v>1604.0</v>
      </c>
      <c r="D1248" s="20" t="s">
        <v>87</v>
      </c>
      <c r="E1248" s="20" t="s">
        <v>75</v>
      </c>
      <c r="F1248" s="27"/>
    </row>
    <row r="1249">
      <c r="A1249" s="26">
        <v>44709.72062414352</v>
      </c>
      <c r="B1249" s="20" t="s">
        <v>67</v>
      </c>
      <c r="C1249" s="20">
        <v>819.0</v>
      </c>
      <c r="D1249" s="20" t="s">
        <v>87</v>
      </c>
      <c r="E1249" s="20" t="s">
        <v>75</v>
      </c>
      <c r="F1249" s="27"/>
    </row>
    <row r="1250">
      <c r="A1250" s="26">
        <v>44709.72105989583</v>
      </c>
      <c r="B1250" s="20" t="s">
        <v>67</v>
      </c>
      <c r="C1250" s="20">
        <v>1496.0</v>
      </c>
      <c r="D1250" s="20" t="s">
        <v>87</v>
      </c>
      <c r="E1250" s="20" t="s">
        <v>75</v>
      </c>
      <c r="F1250" s="27"/>
    </row>
    <row r="1251">
      <c r="A1251" s="26">
        <v>44709.72144061343</v>
      </c>
      <c r="B1251" s="20" t="s">
        <v>67</v>
      </c>
      <c r="C1251" s="20">
        <v>-931.0</v>
      </c>
      <c r="D1251" s="20" t="s">
        <v>87</v>
      </c>
      <c r="E1251" s="20" t="s">
        <v>75</v>
      </c>
      <c r="F1251" s="27"/>
    </row>
    <row r="1252">
      <c r="A1252" s="26">
        <v>44709.7219587963</v>
      </c>
      <c r="B1252" s="20" t="s">
        <v>67</v>
      </c>
      <c r="C1252" s="20">
        <v>410.0</v>
      </c>
      <c r="D1252" s="20" t="s">
        <v>156</v>
      </c>
      <c r="E1252" s="20" t="s">
        <v>75</v>
      </c>
      <c r="F1252" s="27"/>
    </row>
    <row r="1253">
      <c r="A1253" s="26">
        <v>44709.722297025466</v>
      </c>
      <c r="B1253" s="20" t="s">
        <v>67</v>
      </c>
      <c r="C1253" s="20">
        <v>-140.0</v>
      </c>
      <c r="D1253" s="20" t="s">
        <v>156</v>
      </c>
      <c r="E1253" s="20" t="s">
        <v>75</v>
      </c>
      <c r="F1253" s="27"/>
    </row>
    <row r="1254">
      <c r="A1254" s="26">
        <v>44709.722759386575</v>
      </c>
      <c r="B1254" s="20" t="s">
        <v>67</v>
      </c>
      <c r="C1254" s="20">
        <v>135.0</v>
      </c>
      <c r="D1254" s="20" t="s">
        <v>76</v>
      </c>
      <c r="E1254" s="20" t="s">
        <v>75</v>
      </c>
      <c r="F1254" s="27"/>
    </row>
    <row r="1255">
      <c r="A1255" s="26">
        <v>44709.72306736111</v>
      </c>
      <c r="B1255" s="20" t="s">
        <v>67</v>
      </c>
      <c r="C1255" s="20">
        <v>543.0</v>
      </c>
      <c r="D1255" s="20" t="s">
        <v>76</v>
      </c>
      <c r="E1255" s="20" t="s">
        <v>75</v>
      </c>
      <c r="F1255" s="27"/>
    </row>
    <row r="1256">
      <c r="A1256" s="26">
        <v>44709.72337582176</v>
      </c>
      <c r="B1256" s="20" t="s">
        <v>67</v>
      </c>
      <c r="C1256" s="20">
        <v>-304.0</v>
      </c>
      <c r="D1256" s="20" t="s">
        <v>76</v>
      </c>
      <c r="E1256" s="20" t="s">
        <v>75</v>
      </c>
      <c r="F1256" s="27"/>
    </row>
    <row r="1257">
      <c r="A1257" s="26">
        <v>44709.72400120371</v>
      </c>
      <c r="B1257" s="20" t="s">
        <v>67</v>
      </c>
      <c r="C1257" s="20">
        <v>405.0</v>
      </c>
      <c r="D1257" s="20" t="s">
        <v>47</v>
      </c>
      <c r="E1257" s="20" t="s">
        <v>75</v>
      </c>
      <c r="F1257" s="27"/>
    </row>
    <row r="1258">
      <c r="A1258" s="26">
        <v>44709.724337685184</v>
      </c>
      <c r="B1258" s="20" t="s">
        <v>67</v>
      </c>
      <c r="C1258" s="20">
        <v>801.0</v>
      </c>
      <c r="D1258" s="20" t="s">
        <v>38</v>
      </c>
      <c r="E1258" s="20" t="s">
        <v>75</v>
      </c>
      <c r="F1258" s="27"/>
    </row>
    <row r="1259">
      <c r="A1259" s="26">
        <v>44709.724696226855</v>
      </c>
      <c r="B1259" s="20" t="s">
        <v>67</v>
      </c>
      <c r="C1259" s="20">
        <v>492.0</v>
      </c>
      <c r="D1259" s="20" t="s">
        <v>40</v>
      </c>
      <c r="E1259" s="20" t="s">
        <v>75</v>
      </c>
      <c r="F1259" s="27"/>
    </row>
    <row r="1260">
      <c r="A1260" s="26">
        <v>44709.72546857639</v>
      </c>
      <c r="B1260" s="20" t="s">
        <v>67</v>
      </c>
      <c r="C1260" s="20">
        <v>823.0</v>
      </c>
      <c r="D1260" s="20" t="s">
        <v>113</v>
      </c>
      <c r="E1260" s="20" t="s">
        <v>75</v>
      </c>
      <c r="F1260" s="27"/>
    </row>
    <row r="1261">
      <c r="A1261" s="26">
        <v>44709.72582424768</v>
      </c>
      <c r="B1261" s="20" t="s">
        <v>67</v>
      </c>
      <c r="C1261" s="20">
        <v>203.0</v>
      </c>
      <c r="D1261" s="20" t="s">
        <v>38</v>
      </c>
      <c r="E1261" s="20" t="s">
        <v>75</v>
      </c>
      <c r="F1261" s="27"/>
    </row>
    <row r="1262">
      <c r="A1262" s="26">
        <v>44710.63748975695</v>
      </c>
      <c r="B1262" s="20" t="s">
        <v>79</v>
      </c>
      <c r="C1262" s="20">
        <v>300.0</v>
      </c>
      <c r="D1262" s="20" t="s">
        <v>38</v>
      </c>
      <c r="E1262" s="20" t="s">
        <v>145</v>
      </c>
      <c r="F1262" s="27"/>
    </row>
    <row r="1263">
      <c r="A1263" s="26">
        <v>44710.63794606482</v>
      </c>
      <c r="B1263" s="20" t="s">
        <v>79</v>
      </c>
      <c r="C1263" s="20">
        <v>600.0</v>
      </c>
      <c r="D1263" s="20" t="s">
        <v>47</v>
      </c>
      <c r="E1263" s="20" t="s">
        <v>145</v>
      </c>
      <c r="F1263" s="27"/>
    </row>
    <row r="1264">
      <c r="A1264" s="26">
        <v>44710.638294062504</v>
      </c>
      <c r="B1264" s="20" t="s">
        <v>79</v>
      </c>
      <c r="C1264" s="20">
        <v>866.0</v>
      </c>
      <c r="D1264" s="20" t="s">
        <v>36</v>
      </c>
      <c r="E1264" s="20" t="s">
        <v>145</v>
      </c>
      <c r="F1264" s="27"/>
    </row>
    <row r="1265">
      <c r="A1265" s="26">
        <v>44710.638653726855</v>
      </c>
      <c r="B1265" s="20" t="s">
        <v>79</v>
      </c>
      <c r="C1265" s="20">
        <v>255.0</v>
      </c>
      <c r="D1265" s="20" t="s">
        <v>40</v>
      </c>
      <c r="E1265" s="20" t="s">
        <v>145</v>
      </c>
      <c r="F1265" s="27"/>
    </row>
    <row r="1266">
      <c r="A1266" s="26">
        <v>44710.6391372338</v>
      </c>
      <c r="B1266" s="20" t="s">
        <v>79</v>
      </c>
      <c r="C1266" s="20">
        <v>270.0</v>
      </c>
      <c r="D1266" s="20" t="s">
        <v>95</v>
      </c>
      <c r="E1266" s="20" t="s">
        <v>145</v>
      </c>
      <c r="F1266" s="27"/>
    </row>
    <row r="1267">
      <c r="A1267" s="26">
        <v>44710.63940267361</v>
      </c>
      <c r="B1267" s="20" t="s">
        <v>79</v>
      </c>
      <c r="C1267" s="20">
        <v>323.0</v>
      </c>
      <c r="D1267" s="20" t="s">
        <v>73</v>
      </c>
      <c r="E1267" s="20" t="s">
        <v>50</v>
      </c>
      <c r="F1267" s="27"/>
    </row>
    <row r="1268">
      <c r="A1268" s="26">
        <v>44710.6431562037</v>
      </c>
      <c r="B1268" s="20" t="s">
        <v>79</v>
      </c>
      <c r="C1268" s="20">
        <v>459.0</v>
      </c>
      <c r="D1268" s="20" t="s">
        <v>36</v>
      </c>
      <c r="E1268" s="20" t="s">
        <v>50</v>
      </c>
      <c r="F1268" s="27"/>
    </row>
    <row r="1269">
      <c r="A1269" s="26">
        <v>44710.667869074074</v>
      </c>
      <c r="B1269" s="20" t="s">
        <v>79</v>
      </c>
      <c r="C1269" s="20">
        <v>-323.0</v>
      </c>
      <c r="D1269" s="20" t="s">
        <v>95</v>
      </c>
      <c r="E1269" s="20" t="s">
        <v>50</v>
      </c>
      <c r="F1269" s="27"/>
    </row>
    <row r="1270">
      <c r="A1270" s="26">
        <v>44710.66825135417</v>
      </c>
      <c r="B1270" s="20" t="s">
        <v>79</v>
      </c>
      <c r="C1270" s="20">
        <v>-459.0</v>
      </c>
      <c r="D1270" s="20" t="s">
        <v>36</v>
      </c>
      <c r="E1270" s="20" t="s">
        <v>50</v>
      </c>
      <c r="F1270" s="27"/>
    </row>
    <row r="1271">
      <c r="A1271" s="26">
        <v>44710.69397721065</v>
      </c>
      <c r="B1271" s="20" t="s">
        <v>63</v>
      </c>
      <c r="C1271" s="20">
        <v>20.0</v>
      </c>
      <c r="D1271" s="20" t="s">
        <v>64</v>
      </c>
      <c r="E1271" s="20" t="s">
        <v>63</v>
      </c>
      <c r="F1271" s="27"/>
    </row>
    <row r="1272">
      <c r="A1272" s="26">
        <v>44710.69600012731</v>
      </c>
      <c r="B1272" s="20" t="s">
        <v>63</v>
      </c>
      <c r="C1272" s="20">
        <v>20.0</v>
      </c>
      <c r="D1272" s="20" t="s">
        <v>64</v>
      </c>
      <c r="E1272" s="20" t="s">
        <v>63</v>
      </c>
      <c r="F1272" s="22">
        <v>68451.0</v>
      </c>
    </row>
    <row r="1273">
      <c r="A1273" s="26">
        <v>44713.45418302083</v>
      </c>
      <c r="B1273" s="20" t="s">
        <v>49</v>
      </c>
      <c r="C1273" s="20">
        <v>92.0</v>
      </c>
      <c r="D1273" s="20" t="s">
        <v>64</v>
      </c>
      <c r="E1273" s="20" t="s">
        <v>63</v>
      </c>
      <c r="F1273" s="27"/>
    </row>
    <row r="1274">
      <c r="A1274" s="26">
        <v>44714.45952478009</v>
      </c>
      <c r="B1274" s="20" t="s">
        <v>55</v>
      </c>
      <c r="C1274" s="20">
        <v>538.0</v>
      </c>
      <c r="D1274" s="20" t="s">
        <v>40</v>
      </c>
      <c r="E1274" s="20" t="s">
        <v>70</v>
      </c>
      <c r="F1274" s="27"/>
    </row>
    <row r="1275">
      <c r="A1275" s="26">
        <v>44714.459855671295</v>
      </c>
      <c r="B1275" s="20" t="s">
        <v>55</v>
      </c>
      <c r="C1275" s="20">
        <v>456.0</v>
      </c>
      <c r="D1275" s="20" t="s">
        <v>40</v>
      </c>
      <c r="E1275" s="20" t="s">
        <v>70</v>
      </c>
      <c r="F1275" s="27"/>
    </row>
    <row r="1276">
      <c r="A1276" s="26">
        <v>44714.460135601854</v>
      </c>
      <c r="B1276" s="20" t="s">
        <v>55</v>
      </c>
      <c r="C1276" s="20">
        <v>172.0</v>
      </c>
      <c r="D1276" s="20" t="s">
        <v>38</v>
      </c>
      <c r="E1276" s="20" t="s">
        <v>70</v>
      </c>
      <c r="F1276" s="27"/>
    </row>
    <row r="1277">
      <c r="A1277" s="26">
        <v>44714.46043605324</v>
      </c>
      <c r="B1277" s="20" t="s">
        <v>55</v>
      </c>
      <c r="C1277" s="20">
        <v>314.0</v>
      </c>
      <c r="D1277" s="20" t="s">
        <v>95</v>
      </c>
      <c r="E1277" s="20" t="s">
        <v>70</v>
      </c>
      <c r="F1277" s="27"/>
    </row>
    <row r="1278">
      <c r="A1278" s="26">
        <v>44714.56506627315</v>
      </c>
      <c r="B1278" s="20" t="s">
        <v>84</v>
      </c>
      <c r="C1278" s="20">
        <v>38.0</v>
      </c>
      <c r="D1278" s="20" t="s">
        <v>38</v>
      </c>
      <c r="E1278" s="20" t="s">
        <v>86</v>
      </c>
      <c r="F1278" s="27"/>
    </row>
    <row r="1279">
      <c r="A1279" s="26">
        <v>44714.63416243056</v>
      </c>
      <c r="B1279" s="20" t="s">
        <v>236</v>
      </c>
      <c r="C1279" s="20">
        <v>168.0</v>
      </c>
      <c r="D1279" s="20" t="s">
        <v>38</v>
      </c>
      <c r="E1279" s="20" t="s">
        <v>400</v>
      </c>
      <c r="F1279" s="27"/>
    </row>
    <row r="1280">
      <c r="A1280" s="26">
        <v>44714.63489947916</v>
      </c>
      <c r="B1280" s="20" t="s">
        <v>177</v>
      </c>
      <c r="C1280" s="20">
        <v>558.0</v>
      </c>
      <c r="D1280" s="20" t="s">
        <v>40</v>
      </c>
      <c r="E1280" s="20" t="s">
        <v>400</v>
      </c>
      <c r="F1280" s="27"/>
    </row>
    <row r="1281">
      <c r="A1281" s="26">
        <v>44714.63525620371</v>
      </c>
      <c r="B1281" s="20" t="s">
        <v>177</v>
      </c>
      <c r="C1281" s="20">
        <v>566.0</v>
      </c>
      <c r="D1281" s="20" t="s">
        <v>40</v>
      </c>
      <c r="E1281" s="20" t="s">
        <v>401</v>
      </c>
      <c r="F1281" s="27"/>
    </row>
    <row r="1282">
      <c r="A1282" s="26">
        <v>44714.635599953705</v>
      </c>
      <c r="B1282" s="20" t="s">
        <v>177</v>
      </c>
      <c r="C1282" s="20">
        <v>273.0</v>
      </c>
      <c r="D1282" s="20" t="s">
        <v>38</v>
      </c>
      <c r="E1282" s="20" t="s">
        <v>401</v>
      </c>
      <c r="F1282" s="27"/>
    </row>
    <row r="1283">
      <c r="A1283" s="26">
        <v>44714.658416238424</v>
      </c>
      <c r="B1283" s="20" t="s">
        <v>177</v>
      </c>
      <c r="C1283" s="20">
        <v>326.0</v>
      </c>
      <c r="D1283" s="20" t="s">
        <v>64</v>
      </c>
      <c r="E1283" s="20" t="s">
        <v>402</v>
      </c>
      <c r="F1283" s="27"/>
    </row>
    <row r="1284">
      <c r="A1284" s="26">
        <v>44714.675516944444</v>
      </c>
      <c r="B1284" s="20" t="s">
        <v>177</v>
      </c>
      <c r="C1284" s="20">
        <v>1056.0</v>
      </c>
      <c r="D1284" s="20" t="s">
        <v>93</v>
      </c>
      <c r="E1284" s="20" t="s">
        <v>75</v>
      </c>
      <c r="F1284" s="27"/>
    </row>
    <row r="1285">
      <c r="A1285" s="26">
        <v>44714.67590971065</v>
      </c>
      <c r="B1285" s="20" t="s">
        <v>177</v>
      </c>
      <c r="C1285" s="20">
        <v>1027.0</v>
      </c>
      <c r="D1285" s="20" t="s">
        <v>93</v>
      </c>
      <c r="E1285" s="20" t="s">
        <v>75</v>
      </c>
      <c r="F1285" s="27"/>
    </row>
    <row r="1286">
      <c r="A1286" s="26">
        <v>44714.67621884259</v>
      </c>
      <c r="B1286" s="20" t="s">
        <v>177</v>
      </c>
      <c r="C1286" s="20">
        <v>295.0</v>
      </c>
      <c r="D1286" s="20" t="s">
        <v>76</v>
      </c>
      <c r="E1286" s="20" t="s">
        <v>75</v>
      </c>
      <c r="F1286" s="27"/>
    </row>
    <row r="1287">
      <c r="A1287" s="26">
        <v>44714.68856703704</v>
      </c>
      <c r="B1287" s="20" t="s">
        <v>177</v>
      </c>
      <c r="C1287" s="20">
        <v>494.0</v>
      </c>
      <c r="D1287" s="20" t="s">
        <v>76</v>
      </c>
      <c r="E1287" s="20" t="s">
        <v>75</v>
      </c>
      <c r="F1287" s="27"/>
    </row>
    <row r="1288">
      <c r="A1288" s="26">
        <v>44714.69073974537</v>
      </c>
      <c r="B1288" s="20" t="s">
        <v>177</v>
      </c>
      <c r="C1288" s="20">
        <v>290.0</v>
      </c>
      <c r="D1288" s="20" t="s">
        <v>76</v>
      </c>
      <c r="E1288" s="20" t="s">
        <v>75</v>
      </c>
      <c r="F1288" s="27"/>
    </row>
    <row r="1289">
      <c r="A1289" s="26">
        <v>44714.73655065973</v>
      </c>
      <c r="B1289" s="20" t="s">
        <v>55</v>
      </c>
      <c r="C1289" s="20">
        <v>1149.0</v>
      </c>
      <c r="D1289" s="20" t="s">
        <v>403</v>
      </c>
      <c r="E1289" s="20" t="s">
        <v>75</v>
      </c>
      <c r="F1289" s="27"/>
    </row>
    <row r="1290">
      <c r="A1290" s="26">
        <v>44714.7368303588</v>
      </c>
      <c r="B1290" s="20" t="s">
        <v>55</v>
      </c>
      <c r="C1290" s="20">
        <v>410.0</v>
      </c>
      <c r="D1290" s="20" t="s">
        <v>313</v>
      </c>
      <c r="E1290" s="20" t="s">
        <v>75</v>
      </c>
      <c r="F1290" s="27"/>
    </row>
    <row r="1291">
      <c r="A1291" s="26">
        <v>44714.737200358795</v>
      </c>
      <c r="B1291" s="20" t="s">
        <v>55</v>
      </c>
      <c r="C1291" s="20">
        <v>88.0</v>
      </c>
      <c r="D1291" s="20" t="s">
        <v>320</v>
      </c>
      <c r="E1291" s="20" t="s">
        <v>75</v>
      </c>
      <c r="F1291" s="27"/>
    </row>
    <row r="1292">
      <c r="A1292" s="26">
        <v>44714.737407824075</v>
      </c>
      <c r="B1292" s="20" t="s">
        <v>55</v>
      </c>
      <c r="C1292" s="20">
        <v>563.0</v>
      </c>
      <c r="D1292" s="20" t="s">
        <v>320</v>
      </c>
      <c r="E1292" s="20" t="s">
        <v>75</v>
      </c>
      <c r="F1292" s="27"/>
    </row>
    <row r="1293">
      <c r="A1293" s="26">
        <v>44714.737655289355</v>
      </c>
      <c r="B1293" s="20" t="s">
        <v>55</v>
      </c>
      <c r="C1293" s="20">
        <v>1964.0</v>
      </c>
      <c r="E1293" s="20" t="s">
        <v>404</v>
      </c>
      <c r="F1293" s="27"/>
    </row>
    <row r="1294">
      <c r="A1294" s="26">
        <v>44714.81499969907</v>
      </c>
      <c r="C1294" s="20">
        <v>107.0</v>
      </c>
      <c r="D1294" s="20" t="s">
        <v>405</v>
      </c>
      <c r="E1294" s="20" t="s">
        <v>75</v>
      </c>
      <c r="F1294" s="27"/>
    </row>
    <row r="1295">
      <c r="A1295" s="26">
        <v>44715.62787997685</v>
      </c>
      <c r="B1295" s="20" t="s">
        <v>67</v>
      </c>
      <c r="C1295" s="20">
        <v>370.0</v>
      </c>
      <c r="D1295" s="20" t="s">
        <v>38</v>
      </c>
      <c r="E1295" s="20" t="s">
        <v>96</v>
      </c>
      <c r="F1295" s="27"/>
    </row>
    <row r="1296">
      <c r="A1296" s="26">
        <v>44715.62820471065</v>
      </c>
      <c r="B1296" s="20" t="s">
        <v>67</v>
      </c>
      <c r="C1296" s="20">
        <v>313.0</v>
      </c>
      <c r="D1296" s="20" t="s">
        <v>40</v>
      </c>
      <c r="E1296" s="20" t="s">
        <v>96</v>
      </c>
      <c r="F1296" s="27"/>
    </row>
    <row r="1297">
      <c r="A1297" s="26">
        <v>44715.70282331019</v>
      </c>
      <c r="B1297" s="20" t="s">
        <v>233</v>
      </c>
      <c r="C1297" s="20">
        <v>90.0</v>
      </c>
      <c r="D1297" s="20" t="s">
        <v>64</v>
      </c>
      <c r="E1297" s="20" t="s">
        <v>234</v>
      </c>
      <c r="F1297" s="27"/>
    </row>
    <row r="1298">
      <c r="A1298" s="26">
        <v>44716.49014148148</v>
      </c>
      <c r="B1298" s="20" t="s">
        <v>67</v>
      </c>
      <c r="C1298" s="20">
        <v>70.0</v>
      </c>
      <c r="D1298" s="20" t="s">
        <v>38</v>
      </c>
      <c r="E1298" s="20" t="s">
        <v>177</v>
      </c>
      <c r="F1298" s="27"/>
    </row>
    <row r="1299">
      <c r="A1299" s="26">
        <v>44716.490668125</v>
      </c>
      <c r="B1299" s="20" t="s">
        <v>67</v>
      </c>
      <c r="C1299" s="20">
        <v>304.0</v>
      </c>
      <c r="D1299" s="20" t="s">
        <v>64</v>
      </c>
      <c r="E1299" s="20" t="s">
        <v>219</v>
      </c>
      <c r="F1299" s="27"/>
    </row>
    <row r="1300">
      <c r="A1300" s="26">
        <v>44716.51702114583</v>
      </c>
      <c r="B1300" s="20" t="s">
        <v>331</v>
      </c>
      <c r="C1300" s="20">
        <v>360.0</v>
      </c>
      <c r="D1300" s="20" t="s">
        <v>38</v>
      </c>
      <c r="E1300" s="20" t="s">
        <v>75</v>
      </c>
      <c r="F1300" s="27"/>
    </row>
    <row r="1301">
      <c r="A1301" s="26">
        <v>44716.51789670139</v>
      </c>
      <c r="B1301" s="20" t="s">
        <v>406</v>
      </c>
      <c r="C1301" s="20">
        <v>107.0</v>
      </c>
      <c r="D1301" s="20" t="s">
        <v>407</v>
      </c>
      <c r="E1301" s="20" t="s">
        <v>75</v>
      </c>
      <c r="F1301" s="27"/>
    </row>
    <row r="1302">
      <c r="A1302" s="26">
        <v>44716.55863855324</v>
      </c>
      <c r="B1302" s="20" t="s">
        <v>331</v>
      </c>
      <c r="C1302" s="20">
        <v>48.0</v>
      </c>
      <c r="D1302" s="20" t="s">
        <v>408</v>
      </c>
      <c r="E1302" s="20" t="s">
        <v>75</v>
      </c>
      <c r="F1302" s="27"/>
    </row>
    <row r="1303">
      <c r="A1303" s="26">
        <v>44716.68443165509</v>
      </c>
      <c r="B1303" s="20" t="s">
        <v>406</v>
      </c>
      <c r="C1303" s="20">
        <v>249.0</v>
      </c>
      <c r="D1303" s="20" t="s">
        <v>40</v>
      </c>
      <c r="E1303" s="20" t="s">
        <v>75</v>
      </c>
      <c r="F1303" s="27"/>
    </row>
    <row r="1304">
      <c r="A1304" s="26">
        <v>44716.685005625</v>
      </c>
      <c r="B1304" s="20" t="s">
        <v>285</v>
      </c>
      <c r="C1304" s="20">
        <v>516.0</v>
      </c>
      <c r="D1304" s="20" t="s">
        <v>294</v>
      </c>
      <c r="E1304" s="20" t="s">
        <v>75</v>
      </c>
      <c r="F1304" s="27"/>
    </row>
    <row r="1305">
      <c r="A1305" s="26">
        <v>44716.685404918986</v>
      </c>
      <c r="B1305" s="20" t="s">
        <v>285</v>
      </c>
      <c r="C1305" s="20">
        <v>710.0</v>
      </c>
      <c r="D1305" s="20" t="s">
        <v>36</v>
      </c>
      <c r="E1305" s="20" t="s">
        <v>75</v>
      </c>
      <c r="F1305" s="27"/>
    </row>
    <row r="1306">
      <c r="A1306" s="26">
        <v>44716.6879516551</v>
      </c>
      <c r="B1306" s="20" t="s">
        <v>406</v>
      </c>
      <c r="C1306" s="20">
        <v>-457.0</v>
      </c>
      <c r="D1306" s="20" t="s">
        <v>36</v>
      </c>
      <c r="E1306" s="20" t="s">
        <v>75</v>
      </c>
      <c r="F1306" s="27"/>
    </row>
    <row r="1307">
      <c r="A1307" s="26">
        <v>44716.69093805556</v>
      </c>
      <c r="B1307" s="20" t="s">
        <v>331</v>
      </c>
      <c r="C1307" s="20">
        <v>91.0</v>
      </c>
      <c r="D1307" s="20" t="s">
        <v>38</v>
      </c>
      <c r="E1307" s="20" t="s">
        <v>37</v>
      </c>
      <c r="F1307" s="27"/>
    </row>
    <row r="1308">
      <c r="A1308" s="26">
        <v>44716.691439999995</v>
      </c>
      <c r="B1308" s="20" t="s">
        <v>406</v>
      </c>
      <c r="C1308" s="20">
        <v>-289.0</v>
      </c>
      <c r="D1308" s="20" t="s">
        <v>40</v>
      </c>
      <c r="E1308" s="20" t="s">
        <v>75</v>
      </c>
      <c r="F1308" s="27"/>
    </row>
    <row r="1309">
      <c r="A1309" s="26">
        <v>44716.692095763894</v>
      </c>
      <c r="B1309" s="20" t="s">
        <v>285</v>
      </c>
      <c r="C1309" s="20">
        <v>-67.0</v>
      </c>
      <c r="D1309" s="20" t="s">
        <v>76</v>
      </c>
      <c r="E1309" s="20" t="s">
        <v>75</v>
      </c>
      <c r="F1309" s="27"/>
    </row>
    <row r="1310">
      <c r="A1310" s="26">
        <v>44716.692739872684</v>
      </c>
      <c r="B1310" s="20" t="s">
        <v>331</v>
      </c>
      <c r="C1310" s="20">
        <v>-419.0</v>
      </c>
      <c r="D1310" s="20" t="s">
        <v>156</v>
      </c>
      <c r="E1310" s="20" t="s">
        <v>75</v>
      </c>
      <c r="F1310" s="27"/>
    </row>
    <row r="1311">
      <c r="A1311" s="26">
        <v>44716.69331011574</v>
      </c>
      <c r="B1311" s="20" t="s">
        <v>406</v>
      </c>
      <c r="C1311" s="20">
        <v>287.0</v>
      </c>
      <c r="D1311" s="20" t="s">
        <v>40</v>
      </c>
      <c r="E1311" s="20" t="s">
        <v>37</v>
      </c>
      <c r="F1311" s="27"/>
    </row>
    <row r="1312">
      <c r="A1312" s="26">
        <v>44716.69410150463</v>
      </c>
      <c r="B1312" s="20" t="s">
        <v>406</v>
      </c>
      <c r="C1312" s="20">
        <v>-518.0</v>
      </c>
      <c r="D1312" s="20" t="s">
        <v>78</v>
      </c>
      <c r="E1312" s="20" t="s">
        <v>75</v>
      </c>
      <c r="F1312" s="27"/>
    </row>
    <row r="1313">
      <c r="A1313" s="26">
        <v>44716.69461733796</v>
      </c>
      <c r="B1313" s="20" t="s">
        <v>406</v>
      </c>
      <c r="C1313" s="20">
        <v>678.0</v>
      </c>
      <c r="D1313" s="20" t="s">
        <v>36</v>
      </c>
      <c r="E1313" s="20" t="s">
        <v>37</v>
      </c>
      <c r="F1313" s="27"/>
    </row>
    <row r="1314">
      <c r="A1314" s="26">
        <v>44716.70155885417</v>
      </c>
      <c r="B1314" s="20" t="s">
        <v>331</v>
      </c>
      <c r="C1314" s="20">
        <v>304.0</v>
      </c>
      <c r="D1314" s="20" t="s">
        <v>64</v>
      </c>
      <c r="E1314" s="20" t="s">
        <v>219</v>
      </c>
      <c r="F1314" s="27"/>
    </row>
    <row r="1315">
      <c r="A1315" s="26">
        <v>44716.702276944445</v>
      </c>
      <c r="B1315" s="20" t="s">
        <v>406</v>
      </c>
      <c r="C1315" s="20">
        <v>370.0</v>
      </c>
      <c r="D1315" s="20" t="s">
        <v>38</v>
      </c>
      <c r="E1315" s="20" t="s">
        <v>96</v>
      </c>
      <c r="F1315" s="27"/>
    </row>
    <row r="1316">
      <c r="A1316" s="26">
        <v>44716.70442515046</v>
      </c>
      <c r="B1316" s="20" t="s">
        <v>331</v>
      </c>
      <c r="C1316" s="20">
        <v>312.0</v>
      </c>
      <c r="D1316" s="20" t="s">
        <v>40</v>
      </c>
      <c r="E1316" s="20" t="s">
        <v>96</v>
      </c>
      <c r="F1316" s="27"/>
    </row>
    <row r="1317">
      <c r="A1317" s="26">
        <v>44716.705833263884</v>
      </c>
      <c r="B1317" s="20" t="s">
        <v>406</v>
      </c>
      <c r="C1317" s="20">
        <v>146.0</v>
      </c>
      <c r="D1317" s="20" t="s">
        <v>80</v>
      </c>
      <c r="E1317" s="20" t="s">
        <v>409</v>
      </c>
      <c r="F1317" s="27"/>
    </row>
    <row r="1318">
      <c r="A1318" s="26">
        <v>44716.7082059838</v>
      </c>
      <c r="B1318" s="20" t="s">
        <v>406</v>
      </c>
      <c r="C1318" s="20">
        <v>-300.0</v>
      </c>
      <c r="D1318" s="20" t="s">
        <v>297</v>
      </c>
      <c r="E1318" s="20" t="s">
        <v>75</v>
      </c>
      <c r="F1318" s="27"/>
    </row>
    <row r="1319">
      <c r="A1319" s="26">
        <v>44717.55748862268</v>
      </c>
      <c r="B1319" s="20" t="s">
        <v>67</v>
      </c>
      <c r="C1319" s="20">
        <v>287.0</v>
      </c>
      <c r="D1319" s="20" t="s">
        <v>40</v>
      </c>
      <c r="E1319" s="20" t="s">
        <v>81</v>
      </c>
      <c r="F1319" s="27"/>
    </row>
    <row r="1320">
      <c r="A1320" s="26">
        <v>44717.55797525463</v>
      </c>
      <c r="B1320" s="20" t="s">
        <v>67</v>
      </c>
      <c r="C1320" s="20">
        <v>678.0</v>
      </c>
      <c r="D1320" s="20" t="s">
        <v>36</v>
      </c>
      <c r="E1320" s="20" t="s">
        <v>81</v>
      </c>
      <c r="F1320" s="27"/>
    </row>
    <row r="1321">
      <c r="A1321" s="26">
        <v>44717.55841359954</v>
      </c>
      <c r="B1321" s="20" t="s">
        <v>67</v>
      </c>
      <c r="C1321" s="20">
        <v>233.0</v>
      </c>
      <c r="D1321" s="20" t="s">
        <v>38</v>
      </c>
      <c r="E1321" s="20" t="s">
        <v>81</v>
      </c>
      <c r="F1321" s="27"/>
    </row>
    <row r="1322">
      <c r="A1322" s="26">
        <v>44717.55933421296</v>
      </c>
      <c r="B1322" s="20" t="s">
        <v>67</v>
      </c>
      <c r="C1322" s="20">
        <v>331.0</v>
      </c>
      <c r="D1322" s="20" t="s">
        <v>211</v>
      </c>
      <c r="E1322" s="20" t="s">
        <v>81</v>
      </c>
      <c r="F1322" s="27"/>
    </row>
    <row r="1323">
      <c r="A1323" s="26">
        <v>44717.56872840278</v>
      </c>
      <c r="B1323" s="20" t="s">
        <v>67</v>
      </c>
      <c r="C1323" s="20">
        <v>775.0</v>
      </c>
      <c r="D1323" s="20" t="s">
        <v>36</v>
      </c>
      <c r="E1323" s="20" t="s">
        <v>81</v>
      </c>
      <c r="F1323" s="27"/>
    </row>
    <row r="1324">
      <c r="A1324" s="26">
        <v>44717.58402677083</v>
      </c>
      <c r="B1324" s="20" t="s">
        <v>55</v>
      </c>
      <c r="C1324" s="20">
        <v>729.0</v>
      </c>
      <c r="D1324" s="20" t="s">
        <v>36</v>
      </c>
      <c r="E1324" s="20" t="s">
        <v>81</v>
      </c>
      <c r="F1324" s="27"/>
    </row>
    <row r="1325">
      <c r="A1325" s="26">
        <v>44717.58433938657</v>
      </c>
      <c r="B1325" s="20" t="s">
        <v>55</v>
      </c>
      <c r="C1325" s="20">
        <v>123.0</v>
      </c>
      <c r="D1325" s="20" t="s">
        <v>410</v>
      </c>
      <c r="E1325" s="20" t="s">
        <v>37</v>
      </c>
      <c r="F1325" s="27"/>
    </row>
    <row r="1326">
      <c r="A1326" s="28">
        <v>44717.0</v>
      </c>
      <c r="B1326" s="20" t="s">
        <v>345</v>
      </c>
      <c r="C1326" s="20">
        <v>202.0</v>
      </c>
      <c r="D1326" s="20" t="s">
        <v>95</v>
      </c>
      <c r="E1326" s="20" t="s">
        <v>37</v>
      </c>
      <c r="F1326" s="27"/>
    </row>
    <row r="1327">
      <c r="A1327" s="26">
        <v>44717.66283858796</v>
      </c>
      <c r="B1327" s="20" t="s">
        <v>411</v>
      </c>
      <c r="C1327" s="20">
        <v>76.0</v>
      </c>
      <c r="D1327" s="20" t="s">
        <v>294</v>
      </c>
      <c r="E1327" s="20" t="s">
        <v>219</v>
      </c>
      <c r="F1327" s="27"/>
    </row>
    <row r="1328">
      <c r="A1328" s="26">
        <v>44717.66362709491</v>
      </c>
      <c r="B1328" s="20" t="s">
        <v>411</v>
      </c>
      <c r="C1328" s="20">
        <v>351.0</v>
      </c>
      <c r="D1328" s="20" t="s">
        <v>40</v>
      </c>
      <c r="E1328" s="20" t="s">
        <v>219</v>
      </c>
      <c r="F1328" s="27"/>
    </row>
    <row r="1329">
      <c r="A1329" s="26">
        <v>44717.66390185185</v>
      </c>
      <c r="B1329" s="20" t="s">
        <v>411</v>
      </c>
      <c r="C1329" s="20">
        <v>260.0</v>
      </c>
      <c r="D1329" s="20" t="s">
        <v>64</v>
      </c>
      <c r="E1329" s="20" t="s">
        <v>143</v>
      </c>
      <c r="F1329" s="27"/>
    </row>
    <row r="1330">
      <c r="A1330" s="26">
        <v>44717.66415020834</v>
      </c>
      <c r="B1330" s="20" t="s">
        <v>411</v>
      </c>
      <c r="C1330" s="20">
        <v>326.0</v>
      </c>
      <c r="D1330" s="20" t="s">
        <v>64</v>
      </c>
      <c r="E1330" s="20" t="s">
        <v>143</v>
      </c>
      <c r="F1330" s="27"/>
    </row>
    <row r="1331">
      <c r="A1331" s="26">
        <v>44717.7038716088</v>
      </c>
      <c r="B1331" s="20" t="s">
        <v>411</v>
      </c>
      <c r="C1331" s="20">
        <v>14.0</v>
      </c>
      <c r="D1331" s="20" t="s">
        <v>64</v>
      </c>
      <c r="E1331" s="20" t="s">
        <v>63</v>
      </c>
      <c r="F1331" s="27"/>
    </row>
    <row r="1332">
      <c r="A1332" s="26">
        <v>44719.629746192135</v>
      </c>
      <c r="B1332" s="20" t="s">
        <v>345</v>
      </c>
      <c r="C1332" s="20">
        <v>574.0</v>
      </c>
      <c r="D1332" s="20" t="s">
        <v>76</v>
      </c>
      <c r="E1332" s="20" t="s">
        <v>75</v>
      </c>
      <c r="F1332" s="27"/>
    </row>
    <row r="1333">
      <c r="A1333" s="26">
        <v>44719.630611863424</v>
      </c>
      <c r="B1333" s="20" t="s">
        <v>345</v>
      </c>
      <c r="C1333" s="20">
        <v>355.0</v>
      </c>
      <c r="D1333" s="20" t="s">
        <v>210</v>
      </c>
      <c r="E1333" s="20" t="s">
        <v>75</v>
      </c>
      <c r="F1333" s="27"/>
    </row>
    <row r="1334">
      <c r="A1334" s="26">
        <v>44719.630811006944</v>
      </c>
      <c r="B1334" s="20" t="s">
        <v>345</v>
      </c>
      <c r="C1334" s="20">
        <v>388.0</v>
      </c>
      <c r="D1334" s="20" t="s">
        <v>210</v>
      </c>
      <c r="E1334" s="20" t="s">
        <v>75</v>
      </c>
      <c r="F1334" s="27"/>
    </row>
    <row r="1335">
      <c r="A1335" s="26">
        <v>44719.63207237268</v>
      </c>
      <c r="B1335" s="20" t="s">
        <v>345</v>
      </c>
      <c r="C1335" s="20">
        <v>2308.0</v>
      </c>
      <c r="D1335" s="20" t="s">
        <v>53</v>
      </c>
      <c r="E1335" s="20" t="s">
        <v>75</v>
      </c>
      <c r="F1335" s="27"/>
    </row>
    <row r="1336">
      <c r="A1336" s="26">
        <v>44719.633396296296</v>
      </c>
      <c r="B1336" s="20" t="s">
        <v>345</v>
      </c>
      <c r="C1336" s="20">
        <v>1553.0</v>
      </c>
      <c r="D1336" s="20" t="s">
        <v>93</v>
      </c>
      <c r="E1336" s="20" t="s">
        <v>75</v>
      </c>
      <c r="F1336" s="27"/>
    </row>
    <row r="1337">
      <c r="A1337" s="26">
        <v>44720.52324851852</v>
      </c>
      <c r="B1337" s="20" t="s">
        <v>345</v>
      </c>
      <c r="C1337" s="20">
        <v>516.0</v>
      </c>
      <c r="D1337" s="20" t="s">
        <v>93</v>
      </c>
      <c r="E1337" s="20" t="s">
        <v>70</v>
      </c>
      <c r="F1337" s="27"/>
    </row>
    <row r="1338">
      <c r="A1338" s="26">
        <v>44720.53408252315</v>
      </c>
      <c r="B1338" s="20" t="s">
        <v>345</v>
      </c>
      <c r="C1338" s="20">
        <v>324.0</v>
      </c>
      <c r="D1338" s="20" t="s">
        <v>40</v>
      </c>
      <c r="E1338" s="20" t="s">
        <v>70</v>
      </c>
      <c r="F1338" s="27"/>
    </row>
    <row r="1339">
      <c r="A1339" s="26">
        <v>44720.534372939816</v>
      </c>
      <c r="B1339" s="20" t="s">
        <v>345</v>
      </c>
      <c r="C1339" s="20">
        <v>1037.0</v>
      </c>
      <c r="D1339" s="20" t="s">
        <v>36</v>
      </c>
      <c r="E1339" s="20" t="s">
        <v>70</v>
      </c>
      <c r="F1339" s="27"/>
    </row>
    <row r="1340">
      <c r="A1340" s="26">
        <v>44720.53470870371</v>
      </c>
      <c r="B1340" s="20" t="s">
        <v>345</v>
      </c>
      <c r="C1340" s="20">
        <v>419.0</v>
      </c>
      <c r="D1340" s="20" t="s">
        <v>412</v>
      </c>
      <c r="E1340" s="20" t="s">
        <v>401</v>
      </c>
      <c r="F1340" s="27"/>
    </row>
    <row r="1341">
      <c r="A1341" s="26">
        <v>44720.561014085644</v>
      </c>
      <c r="B1341" s="20" t="s">
        <v>345</v>
      </c>
      <c r="C1341" s="20">
        <v>42.0</v>
      </c>
      <c r="D1341" s="20" t="s">
        <v>388</v>
      </c>
      <c r="E1341" s="20" t="s">
        <v>70</v>
      </c>
      <c r="F1341" s="27"/>
    </row>
    <row r="1342">
      <c r="A1342" s="26">
        <v>44720.568051712966</v>
      </c>
      <c r="B1342" s="20" t="s">
        <v>345</v>
      </c>
      <c r="C1342" s="20">
        <v>1522.0</v>
      </c>
      <c r="D1342" s="20" t="s">
        <v>53</v>
      </c>
      <c r="E1342" s="20" t="s">
        <v>401</v>
      </c>
      <c r="F1342" s="27"/>
    </row>
    <row r="1343">
      <c r="A1343" s="26">
        <v>44720.7176142824</v>
      </c>
      <c r="B1343" s="20" t="s">
        <v>413</v>
      </c>
      <c r="C1343" s="20">
        <v>36.0</v>
      </c>
      <c r="D1343" s="20" t="s">
        <v>64</v>
      </c>
      <c r="E1343" s="20" t="s">
        <v>413</v>
      </c>
      <c r="F1343" s="27"/>
    </row>
    <row r="1344">
      <c r="A1344" s="26">
        <v>44720.71793806713</v>
      </c>
      <c r="B1344" s="20" t="s">
        <v>55</v>
      </c>
      <c r="C1344" s="20">
        <v>232.0</v>
      </c>
      <c r="D1344" s="20" t="s">
        <v>38</v>
      </c>
      <c r="E1344" s="20" t="s">
        <v>401</v>
      </c>
      <c r="F1344" s="27"/>
    </row>
    <row r="1345">
      <c r="A1345" s="26">
        <v>44720.8183856713</v>
      </c>
      <c r="B1345" s="20" t="s">
        <v>414</v>
      </c>
      <c r="C1345" s="20">
        <v>96.0</v>
      </c>
      <c r="D1345" s="20" t="s">
        <v>415</v>
      </c>
      <c r="E1345" s="20" t="s">
        <v>75</v>
      </c>
      <c r="F1345" s="27"/>
    </row>
    <row r="1346">
      <c r="A1346" s="26">
        <v>44721.65950978009</v>
      </c>
      <c r="B1346" s="20" t="s">
        <v>214</v>
      </c>
      <c r="C1346" s="20">
        <v>235.0</v>
      </c>
      <c r="D1346" s="20" t="s">
        <v>40</v>
      </c>
      <c r="E1346" s="20" t="s">
        <v>216</v>
      </c>
      <c r="F1346" s="27"/>
    </row>
    <row r="1347">
      <c r="A1347" s="26">
        <v>44721.65987346065</v>
      </c>
      <c r="B1347" s="20" t="s">
        <v>214</v>
      </c>
      <c r="C1347" s="20">
        <v>40.0</v>
      </c>
      <c r="D1347" s="20" t="s">
        <v>38</v>
      </c>
      <c r="E1347" s="20" t="s">
        <v>216</v>
      </c>
      <c r="F1347" s="27"/>
    </row>
    <row r="1348">
      <c r="A1348" s="26">
        <v>44721.668065254635</v>
      </c>
      <c r="B1348" s="20" t="s">
        <v>214</v>
      </c>
      <c r="C1348" s="20">
        <v>639.0</v>
      </c>
      <c r="D1348" s="20" t="s">
        <v>416</v>
      </c>
      <c r="E1348" s="20" t="s">
        <v>216</v>
      </c>
      <c r="F1348" s="27"/>
    </row>
    <row r="1349">
      <c r="A1349" s="26">
        <v>44721.677589074076</v>
      </c>
      <c r="B1349" s="20" t="s">
        <v>214</v>
      </c>
      <c r="C1349" s="20">
        <v>156.0</v>
      </c>
      <c r="D1349" s="20" t="s">
        <v>47</v>
      </c>
      <c r="E1349" s="20" t="s">
        <v>216</v>
      </c>
      <c r="F1349" s="27"/>
    </row>
    <row r="1350">
      <c r="A1350" s="26">
        <v>44721.67794797454</v>
      </c>
      <c r="B1350" s="20" t="s">
        <v>214</v>
      </c>
      <c r="C1350" s="20">
        <v>221.0</v>
      </c>
      <c r="D1350" s="20" t="s">
        <v>36</v>
      </c>
      <c r="E1350" s="20" t="s">
        <v>216</v>
      </c>
      <c r="F1350" s="27"/>
    </row>
    <row r="1351">
      <c r="A1351" s="26">
        <v>44721.67842241898</v>
      </c>
      <c r="B1351" s="20" t="s">
        <v>214</v>
      </c>
      <c r="C1351" s="20">
        <v>101.0</v>
      </c>
      <c r="D1351" s="20" t="s">
        <v>38</v>
      </c>
      <c r="E1351" s="20" t="s">
        <v>216</v>
      </c>
      <c r="F1351" s="27"/>
    </row>
    <row r="1352">
      <c r="A1352" s="26">
        <v>44721.678975937495</v>
      </c>
      <c r="B1352" s="20" t="s">
        <v>214</v>
      </c>
      <c r="C1352" s="20">
        <v>639.0</v>
      </c>
      <c r="D1352" s="20" t="s">
        <v>417</v>
      </c>
      <c r="E1352" s="20" t="s">
        <v>216</v>
      </c>
      <c r="F1352" s="27"/>
    </row>
    <row r="1353">
      <c r="A1353" s="26">
        <v>44721.7991181713</v>
      </c>
      <c r="B1353" s="20" t="s">
        <v>167</v>
      </c>
      <c r="C1353" s="20">
        <v>1603.0</v>
      </c>
      <c r="D1353" s="20" t="s">
        <v>93</v>
      </c>
      <c r="E1353" s="20" t="s">
        <v>96</v>
      </c>
      <c r="F1353" s="27"/>
    </row>
    <row r="1354">
      <c r="A1354" s="26">
        <v>44721.80007020834</v>
      </c>
      <c r="B1354" s="20" t="s">
        <v>167</v>
      </c>
      <c r="C1354" s="20">
        <v>225.0</v>
      </c>
      <c r="D1354" s="20" t="s">
        <v>80</v>
      </c>
      <c r="E1354" s="20" t="s">
        <v>96</v>
      </c>
      <c r="F1354" s="27"/>
    </row>
    <row r="1355">
      <c r="A1355" s="26">
        <v>44721.806779606486</v>
      </c>
      <c r="B1355" s="20" t="s">
        <v>167</v>
      </c>
      <c r="C1355" s="20">
        <v>97.0</v>
      </c>
      <c r="D1355" s="20" t="s">
        <v>418</v>
      </c>
      <c r="E1355" s="20" t="s">
        <v>75</v>
      </c>
      <c r="F1355" s="27"/>
    </row>
    <row r="1356">
      <c r="A1356" s="26">
        <v>44721.80951594908</v>
      </c>
      <c r="B1356" s="20" t="s">
        <v>167</v>
      </c>
      <c r="C1356" s="20">
        <v>121.0</v>
      </c>
      <c r="D1356" s="20" t="s">
        <v>419</v>
      </c>
      <c r="E1356" s="20" t="s">
        <v>75</v>
      </c>
      <c r="F1356" s="27"/>
    </row>
    <row r="1357">
      <c r="A1357" s="26">
        <v>44721.809898935186</v>
      </c>
      <c r="B1357" s="20" t="s">
        <v>167</v>
      </c>
      <c r="C1357" s="20">
        <v>177.0</v>
      </c>
      <c r="D1357" s="20" t="s">
        <v>419</v>
      </c>
      <c r="E1357" s="20" t="s">
        <v>75</v>
      </c>
      <c r="F1357" s="27"/>
    </row>
    <row r="1358">
      <c r="A1358" s="26">
        <v>44722.65303100694</v>
      </c>
      <c r="B1358" s="20" t="s">
        <v>344</v>
      </c>
      <c r="C1358" s="20">
        <v>756.0</v>
      </c>
      <c r="D1358" s="20" t="s">
        <v>64</v>
      </c>
      <c r="E1358" s="20" t="s">
        <v>96</v>
      </c>
      <c r="F1358" s="27"/>
    </row>
    <row r="1359">
      <c r="A1359" s="26">
        <v>44722.65326049768</v>
      </c>
      <c r="B1359" s="20" t="s">
        <v>344</v>
      </c>
      <c r="C1359" s="20">
        <v>652.0</v>
      </c>
      <c r="D1359" s="20" t="s">
        <v>64</v>
      </c>
      <c r="E1359" s="20" t="s">
        <v>96</v>
      </c>
      <c r="F1359" s="27"/>
    </row>
    <row r="1360">
      <c r="A1360" s="26">
        <v>44722.653499155094</v>
      </c>
      <c r="B1360" s="20" t="s">
        <v>344</v>
      </c>
      <c r="C1360" s="20">
        <v>552.0</v>
      </c>
      <c r="D1360" s="20" t="s">
        <v>47</v>
      </c>
      <c r="E1360" s="20" t="s">
        <v>96</v>
      </c>
      <c r="F1360" s="27"/>
    </row>
    <row r="1361">
      <c r="A1361" s="26">
        <v>44722.65632821759</v>
      </c>
      <c r="B1361" s="20" t="s">
        <v>344</v>
      </c>
      <c r="C1361" s="20">
        <v>98.0</v>
      </c>
      <c r="D1361" s="20" t="s">
        <v>64</v>
      </c>
      <c r="E1361" s="20" t="s">
        <v>413</v>
      </c>
      <c r="F1361" s="27"/>
    </row>
    <row r="1362">
      <c r="A1362" s="26">
        <v>44722.656583749995</v>
      </c>
      <c r="B1362" s="20" t="s">
        <v>344</v>
      </c>
      <c r="C1362" s="20">
        <v>99.0</v>
      </c>
      <c r="D1362" s="20" t="s">
        <v>64</v>
      </c>
      <c r="E1362" s="20" t="s">
        <v>328</v>
      </c>
      <c r="F1362" s="27"/>
    </row>
    <row r="1363">
      <c r="A1363" s="26">
        <v>44722.67560560185</v>
      </c>
      <c r="B1363" s="20" t="s">
        <v>193</v>
      </c>
      <c r="C1363" s="20">
        <v>61.0</v>
      </c>
      <c r="D1363" s="20" t="s">
        <v>76</v>
      </c>
      <c r="E1363" s="20" t="s">
        <v>328</v>
      </c>
      <c r="F1363" s="27"/>
    </row>
    <row r="1364">
      <c r="A1364" s="26">
        <v>44722.676828634256</v>
      </c>
      <c r="B1364" s="20" t="s">
        <v>193</v>
      </c>
      <c r="C1364" s="20">
        <v>652.0</v>
      </c>
      <c r="D1364" s="20" t="s">
        <v>420</v>
      </c>
      <c r="E1364" s="20" t="s">
        <v>385</v>
      </c>
      <c r="F1364" s="27"/>
    </row>
    <row r="1365">
      <c r="A1365" s="26">
        <v>44722.70307193287</v>
      </c>
      <c r="B1365" s="20" t="s">
        <v>233</v>
      </c>
      <c r="C1365" s="20">
        <v>111.0</v>
      </c>
      <c r="D1365" s="20" t="s">
        <v>64</v>
      </c>
      <c r="E1365" s="20" t="s">
        <v>234</v>
      </c>
      <c r="F1365" s="27"/>
    </row>
    <row r="1366">
      <c r="A1366" s="26">
        <v>44723.56683646991</v>
      </c>
      <c r="B1366" s="20" t="s">
        <v>406</v>
      </c>
      <c r="C1366" s="20">
        <v>860.0</v>
      </c>
      <c r="D1366" s="20" t="s">
        <v>38</v>
      </c>
      <c r="E1366" s="20" t="s">
        <v>75</v>
      </c>
      <c r="F1366" s="27"/>
    </row>
    <row r="1367">
      <c r="A1367" s="26">
        <v>44723.567253217596</v>
      </c>
      <c r="B1367" s="20" t="s">
        <v>406</v>
      </c>
      <c r="C1367" s="20">
        <v>472.0</v>
      </c>
      <c r="D1367" s="20" t="s">
        <v>47</v>
      </c>
      <c r="E1367" s="20" t="s">
        <v>75</v>
      </c>
      <c r="F1367" s="27"/>
    </row>
    <row r="1368">
      <c r="A1368" s="26">
        <v>44723.72329903935</v>
      </c>
      <c r="B1368" s="20" t="s">
        <v>406</v>
      </c>
      <c r="C1368" s="20">
        <v>2674.0</v>
      </c>
      <c r="D1368" s="20" t="s">
        <v>417</v>
      </c>
      <c r="E1368" s="20" t="s">
        <v>421</v>
      </c>
      <c r="F1368" s="27"/>
    </row>
    <row r="1369">
      <c r="A1369" s="26">
        <v>44723.725306747685</v>
      </c>
      <c r="B1369" s="20" t="s">
        <v>422</v>
      </c>
      <c r="C1369" s="20">
        <v>90.0</v>
      </c>
      <c r="D1369" s="20" t="s">
        <v>76</v>
      </c>
      <c r="E1369" s="20" t="s">
        <v>423</v>
      </c>
      <c r="F1369" s="27"/>
    </row>
    <row r="1370">
      <c r="A1370" s="26">
        <v>44723.725609456014</v>
      </c>
      <c r="B1370" s="20" t="s">
        <v>406</v>
      </c>
      <c r="C1370" s="20">
        <v>1347.0</v>
      </c>
      <c r="D1370" s="20" t="s">
        <v>93</v>
      </c>
      <c r="E1370" s="20" t="s">
        <v>37</v>
      </c>
      <c r="F1370" s="27"/>
    </row>
    <row r="1371">
      <c r="A1371" s="26">
        <v>44723.72670443287</v>
      </c>
      <c r="B1371" s="20" t="s">
        <v>406</v>
      </c>
      <c r="C1371" s="20">
        <v>220.0</v>
      </c>
      <c r="D1371" s="20" t="s">
        <v>424</v>
      </c>
      <c r="E1371" s="20" t="s">
        <v>425</v>
      </c>
      <c r="F1371" s="27"/>
    </row>
    <row r="1372">
      <c r="A1372" s="26">
        <v>44723.72754541667</v>
      </c>
      <c r="B1372" s="20" t="s">
        <v>406</v>
      </c>
      <c r="C1372" s="20">
        <v>538.0</v>
      </c>
      <c r="D1372" s="20" t="s">
        <v>38</v>
      </c>
      <c r="E1372" s="20" t="s">
        <v>37</v>
      </c>
      <c r="F1372" s="27"/>
    </row>
    <row r="1373">
      <c r="A1373" s="26">
        <v>44723.72824866898</v>
      </c>
      <c r="B1373" s="20" t="s">
        <v>285</v>
      </c>
      <c r="C1373" s="20">
        <v>235.0</v>
      </c>
      <c r="D1373" s="20" t="s">
        <v>210</v>
      </c>
      <c r="E1373" s="20" t="s">
        <v>37</v>
      </c>
      <c r="F1373" s="27"/>
    </row>
    <row r="1374">
      <c r="A1374" s="26">
        <v>44723.72879605324</v>
      </c>
      <c r="B1374" s="20" t="s">
        <v>406</v>
      </c>
      <c r="C1374" s="20">
        <v>133.0</v>
      </c>
      <c r="D1374" s="20" t="s">
        <v>76</v>
      </c>
      <c r="E1374" s="20" t="s">
        <v>426</v>
      </c>
      <c r="F1374" s="27"/>
    </row>
    <row r="1375">
      <c r="A1375" s="26">
        <v>44723.7292730787</v>
      </c>
      <c r="B1375" s="20" t="s">
        <v>406</v>
      </c>
      <c r="C1375" s="20">
        <v>5.0</v>
      </c>
      <c r="D1375" s="20" t="s">
        <v>169</v>
      </c>
      <c r="E1375" s="20" t="s">
        <v>37</v>
      </c>
      <c r="F1375" s="27"/>
    </row>
    <row r="1376">
      <c r="A1376" s="26">
        <v>44723.73097525463</v>
      </c>
      <c r="B1376" s="20" t="s">
        <v>331</v>
      </c>
      <c r="C1376" s="20">
        <v>-2674.0</v>
      </c>
      <c r="D1376" s="20" t="s">
        <v>421</v>
      </c>
      <c r="E1376" s="20" t="s">
        <v>427</v>
      </c>
      <c r="F1376" s="27"/>
    </row>
    <row r="1377">
      <c r="A1377" s="28">
        <v>44723.0</v>
      </c>
      <c r="B1377" s="20" t="s">
        <v>345</v>
      </c>
      <c r="C1377" s="20">
        <v>180.0</v>
      </c>
      <c r="D1377" s="20" t="s">
        <v>76</v>
      </c>
      <c r="E1377" s="20" t="s">
        <v>428</v>
      </c>
      <c r="F1377" s="27"/>
    </row>
    <row r="1378">
      <c r="A1378" s="28">
        <v>44723.0</v>
      </c>
      <c r="B1378" s="20" t="s">
        <v>345</v>
      </c>
      <c r="C1378" s="20">
        <v>640.0</v>
      </c>
      <c r="D1378" s="20" t="s">
        <v>93</v>
      </c>
      <c r="E1378" s="20" t="s">
        <v>428</v>
      </c>
      <c r="F1378" s="27"/>
    </row>
    <row r="1379">
      <c r="A1379" s="28">
        <v>44723.0</v>
      </c>
      <c r="B1379" s="20" t="s">
        <v>345</v>
      </c>
      <c r="C1379" s="20">
        <v>322.0</v>
      </c>
      <c r="D1379" s="20" t="s">
        <v>210</v>
      </c>
      <c r="E1379" s="20" t="s">
        <v>428</v>
      </c>
      <c r="F1379" s="27"/>
    </row>
    <row r="1380">
      <c r="A1380" s="28">
        <v>44723.0</v>
      </c>
      <c r="B1380" s="20" t="s">
        <v>345</v>
      </c>
      <c r="C1380" s="20">
        <v>143.0</v>
      </c>
      <c r="D1380" s="20" t="s">
        <v>429</v>
      </c>
      <c r="E1380" s="20" t="s">
        <v>428</v>
      </c>
      <c r="F1380" s="27"/>
    </row>
    <row r="1381">
      <c r="A1381" s="28">
        <v>44723.0</v>
      </c>
      <c r="B1381" s="20" t="s">
        <v>345</v>
      </c>
      <c r="C1381" s="20">
        <v>281.0</v>
      </c>
      <c r="D1381" s="20" t="s">
        <v>430</v>
      </c>
      <c r="E1381" s="20" t="s">
        <v>428</v>
      </c>
      <c r="F1381" s="27"/>
    </row>
    <row r="1382">
      <c r="A1382" s="28">
        <v>44723.0</v>
      </c>
      <c r="B1382" s="20" t="s">
        <v>345</v>
      </c>
      <c r="C1382" s="20">
        <v>193.0</v>
      </c>
      <c r="D1382" s="20" t="s">
        <v>38</v>
      </c>
      <c r="E1382" s="20" t="s">
        <v>428</v>
      </c>
      <c r="F1382" s="27"/>
    </row>
    <row r="1383">
      <c r="A1383" s="28">
        <v>44723.0</v>
      </c>
      <c r="B1383" s="20" t="s">
        <v>345</v>
      </c>
      <c r="C1383" s="20">
        <v>297.0</v>
      </c>
      <c r="D1383" s="20" t="s">
        <v>431</v>
      </c>
      <c r="E1383" s="20" t="s">
        <v>177</v>
      </c>
      <c r="F1383" s="27"/>
    </row>
    <row r="1384">
      <c r="A1384" s="28">
        <v>44723.0</v>
      </c>
      <c r="B1384" s="20" t="s">
        <v>345</v>
      </c>
      <c r="C1384" s="20">
        <v>91.0</v>
      </c>
      <c r="D1384" s="20" t="s">
        <v>47</v>
      </c>
      <c r="E1384" s="20" t="s">
        <v>177</v>
      </c>
      <c r="F1384" s="27"/>
    </row>
    <row r="1385">
      <c r="A1385" s="26">
        <v>44724.51961482639</v>
      </c>
      <c r="B1385" s="20" t="s">
        <v>79</v>
      </c>
      <c r="C1385" s="20">
        <v>-54.0</v>
      </c>
      <c r="D1385" s="20" t="s">
        <v>419</v>
      </c>
      <c r="E1385" s="20" t="s">
        <v>101</v>
      </c>
      <c r="F1385" s="27"/>
    </row>
    <row r="1386">
      <c r="A1386" s="26">
        <v>44724.652630219905</v>
      </c>
      <c r="B1386" s="20" t="s">
        <v>411</v>
      </c>
      <c r="C1386" s="20">
        <v>210.0</v>
      </c>
      <c r="D1386" s="20" t="s">
        <v>432</v>
      </c>
      <c r="E1386" s="20" t="s">
        <v>143</v>
      </c>
      <c r="F1386" s="27"/>
    </row>
    <row r="1387">
      <c r="A1387" s="26">
        <v>44724.65365759259</v>
      </c>
      <c r="B1387" s="20" t="s">
        <v>411</v>
      </c>
      <c r="C1387" s="20">
        <v>340.0</v>
      </c>
      <c r="D1387" s="20" t="s">
        <v>432</v>
      </c>
      <c r="E1387" s="20" t="s">
        <v>65</v>
      </c>
      <c r="F1387" s="27"/>
    </row>
    <row r="1388">
      <c r="A1388" s="26">
        <v>44724.65512568287</v>
      </c>
      <c r="B1388" s="20" t="s">
        <v>411</v>
      </c>
      <c r="C1388" s="20">
        <v>317.0</v>
      </c>
      <c r="D1388" s="20" t="s">
        <v>432</v>
      </c>
      <c r="E1388" s="20" t="s">
        <v>65</v>
      </c>
      <c r="F1388" s="27"/>
    </row>
    <row r="1389">
      <c r="A1389" s="26">
        <v>44724.72598952547</v>
      </c>
      <c r="B1389" s="20" t="s">
        <v>63</v>
      </c>
      <c r="C1389" s="20">
        <v>9.0</v>
      </c>
      <c r="D1389" s="20" t="s">
        <v>64</v>
      </c>
      <c r="E1389" s="20" t="s">
        <v>63</v>
      </c>
      <c r="F1389" s="27"/>
    </row>
    <row r="1390">
      <c r="A1390" s="26">
        <v>44724.73961160879</v>
      </c>
      <c r="B1390" s="20" t="s">
        <v>411</v>
      </c>
      <c r="C1390" s="20">
        <v>19.0</v>
      </c>
      <c r="D1390" s="20" t="s">
        <v>64</v>
      </c>
      <c r="E1390" s="20" t="s">
        <v>63</v>
      </c>
      <c r="F1390" s="27"/>
    </row>
    <row r="1391">
      <c r="A1391" s="26">
        <v>44726.60345899306</v>
      </c>
      <c r="B1391" s="20" t="s">
        <v>345</v>
      </c>
      <c r="C1391" s="20">
        <v>361.0</v>
      </c>
      <c r="D1391" s="20" t="s">
        <v>64</v>
      </c>
      <c r="E1391" s="20" t="s">
        <v>433</v>
      </c>
      <c r="F1391" s="27"/>
    </row>
    <row r="1392">
      <c r="A1392" s="26">
        <v>44727.64672197917</v>
      </c>
      <c r="B1392" s="20" t="s">
        <v>49</v>
      </c>
      <c r="C1392" s="20">
        <v>501.0</v>
      </c>
      <c r="D1392" s="20" t="s">
        <v>87</v>
      </c>
      <c r="E1392" s="20" t="s">
        <v>46</v>
      </c>
      <c r="F1392" s="27"/>
    </row>
    <row r="1393">
      <c r="A1393" s="26">
        <v>44727.64697747685</v>
      </c>
      <c r="B1393" s="20" t="s">
        <v>49</v>
      </c>
      <c r="C1393" s="20">
        <v>333.0</v>
      </c>
      <c r="D1393" s="20" t="s">
        <v>36</v>
      </c>
      <c r="E1393" s="20" t="s">
        <v>46</v>
      </c>
      <c r="F1393" s="27"/>
    </row>
    <row r="1394">
      <c r="A1394" s="26">
        <v>44727.64803815972</v>
      </c>
      <c r="B1394" s="20" t="s">
        <v>49</v>
      </c>
      <c r="C1394" s="20">
        <v>482.0</v>
      </c>
      <c r="D1394" s="20" t="s">
        <v>434</v>
      </c>
      <c r="E1394" s="20" t="s">
        <v>46</v>
      </c>
      <c r="F1394" s="27"/>
    </row>
    <row r="1395">
      <c r="A1395" s="26">
        <v>44727.675982569446</v>
      </c>
      <c r="B1395" s="20" t="s">
        <v>406</v>
      </c>
      <c r="C1395" s="20">
        <v>46.0</v>
      </c>
      <c r="D1395" s="20" t="s">
        <v>417</v>
      </c>
      <c r="E1395" s="20" t="s">
        <v>435</v>
      </c>
      <c r="F1395" s="27"/>
    </row>
    <row r="1396">
      <c r="A1396" s="26">
        <v>44727.676746006946</v>
      </c>
      <c r="B1396" s="20" t="s">
        <v>406</v>
      </c>
      <c r="C1396" s="20">
        <v>50.0</v>
      </c>
      <c r="D1396" s="20" t="s">
        <v>436</v>
      </c>
      <c r="E1396" s="20" t="s">
        <v>401</v>
      </c>
      <c r="F1396" s="27"/>
    </row>
    <row r="1397">
      <c r="A1397" s="26">
        <v>44728.59750224537</v>
      </c>
      <c r="B1397" s="20" t="s">
        <v>63</v>
      </c>
      <c r="C1397" s="20">
        <v>97.0</v>
      </c>
      <c r="D1397" s="20" t="s">
        <v>64</v>
      </c>
      <c r="E1397" s="20" t="s">
        <v>63</v>
      </c>
      <c r="F1397" s="27"/>
    </row>
    <row r="1398">
      <c r="A1398" s="26">
        <v>44728.60459851852</v>
      </c>
      <c r="B1398" s="20" t="s">
        <v>49</v>
      </c>
      <c r="C1398" s="20">
        <v>422.0</v>
      </c>
      <c r="D1398" s="20" t="s">
        <v>40</v>
      </c>
      <c r="E1398" s="20" t="s">
        <v>343</v>
      </c>
      <c r="F1398" s="27"/>
    </row>
    <row r="1399">
      <c r="A1399" s="26">
        <v>44728.60494480324</v>
      </c>
      <c r="B1399" s="20" t="s">
        <v>49</v>
      </c>
      <c r="C1399" s="20">
        <v>46.0</v>
      </c>
      <c r="D1399" s="20" t="s">
        <v>38</v>
      </c>
      <c r="E1399" s="20" t="s">
        <v>214</v>
      </c>
      <c r="F1399" s="27"/>
    </row>
    <row r="1400">
      <c r="A1400" s="26">
        <v>44728.6054637037</v>
      </c>
      <c r="B1400" s="20" t="s">
        <v>49</v>
      </c>
      <c r="C1400" s="20">
        <v>289.0</v>
      </c>
      <c r="D1400" s="20" t="s">
        <v>47</v>
      </c>
      <c r="E1400" s="20" t="s">
        <v>343</v>
      </c>
      <c r="F1400" s="27"/>
    </row>
    <row r="1401">
      <c r="A1401" s="26">
        <v>44728.86472048611</v>
      </c>
      <c r="B1401" s="20" t="s">
        <v>437</v>
      </c>
      <c r="C1401" s="20">
        <v>655.0</v>
      </c>
      <c r="D1401" s="20" t="s">
        <v>93</v>
      </c>
      <c r="E1401" s="20" t="s">
        <v>46</v>
      </c>
      <c r="F1401" s="27"/>
    </row>
    <row r="1402">
      <c r="A1402" s="26">
        <v>44729.70023540509</v>
      </c>
      <c r="B1402" s="20" t="s">
        <v>233</v>
      </c>
      <c r="C1402" s="20">
        <v>61.0</v>
      </c>
      <c r="D1402" s="20" t="s">
        <v>64</v>
      </c>
      <c r="E1402" s="20" t="s">
        <v>234</v>
      </c>
      <c r="F1402" s="27"/>
    </row>
    <row r="1403">
      <c r="A1403" s="26">
        <v>44729.710116331014</v>
      </c>
      <c r="B1403" s="20" t="s">
        <v>49</v>
      </c>
      <c r="C1403" s="20">
        <v>150.0</v>
      </c>
      <c r="D1403" s="20" t="s">
        <v>47</v>
      </c>
      <c r="E1403" s="20" t="s">
        <v>96</v>
      </c>
      <c r="F1403" s="27"/>
    </row>
    <row r="1404">
      <c r="A1404" s="26">
        <v>44729.71040295139</v>
      </c>
      <c r="B1404" s="20" t="s">
        <v>49</v>
      </c>
      <c r="C1404" s="20">
        <v>449.0</v>
      </c>
      <c r="D1404" s="20" t="s">
        <v>64</v>
      </c>
      <c r="E1404" s="20" t="s">
        <v>96</v>
      </c>
      <c r="F1404" s="27"/>
    </row>
    <row r="1405">
      <c r="A1405" s="28">
        <v>44730.0</v>
      </c>
      <c r="B1405" s="20" t="s">
        <v>345</v>
      </c>
      <c r="C1405" s="20">
        <v>303.0</v>
      </c>
      <c r="D1405" s="20" t="s">
        <v>430</v>
      </c>
      <c r="E1405" s="20" t="s">
        <v>75</v>
      </c>
      <c r="F1405" s="27"/>
    </row>
    <row r="1406">
      <c r="A1406" s="28">
        <v>44730.0</v>
      </c>
      <c r="B1406" s="20" t="s">
        <v>345</v>
      </c>
      <c r="C1406" s="20">
        <v>1869.0</v>
      </c>
      <c r="D1406" s="20" t="s">
        <v>93</v>
      </c>
      <c r="E1406" s="20" t="s">
        <v>75</v>
      </c>
      <c r="F1406" s="27"/>
    </row>
    <row r="1407">
      <c r="A1407" s="28">
        <v>44730.0</v>
      </c>
      <c r="B1407" s="20" t="s">
        <v>345</v>
      </c>
      <c r="C1407" s="20">
        <v>210.0</v>
      </c>
      <c r="D1407" s="20" t="s">
        <v>430</v>
      </c>
      <c r="E1407" s="20" t="s">
        <v>75</v>
      </c>
      <c r="F1407" s="27"/>
    </row>
    <row r="1408">
      <c r="A1408" s="28">
        <v>44730.0</v>
      </c>
      <c r="B1408" s="20" t="s">
        <v>345</v>
      </c>
      <c r="C1408" s="20">
        <v>1120.0</v>
      </c>
      <c r="D1408" s="20" t="s">
        <v>93</v>
      </c>
      <c r="E1408" s="20" t="s">
        <v>75</v>
      </c>
      <c r="F1408" s="27"/>
    </row>
    <row r="1409">
      <c r="A1409" s="28">
        <v>44730.0</v>
      </c>
      <c r="B1409" s="20" t="s">
        <v>345</v>
      </c>
      <c r="C1409" s="20">
        <v>475.0</v>
      </c>
      <c r="D1409" s="20" t="s">
        <v>76</v>
      </c>
      <c r="E1409" s="20" t="s">
        <v>75</v>
      </c>
      <c r="F1409" s="27"/>
    </row>
    <row r="1410">
      <c r="A1410" s="28">
        <v>44730.0</v>
      </c>
      <c r="B1410" s="20" t="s">
        <v>345</v>
      </c>
      <c r="C1410" s="20">
        <v>492.0</v>
      </c>
      <c r="D1410" s="20" t="s">
        <v>320</v>
      </c>
      <c r="E1410" s="20" t="s">
        <v>75</v>
      </c>
      <c r="F1410" s="27"/>
    </row>
    <row r="1411">
      <c r="A1411" s="28">
        <v>44730.0</v>
      </c>
      <c r="B1411" s="20" t="s">
        <v>345</v>
      </c>
      <c r="C1411" s="20">
        <v>210.0</v>
      </c>
      <c r="D1411" s="20" t="s">
        <v>430</v>
      </c>
      <c r="E1411" s="20" t="s">
        <v>75</v>
      </c>
      <c r="F1411" s="27"/>
    </row>
    <row r="1412">
      <c r="A1412" s="28">
        <v>44730.0</v>
      </c>
      <c r="B1412" s="20" t="s">
        <v>345</v>
      </c>
      <c r="C1412" s="20">
        <v>122.0</v>
      </c>
      <c r="D1412" s="20" t="s">
        <v>407</v>
      </c>
      <c r="E1412" s="20" t="s">
        <v>75</v>
      </c>
      <c r="F1412" s="27"/>
    </row>
    <row r="1413">
      <c r="A1413" s="28">
        <v>44730.0</v>
      </c>
      <c r="B1413" s="20" t="s">
        <v>345</v>
      </c>
      <c r="C1413" s="20">
        <v>171.0</v>
      </c>
      <c r="D1413" s="20" t="s">
        <v>430</v>
      </c>
      <c r="E1413" s="20" t="s">
        <v>75</v>
      </c>
      <c r="F1413" s="27"/>
    </row>
    <row r="1414">
      <c r="A1414" s="28">
        <v>44730.0</v>
      </c>
      <c r="B1414" s="20" t="s">
        <v>345</v>
      </c>
      <c r="C1414" s="20">
        <v>634.0</v>
      </c>
      <c r="D1414" s="20" t="s">
        <v>438</v>
      </c>
      <c r="E1414" s="20" t="s">
        <v>75</v>
      </c>
      <c r="F1414" s="27"/>
    </row>
    <row r="1415">
      <c r="A1415" s="28">
        <v>44730.0</v>
      </c>
      <c r="B1415" s="20" t="s">
        <v>345</v>
      </c>
      <c r="C1415" s="20">
        <v>916.0</v>
      </c>
      <c r="D1415" s="20" t="s">
        <v>439</v>
      </c>
      <c r="E1415" s="20" t="s">
        <v>75</v>
      </c>
      <c r="F1415" s="27"/>
    </row>
    <row r="1416">
      <c r="A1416" s="28">
        <v>44730.0</v>
      </c>
      <c r="B1416" s="20" t="s">
        <v>345</v>
      </c>
      <c r="C1416" s="20">
        <v>716.0</v>
      </c>
      <c r="D1416" s="20" t="s">
        <v>294</v>
      </c>
      <c r="E1416" s="20" t="s">
        <v>75</v>
      </c>
      <c r="F1416" s="27"/>
    </row>
    <row r="1417">
      <c r="A1417" s="28">
        <v>44730.0</v>
      </c>
      <c r="B1417" s="20" t="s">
        <v>345</v>
      </c>
      <c r="C1417" s="20">
        <v>736.0</v>
      </c>
      <c r="D1417" s="20" t="s">
        <v>294</v>
      </c>
      <c r="E1417" s="20" t="s">
        <v>75</v>
      </c>
      <c r="F1417" s="27"/>
    </row>
    <row r="1418">
      <c r="A1418" s="28">
        <v>44730.0</v>
      </c>
      <c r="B1418" s="20" t="s">
        <v>345</v>
      </c>
      <c r="C1418" s="20">
        <v>206.0</v>
      </c>
      <c r="D1418" s="20" t="s">
        <v>440</v>
      </c>
      <c r="E1418" s="20" t="s">
        <v>75</v>
      </c>
      <c r="F1418" s="27"/>
    </row>
    <row r="1419">
      <c r="A1419" s="28">
        <v>44730.0</v>
      </c>
      <c r="B1419" s="20" t="s">
        <v>345</v>
      </c>
      <c r="C1419" s="20">
        <v>478.0</v>
      </c>
      <c r="D1419" s="20" t="s">
        <v>47</v>
      </c>
      <c r="E1419" s="20" t="s">
        <v>75</v>
      </c>
      <c r="F1419" s="27"/>
    </row>
    <row r="1420">
      <c r="A1420" s="28">
        <v>44730.0</v>
      </c>
      <c r="B1420" s="20" t="s">
        <v>345</v>
      </c>
      <c r="C1420" s="20">
        <v>586.0</v>
      </c>
      <c r="D1420" s="20" t="s">
        <v>441</v>
      </c>
      <c r="E1420" s="20" t="s">
        <v>75</v>
      </c>
      <c r="F1420" s="27"/>
    </row>
    <row r="1421">
      <c r="A1421" s="28">
        <v>44730.0</v>
      </c>
      <c r="B1421" s="20" t="s">
        <v>345</v>
      </c>
      <c r="C1421" s="20">
        <v>240.0</v>
      </c>
      <c r="D1421" s="20" t="s">
        <v>442</v>
      </c>
      <c r="E1421" s="20" t="s">
        <v>75</v>
      </c>
      <c r="F1421" s="27"/>
    </row>
    <row r="1422">
      <c r="A1422" s="28">
        <v>44730.0</v>
      </c>
      <c r="B1422" s="20" t="s">
        <v>345</v>
      </c>
      <c r="C1422" s="20">
        <v>285.0</v>
      </c>
      <c r="D1422" s="20" t="s">
        <v>47</v>
      </c>
      <c r="E1422" s="20" t="s">
        <v>75</v>
      </c>
      <c r="F1422" s="27"/>
    </row>
    <row r="1423">
      <c r="A1423" s="28">
        <v>44730.0</v>
      </c>
      <c r="B1423" s="20" t="s">
        <v>345</v>
      </c>
      <c r="C1423" s="20">
        <v>400.0</v>
      </c>
      <c r="D1423" s="20" t="s">
        <v>417</v>
      </c>
      <c r="E1423" s="20" t="s">
        <v>219</v>
      </c>
      <c r="F1423" s="27"/>
    </row>
    <row r="1424">
      <c r="A1424" s="28">
        <v>44730.0</v>
      </c>
      <c r="B1424" s="20" t="s">
        <v>345</v>
      </c>
      <c r="C1424" s="20">
        <v>-397.0</v>
      </c>
      <c r="D1424" s="20" t="s">
        <v>47</v>
      </c>
      <c r="E1424" s="20" t="s">
        <v>75</v>
      </c>
      <c r="F1424" s="27"/>
    </row>
    <row r="1425">
      <c r="A1425" s="28">
        <v>44730.0</v>
      </c>
      <c r="B1425" s="20" t="s">
        <v>345</v>
      </c>
      <c r="C1425" s="20">
        <v>-385.0</v>
      </c>
      <c r="D1425" s="20" t="s">
        <v>93</v>
      </c>
      <c r="E1425" s="20" t="s">
        <v>75</v>
      </c>
      <c r="F1425" s="27"/>
    </row>
    <row r="1426">
      <c r="A1426" s="28">
        <v>44730.0</v>
      </c>
      <c r="B1426" s="20" t="s">
        <v>345</v>
      </c>
      <c r="C1426" s="20">
        <v>-694.0</v>
      </c>
      <c r="D1426" s="20" t="s">
        <v>443</v>
      </c>
      <c r="E1426" s="20" t="s">
        <v>75</v>
      </c>
      <c r="F1426" s="27"/>
    </row>
    <row r="1427">
      <c r="A1427" s="28">
        <v>44730.0</v>
      </c>
      <c r="B1427" s="20" t="s">
        <v>345</v>
      </c>
      <c r="C1427" s="20">
        <v>-232.0</v>
      </c>
      <c r="D1427" s="20" t="s">
        <v>76</v>
      </c>
      <c r="E1427" s="20" t="s">
        <v>75</v>
      </c>
      <c r="F1427" s="27"/>
    </row>
    <row r="1428">
      <c r="A1428" s="28">
        <v>44730.0</v>
      </c>
      <c r="B1428" s="20" t="s">
        <v>345</v>
      </c>
      <c r="C1428" s="20">
        <v>-344.0</v>
      </c>
      <c r="D1428" s="20" t="s">
        <v>320</v>
      </c>
      <c r="E1428" s="20" t="s">
        <v>75</v>
      </c>
      <c r="F1428" s="27"/>
    </row>
    <row r="1429">
      <c r="A1429" s="28">
        <v>44730.0</v>
      </c>
      <c r="B1429" s="20" t="s">
        <v>345</v>
      </c>
      <c r="C1429" s="20">
        <v>-317.0</v>
      </c>
      <c r="D1429" s="20" t="s">
        <v>439</v>
      </c>
      <c r="E1429" s="20" t="s">
        <v>75</v>
      </c>
      <c r="F1429" s="27"/>
    </row>
    <row r="1430">
      <c r="A1430" s="28">
        <v>44730.0</v>
      </c>
      <c r="B1430" s="20" t="s">
        <v>345</v>
      </c>
      <c r="C1430" s="20">
        <v>-368.0</v>
      </c>
      <c r="D1430" s="20" t="s">
        <v>438</v>
      </c>
      <c r="E1430" s="20" t="s">
        <v>75</v>
      </c>
      <c r="F1430" s="27"/>
    </row>
    <row r="1431">
      <c r="A1431" s="28">
        <v>44730.0</v>
      </c>
      <c r="B1431" s="20" t="s">
        <v>345</v>
      </c>
      <c r="C1431" s="20">
        <v>-32.0</v>
      </c>
      <c r="D1431" s="20" t="s">
        <v>407</v>
      </c>
      <c r="E1431" s="20" t="s">
        <v>75</v>
      </c>
      <c r="F1431" s="27"/>
    </row>
    <row r="1432">
      <c r="A1432" s="28">
        <v>44730.0</v>
      </c>
      <c r="B1432" s="20" t="s">
        <v>345</v>
      </c>
      <c r="C1432" s="20">
        <v>-44.0</v>
      </c>
      <c r="D1432" s="20" t="s">
        <v>444</v>
      </c>
      <c r="E1432" s="20" t="s">
        <v>75</v>
      </c>
      <c r="F1432" s="27"/>
    </row>
    <row r="1433">
      <c r="A1433" s="26">
        <v>44731.671266087964</v>
      </c>
      <c r="B1433" s="20" t="s">
        <v>63</v>
      </c>
      <c r="C1433" s="20">
        <v>397.0</v>
      </c>
      <c r="D1433" s="20" t="s">
        <v>47</v>
      </c>
      <c r="E1433" s="20" t="s">
        <v>183</v>
      </c>
      <c r="F1433" s="27"/>
    </row>
    <row r="1434">
      <c r="A1434" s="26">
        <v>44731.671591087965</v>
      </c>
      <c r="B1434" s="20" t="s">
        <v>63</v>
      </c>
      <c r="C1434" s="20">
        <v>282.0</v>
      </c>
      <c r="D1434" s="20" t="s">
        <v>76</v>
      </c>
      <c r="E1434" s="20" t="s">
        <v>183</v>
      </c>
      <c r="F1434" s="27"/>
    </row>
    <row r="1435">
      <c r="A1435" s="26">
        <v>44731.67204954861</v>
      </c>
      <c r="B1435" s="20" t="s">
        <v>63</v>
      </c>
      <c r="C1435" s="20">
        <v>694.0</v>
      </c>
      <c r="D1435" s="20" t="s">
        <v>93</v>
      </c>
      <c r="E1435" s="20" t="s">
        <v>183</v>
      </c>
      <c r="F1435" s="27"/>
    </row>
    <row r="1436">
      <c r="A1436" s="26">
        <v>44731.67261256944</v>
      </c>
      <c r="B1436" s="20" t="s">
        <v>63</v>
      </c>
      <c r="C1436" s="20">
        <v>385.0</v>
      </c>
      <c r="D1436" s="20" t="s">
        <v>93</v>
      </c>
      <c r="E1436" s="20" t="s">
        <v>183</v>
      </c>
      <c r="F1436" s="27"/>
    </row>
    <row r="1437">
      <c r="A1437" s="26">
        <v>44731.675216400465</v>
      </c>
      <c r="B1437" s="20" t="s">
        <v>63</v>
      </c>
      <c r="C1437" s="20">
        <v>272.0</v>
      </c>
      <c r="D1437" s="20" t="s">
        <v>38</v>
      </c>
      <c r="E1437" s="20" t="s">
        <v>183</v>
      </c>
      <c r="F1437" s="27"/>
    </row>
    <row r="1438">
      <c r="A1438" s="26">
        <v>44731.67526650463</v>
      </c>
      <c r="B1438" s="20" t="s">
        <v>411</v>
      </c>
      <c r="C1438" s="20">
        <v>28.0</v>
      </c>
      <c r="D1438" s="20" t="s">
        <v>64</v>
      </c>
      <c r="E1438" s="20" t="s">
        <v>65</v>
      </c>
      <c r="F1438" s="27"/>
    </row>
    <row r="1439">
      <c r="A1439" s="26">
        <v>44731.67558603009</v>
      </c>
      <c r="B1439" s="20" t="s">
        <v>411</v>
      </c>
      <c r="C1439" s="20">
        <v>44.0</v>
      </c>
      <c r="D1439" s="20" t="s">
        <v>169</v>
      </c>
      <c r="E1439" s="20" t="s">
        <v>65</v>
      </c>
      <c r="F1439" s="27"/>
    </row>
    <row r="1440">
      <c r="A1440" s="26">
        <v>44731.675602557865</v>
      </c>
      <c r="B1440" s="20" t="s">
        <v>63</v>
      </c>
      <c r="C1440" s="20">
        <v>303.0</v>
      </c>
      <c r="D1440" s="20" t="s">
        <v>169</v>
      </c>
      <c r="E1440" s="20" t="s">
        <v>183</v>
      </c>
      <c r="F1440" s="27"/>
    </row>
    <row r="1441">
      <c r="A1441" s="26">
        <v>44731.67590969907</v>
      </c>
      <c r="B1441" s="20" t="s">
        <v>63</v>
      </c>
      <c r="C1441" s="20">
        <v>29.0</v>
      </c>
      <c r="D1441" s="20" t="s">
        <v>64</v>
      </c>
      <c r="E1441" s="20" t="s">
        <v>183</v>
      </c>
      <c r="F1441" s="27"/>
    </row>
    <row r="1442">
      <c r="A1442" s="26">
        <v>44731.67591387732</v>
      </c>
      <c r="B1442" s="20" t="s">
        <v>411</v>
      </c>
      <c r="C1442" s="20">
        <v>10.0</v>
      </c>
      <c r="D1442" s="20" t="s">
        <v>445</v>
      </c>
      <c r="E1442" s="20" t="s">
        <v>65</v>
      </c>
      <c r="F1442" s="27"/>
    </row>
    <row r="1443">
      <c r="A1443" s="26">
        <v>44731.67632107639</v>
      </c>
      <c r="B1443" s="20" t="s">
        <v>411</v>
      </c>
      <c r="C1443" s="20">
        <v>40.0</v>
      </c>
      <c r="D1443" s="20" t="s">
        <v>446</v>
      </c>
      <c r="E1443" s="20" t="s">
        <v>65</v>
      </c>
      <c r="F1443" s="27"/>
    </row>
    <row r="1444">
      <c r="A1444" s="26">
        <v>44731.676472824074</v>
      </c>
      <c r="B1444" s="20" t="s">
        <v>63</v>
      </c>
      <c r="C1444" s="20">
        <v>176.0</v>
      </c>
      <c r="D1444" s="20" t="s">
        <v>64</v>
      </c>
      <c r="E1444" s="20" t="s">
        <v>50</v>
      </c>
      <c r="F1444" s="27"/>
    </row>
    <row r="1445">
      <c r="A1445" s="26">
        <v>44731.67680767361</v>
      </c>
      <c r="B1445" s="20" t="s">
        <v>411</v>
      </c>
      <c r="C1445" s="20">
        <v>151.0</v>
      </c>
      <c r="D1445" s="20" t="s">
        <v>447</v>
      </c>
      <c r="E1445" s="20" t="s">
        <v>65</v>
      </c>
      <c r="F1445" s="27"/>
    </row>
    <row r="1446">
      <c r="A1446" s="26">
        <v>44731.704375092595</v>
      </c>
      <c r="B1446" s="20" t="s">
        <v>63</v>
      </c>
      <c r="C1446" s="20">
        <v>8.0</v>
      </c>
      <c r="D1446" s="20" t="s">
        <v>64</v>
      </c>
      <c r="E1446" s="20" t="s">
        <v>63</v>
      </c>
      <c r="F1446" s="27"/>
    </row>
    <row r="1447">
      <c r="A1447" s="26">
        <v>44734.70606644676</v>
      </c>
      <c r="B1447" s="20" t="s">
        <v>214</v>
      </c>
      <c r="C1447" s="20">
        <v>17.0</v>
      </c>
      <c r="D1447" s="20" t="s">
        <v>448</v>
      </c>
      <c r="E1447" s="20" t="s">
        <v>214</v>
      </c>
      <c r="F1447" s="20" t="s">
        <v>449</v>
      </c>
    </row>
    <row r="1448">
      <c r="A1448" s="28">
        <v>44734.0</v>
      </c>
      <c r="B1448" s="20" t="s">
        <v>345</v>
      </c>
      <c r="C1448" s="20">
        <v>1726.0</v>
      </c>
      <c r="D1448" s="20" t="s">
        <v>53</v>
      </c>
      <c r="E1448" s="20" t="s">
        <v>401</v>
      </c>
      <c r="F1448" s="20" t="s">
        <v>449</v>
      </c>
    </row>
    <row r="1449">
      <c r="A1449" s="28">
        <v>44734.0</v>
      </c>
      <c r="B1449" s="20" t="s">
        <v>345</v>
      </c>
      <c r="C1449" s="20">
        <v>72.0</v>
      </c>
      <c r="D1449" s="20" t="s">
        <v>95</v>
      </c>
      <c r="E1449" s="20" t="s">
        <v>401</v>
      </c>
      <c r="F1449" s="20" t="s">
        <v>449</v>
      </c>
    </row>
    <row r="1450">
      <c r="A1450" s="28">
        <v>44734.0</v>
      </c>
      <c r="B1450" s="20" t="s">
        <v>345</v>
      </c>
      <c r="C1450" s="20">
        <v>831.0</v>
      </c>
      <c r="D1450" s="20" t="s">
        <v>47</v>
      </c>
      <c r="E1450" s="20" t="s">
        <v>401</v>
      </c>
      <c r="F1450" s="20" t="s">
        <v>449</v>
      </c>
    </row>
    <row r="1451">
      <c r="A1451" s="28">
        <v>44734.0</v>
      </c>
      <c r="B1451" s="20" t="s">
        <v>345</v>
      </c>
      <c r="C1451" s="20">
        <v>613.0</v>
      </c>
      <c r="D1451" s="20" t="s">
        <v>47</v>
      </c>
      <c r="E1451" s="20" t="s">
        <v>401</v>
      </c>
      <c r="F1451" s="20" t="s">
        <v>449</v>
      </c>
    </row>
    <row r="1452">
      <c r="A1452" s="28">
        <v>44734.0</v>
      </c>
      <c r="B1452" s="20" t="s">
        <v>345</v>
      </c>
      <c r="C1452" s="20">
        <v>168.0</v>
      </c>
      <c r="D1452" s="20" t="s">
        <v>40</v>
      </c>
      <c r="E1452" s="20" t="s">
        <v>401</v>
      </c>
      <c r="F1452" s="20" t="s">
        <v>449</v>
      </c>
    </row>
    <row r="1453">
      <c r="A1453" s="26">
        <v>44735.84302475695</v>
      </c>
      <c r="B1453" s="20" t="s">
        <v>345</v>
      </c>
      <c r="C1453" s="20">
        <v>159.0</v>
      </c>
      <c r="D1453" s="20" t="s">
        <v>40</v>
      </c>
      <c r="E1453" s="20" t="s">
        <v>328</v>
      </c>
      <c r="F1453" s="20" t="s">
        <v>449</v>
      </c>
    </row>
    <row r="1454">
      <c r="A1454" s="26">
        <v>44735.843502916665</v>
      </c>
      <c r="B1454" s="20" t="s">
        <v>345</v>
      </c>
      <c r="C1454" s="20">
        <v>154.0</v>
      </c>
      <c r="D1454" s="20" t="s">
        <v>40</v>
      </c>
      <c r="E1454" s="20" t="s">
        <v>216</v>
      </c>
      <c r="F1454" s="20" t="s">
        <v>449</v>
      </c>
    </row>
    <row r="1455">
      <c r="A1455" s="26">
        <v>44735.84387696759</v>
      </c>
      <c r="B1455" s="20" t="s">
        <v>345</v>
      </c>
      <c r="C1455" s="20">
        <v>308.0</v>
      </c>
      <c r="D1455" s="20" t="s">
        <v>93</v>
      </c>
      <c r="E1455" s="20" t="s">
        <v>216</v>
      </c>
      <c r="F1455" s="20" t="s">
        <v>449</v>
      </c>
    </row>
    <row r="1456">
      <c r="A1456" s="26">
        <v>44735.84422481481</v>
      </c>
      <c r="B1456" s="20" t="s">
        <v>345</v>
      </c>
      <c r="C1456" s="20">
        <v>1155.0</v>
      </c>
      <c r="D1456" s="20" t="s">
        <v>47</v>
      </c>
      <c r="E1456" s="20" t="s">
        <v>216</v>
      </c>
      <c r="F1456" s="20" t="s">
        <v>449</v>
      </c>
    </row>
    <row r="1457">
      <c r="A1457" s="26">
        <v>44735.844484490735</v>
      </c>
      <c r="B1457" s="20" t="s">
        <v>345</v>
      </c>
      <c r="C1457" s="20">
        <v>345.0</v>
      </c>
      <c r="D1457" s="20" t="s">
        <v>47</v>
      </c>
      <c r="E1457" s="20" t="s">
        <v>328</v>
      </c>
      <c r="F1457" s="20" t="s">
        <v>449</v>
      </c>
    </row>
    <row r="1458">
      <c r="A1458" s="26">
        <v>44736.65685533565</v>
      </c>
      <c r="B1458" s="20" t="s">
        <v>345</v>
      </c>
      <c r="C1458" s="20">
        <v>1139.0</v>
      </c>
      <c r="D1458" s="20" t="s">
        <v>93</v>
      </c>
      <c r="E1458" s="20" t="s">
        <v>96</v>
      </c>
      <c r="F1458" s="20" t="s">
        <v>449</v>
      </c>
    </row>
    <row r="1459">
      <c r="A1459" s="26">
        <v>44736.657337743054</v>
      </c>
      <c r="B1459" s="20" t="s">
        <v>345</v>
      </c>
      <c r="C1459" s="20">
        <v>740.0</v>
      </c>
      <c r="D1459" s="20" t="s">
        <v>47</v>
      </c>
      <c r="E1459" s="20" t="s">
        <v>96</v>
      </c>
      <c r="F1459" s="20" t="s">
        <v>450</v>
      </c>
    </row>
    <row r="1460">
      <c r="A1460" s="26">
        <v>44736.65769037037</v>
      </c>
      <c r="B1460" s="20" t="s">
        <v>345</v>
      </c>
      <c r="C1460" s="20">
        <v>1305.0</v>
      </c>
      <c r="D1460" s="20" t="s">
        <v>47</v>
      </c>
      <c r="E1460" s="20" t="s">
        <v>96</v>
      </c>
      <c r="F1460" s="20" t="s">
        <v>450</v>
      </c>
    </row>
    <row r="1461">
      <c r="A1461" s="26">
        <v>44736.65807942129</v>
      </c>
      <c r="B1461" s="20" t="s">
        <v>345</v>
      </c>
      <c r="C1461" s="20">
        <v>31.0</v>
      </c>
      <c r="D1461" s="20" t="s">
        <v>76</v>
      </c>
      <c r="E1461" s="20" t="s">
        <v>96</v>
      </c>
      <c r="F1461" s="20" t="s">
        <v>451</v>
      </c>
    </row>
    <row r="1462">
      <c r="A1462" s="26">
        <v>44736.72199289352</v>
      </c>
      <c r="B1462" s="20" t="s">
        <v>233</v>
      </c>
      <c r="C1462" s="20">
        <v>89.0</v>
      </c>
      <c r="D1462" s="20" t="s">
        <v>40</v>
      </c>
      <c r="E1462" s="20" t="s">
        <v>234</v>
      </c>
      <c r="F1462" s="20" t="s">
        <v>452</v>
      </c>
    </row>
    <row r="1463">
      <c r="A1463" s="26">
        <v>44737.5461808449</v>
      </c>
      <c r="B1463" s="20" t="s">
        <v>92</v>
      </c>
      <c r="C1463" s="20">
        <v>199.0</v>
      </c>
      <c r="D1463" s="20" t="s">
        <v>388</v>
      </c>
      <c r="E1463" s="20" t="s">
        <v>75</v>
      </c>
      <c r="F1463" s="20" t="s">
        <v>453</v>
      </c>
    </row>
    <row r="1464">
      <c r="A1464" s="26">
        <v>44737.546720729166</v>
      </c>
      <c r="B1464" s="20" t="s">
        <v>92</v>
      </c>
      <c r="C1464" s="20">
        <v>181.0</v>
      </c>
      <c r="D1464" s="20" t="s">
        <v>388</v>
      </c>
      <c r="E1464" s="20" t="s">
        <v>75</v>
      </c>
      <c r="F1464" s="20" t="s">
        <v>454</v>
      </c>
    </row>
    <row r="1465">
      <c r="A1465" s="26">
        <v>44737.54714565972</v>
      </c>
      <c r="B1465" s="20" t="s">
        <v>92</v>
      </c>
      <c r="C1465" s="20">
        <v>372.0</v>
      </c>
      <c r="D1465" s="20" t="s">
        <v>80</v>
      </c>
      <c r="E1465" s="20" t="s">
        <v>75</v>
      </c>
      <c r="F1465" s="20" t="s">
        <v>455</v>
      </c>
    </row>
    <row r="1466">
      <c r="A1466" s="26">
        <v>44737.54752760417</v>
      </c>
      <c r="B1466" s="20" t="s">
        <v>92</v>
      </c>
      <c r="C1466" s="20">
        <v>596.0</v>
      </c>
      <c r="D1466" s="20" t="s">
        <v>80</v>
      </c>
      <c r="E1466" s="20" t="s">
        <v>75</v>
      </c>
      <c r="F1466" s="20" t="s">
        <v>456</v>
      </c>
    </row>
    <row r="1467">
      <c r="A1467" s="26">
        <v>44737.54813292824</v>
      </c>
      <c r="B1467" s="20" t="s">
        <v>92</v>
      </c>
      <c r="C1467" s="20">
        <v>1305.0</v>
      </c>
      <c r="D1467" s="20" t="s">
        <v>457</v>
      </c>
      <c r="E1467" s="20" t="s">
        <v>75</v>
      </c>
      <c r="F1467" s="20" t="s">
        <v>458</v>
      </c>
    </row>
    <row r="1468">
      <c r="A1468" s="26">
        <v>44737.548378356485</v>
      </c>
      <c r="B1468" s="20" t="s">
        <v>92</v>
      </c>
      <c r="C1468" s="20">
        <v>580.0</v>
      </c>
      <c r="D1468" s="20" t="s">
        <v>76</v>
      </c>
      <c r="E1468" s="20" t="s">
        <v>75</v>
      </c>
      <c r="F1468" s="20" t="s">
        <v>458</v>
      </c>
    </row>
    <row r="1469">
      <c r="A1469" s="26">
        <v>44737.54860011574</v>
      </c>
      <c r="B1469" s="20" t="s">
        <v>92</v>
      </c>
      <c r="C1469" s="20">
        <v>296.0</v>
      </c>
      <c r="D1469" s="20" t="s">
        <v>76</v>
      </c>
      <c r="E1469" s="20" t="s">
        <v>75</v>
      </c>
      <c r="F1469" s="20" t="s">
        <v>459</v>
      </c>
    </row>
    <row r="1470">
      <c r="A1470" s="26">
        <v>44737.549061122685</v>
      </c>
      <c r="B1470" s="20" t="s">
        <v>92</v>
      </c>
      <c r="C1470" s="20">
        <v>1485.0</v>
      </c>
      <c r="D1470" s="20" t="s">
        <v>93</v>
      </c>
      <c r="E1470" s="20" t="s">
        <v>75</v>
      </c>
      <c r="F1470" s="20" t="s">
        <v>455</v>
      </c>
    </row>
    <row r="1471">
      <c r="A1471" s="26">
        <v>44737.54990837963</v>
      </c>
      <c r="B1471" s="20" t="s">
        <v>92</v>
      </c>
      <c r="C1471" s="20">
        <v>1728.0</v>
      </c>
      <c r="D1471" s="20" t="s">
        <v>93</v>
      </c>
      <c r="E1471" s="20" t="s">
        <v>75</v>
      </c>
      <c r="F1471" s="20" t="s">
        <v>455</v>
      </c>
    </row>
    <row r="1472">
      <c r="A1472" s="26">
        <v>44737.550238807875</v>
      </c>
      <c r="B1472" s="20" t="s">
        <v>92</v>
      </c>
      <c r="C1472" s="20">
        <v>1224.0</v>
      </c>
      <c r="D1472" s="20" t="s">
        <v>294</v>
      </c>
      <c r="E1472" s="20" t="s">
        <v>75</v>
      </c>
      <c r="F1472" s="20" t="s">
        <v>460</v>
      </c>
    </row>
    <row r="1473">
      <c r="A1473" s="26">
        <v>44737.55061708333</v>
      </c>
      <c r="B1473" s="20" t="s">
        <v>92</v>
      </c>
      <c r="C1473" s="20">
        <v>244.0</v>
      </c>
      <c r="D1473" s="20" t="s">
        <v>388</v>
      </c>
      <c r="E1473" s="20" t="s">
        <v>75</v>
      </c>
      <c r="F1473" s="20" t="s">
        <v>461</v>
      </c>
    </row>
    <row r="1474">
      <c r="A1474" s="26">
        <v>44737.55086994213</v>
      </c>
      <c r="B1474" s="20" t="s">
        <v>92</v>
      </c>
      <c r="C1474" s="20">
        <v>900.0</v>
      </c>
      <c r="D1474" s="20" t="s">
        <v>80</v>
      </c>
      <c r="E1474" s="20" t="s">
        <v>75</v>
      </c>
      <c r="F1474" s="20" t="s">
        <v>462</v>
      </c>
    </row>
    <row r="1475">
      <c r="A1475" s="26">
        <v>44737.55718783565</v>
      </c>
      <c r="B1475" s="20" t="s">
        <v>91</v>
      </c>
      <c r="C1475" s="20">
        <v>788.0</v>
      </c>
      <c r="D1475" s="20" t="s">
        <v>47</v>
      </c>
      <c r="E1475" s="20" t="s">
        <v>75</v>
      </c>
      <c r="F1475" s="20" t="s">
        <v>455</v>
      </c>
    </row>
    <row r="1476">
      <c r="A1476" s="26">
        <v>44737.55743832176</v>
      </c>
      <c r="B1476" s="20" t="s">
        <v>91</v>
      </c>
      <c r="C1476" s="20">
        <v>832.0</v>
      </c>
      <c r="D1476" s="20" t="s">
        <v>47</v>
      </c>
      <c r="E1476" s="20" t="s">
        <v>75</v>
      </c>
      <c r="F1476" s="20" t="s">
        <v>455</v>
      </c>
    </row>
    <row r="1477">
      <c r="A1477" s="26">
        <v>44737.558014282404</v>
      </c>
      <c r="B1477" s="20" t="s">
        <v>91</v>
      </c>
      <c r="C1477" s="20">
        <v>470.0</v>
      </c>
      <c r="D1477" s="20" t="s">
        <v>47</v>
      </c>
      <c r="E1477" s="20" t="s">
        <v>75</v>
      </c>
      <c r="F1477" s="20" t="s">
        <v>455</v>
      </c>
    </row>
    <row r="1478">
      <c r="A1478" s="26">
        <v>44737.55876443287</v>
      </c>
      <c r="B1478" s="20" t="s">
        <v>91</v>
      </c>
      <c r="C1478" s="20">
        <v>389.0</v>
      </c>
      <c r="D1478" s="20" t="s">
        <v>40</v>
      </c>
      <c r="E1478" s="20" t="s">
        <v>75</v>
      </c>
      <c r="F1478" s="20" t="s">
        <v>455</v>
      </c>
    </row>
    <row r="1479">
      <c r="A1479" s="26">
        <v>44737.559926828704</v>
      </c>
      <c r="B1479" s="20" t="s">
        <v>91</v>
      </c>
      <c r="C1479" s="20">
        <v>398.0</v>
      </c>
      <c r="D1479" s="20" t="s">
        <v>40</v>
      </c>
      <c r="E1479" s="20" t="s">
        <v>75</v>
      </c>
      <c r="F1479" s="20" t="s">
        <v>455</v>
      </c>
    </row>
    <row r="1480">
      <c r="A1480" s="26">
        <v>44737.69432971065</v>
      </c>
      <c r="B1480" s="20" t="s">
        <v>345</v>
      </c>
      <c r="C1480" s="20">
        <v>48.0</v>
      </c>
      <c r="D1480" s="20" t="s">
        <v>38</v>
      </c>
      <c r="E1480" s="20" t="s">
        <v>75</v>
      </c>
      <c r="F1480" s="20" t="s">
        <v>449</v>
      </c>
    </row>
    <row r="1481">
      <c r="A1481" s="26">
        <v>44737.69459554398</v>
      </c>
      <c r="B1481" s="20" t="s">
        <v>345</v>
      </c>
      <c r="C1481" s="20">
        <v>-323.0</v>
      </c>
      <c r="D1481" s="20" t="s">
        <v>47</v>
      </c>
      <c r="E1481" s="20" t="s">
        <v>75</v>
      </c>
      <c r="F1481" s="20" t="s">
        <v>449</v>
      </c>
    </row>
    <row r="1482">
      <c r="A1482" s="26">
        <v>44737.694915775464</v>
      </c>
      <c r="B1482" s="20" t="s">
        <v>345</v>
      </c>
      <c r="C1482" s="20">
        <v>254.0</v>
      </c>
      <c r="D1482" s="20" t="s">
        <v>38</v>
      </c>
      <c r="E1482" s="20" t="s">
        <v>75</v>
      </c>
      <c r="F1482" s="20" t="s">
        <v>449</v>
      </c>
    </row>
    <row r="1483">
      <c r="A1483" s="28">
        <v>44737.0</v>
      </c>
      <c r="B1483" s="20" t="s">
        <v>345</v>
      </c>
      <c r="C1483" s="20">
        <v>-227.0</v>
      </c>
      <c r="D1483" s="20" t="s">
        <v>76</v>
      </c>
      <c r="E1483" s="20" t="s">
        <v>75</v>
      </c>
      <c r="F1483" s="20"/>
    </row>
    <row r="1484">
      <c r="A1484" s="28">
        <v>44737.0</v>
      </c>
      <c r="B1484" s="20" t="s">
        <v>345</v>
      </c>
      <c r="C1484" s="20">
        <v>-262.0</v>
      </c>
      <c r="D1484" s="20" t="s">
        <v>76</v>
      </c>
      <c r="E1484" s="20" t="s">
        <v>75</v>
      </c>
      <c r="F1484" s="20"/>
    </row>
    <row r="1485">
      <c r="A1485" s="28">
        <v>44737.0</v>
      </c>
      <c r="B1485" s="20" t="s">
        <v>345</v>
      </c>
      <c r="C1485" s="20">
        <v>-446.0</v>
      </c>
      <c r="D1485" s="20" t="s">
        <v>294</v>
      </c>
      <c r="E1485" s="20" t="s">
        <v>75</v>
      </c>
      <c r="F1485" s="20"/>
    </row>
    <row r="1486">
      <c r="A1486" s="28">
        <v>44737.0</v>
      </c>
      <c r="B1486" s="20" t="s">
        <v>345</v>
      </c>
      <c r="C1486" s="20">
        <v>-1278.0</v>
      </c>
      <c r="D1486" s="20" t="s">
        <v>93</v>
      </c>
      <c r="E1486" s="20" t="s">
        <v>75</v>
      </c>
      <c r="F1486" s="20"/>
    </row>
    <row r="1487">
      <c r="A1487" s="28">
        <v>44737.0</v>
      </c>
      <c r="B1487" s="20" t="s">
        <v>345</v>
      </c>
      <c r="C1487" s="20">
        <v>-428.0</v>
      </c>
      <c r="D1487" s="20" t="s">
        <v>463</v>
      </c>
      <c r="E1487" s="20" t="s">
        <v>75</v>
      </c>
      <c r="F1487" s="20"/>
    </row>
    <row r="1488">
      <c r="A1488" s="28">
        <v>44737.0</v>
      </c>
      <c r="B1488" s="20" t="s">
        <v>345</v>
      </c>
      <c r="C1488" s="20">
        <v>-251.0</v>
      </c>
      <c r="D1488" s="20" t="s">
        <v>404</v>
      </c>
      <c r="E1488" s="20" t="s">
        <v>75</v>
      </c>
      <c r="F1488" s="20"/>
    </row>
    <row r="1489">
      <c r="A1489" s="26">
        <v>44738.63691555556</v>
      </c>
      <c r="B1489" s="20" t="s">
        <v>193</v>
      </c>
      <c r="C1489" s="20">
        <v>42.0</v>
      </c>
      <c r="D1489" s="20" t="s">
        <v>40</v>
      </c>
      <c r="E1489" s="20" t="s">
        <v>65</v>
      </c>
      <c r="F1489" s="20" t="s">
        <v>464</v>
      </c>
    </row>
    <row r="1490">
      <c r="A1490" s="26">
        <v>44738.6382534375</v>
      </c>
      <c r="B1490" s="20" t="s">
        <v>193</v>
      </c>
      <c r="C1490" s="20">
        <v>37.0</v>
      </c>
      <c r="D1490" s="20" t="s">
        <v>40</v>
      </c>
      <c r="E1490" s="20" t="s">
        <v>65</v>
      </c>
      <c r="F1490" s="20" t="s">
        <v>464</v>
      </c>
    </row>
    <row r="1491">
      <c r="A1491" s="26">
        <v>44738.7195859375</v>
      </c>
      <c r="B1491" s="20" t="s">
        <v>49</v>
      </c>
      <c r="C1491" s="20">
        <v>227.0</v>
      </c>
      <c r="D1491" s="20" t="s">
        <v>76</v>
      </c>
      <c r="E1491" s="20" t="s">
        <v>81</v>
      </c>
      <c r="F1491" s="20" t="s">
        <v>455</v>
      </c>
    </row>
    <row r="1492">
      <c r="A1492" s="26">
        <v>44738.71993225694</v>
      </c>
      <c r="B1492" s="20" t="s">
        <v>49</v>
      </c>
      <c r="C1492" s="20">
        <v>323.0</v>
      </c>
      <c r="D1492" s="20" t="s">
        <v>47</v>
      </c>
      <c r="E1492" s="20" t="s">
        <v>81</v>
      </c>
      <c r="F1492" s="20" t="s">
        <v>455</v>
      </c>
    </row>
    <row r="1493">
      <c r="A1493" s="26">
        <v>44738.72035094908</v>
      </c>
      <c r="B1493" s="20" t="s">
        <v>49</v>
      </c>
      <c r="C1493" s="20">
        <v>120.0</v>
      </c>
      <c r="D1493" s="20" t="s">
        <v>47</v>
      </c>
      <c r="E1493" s="20" t="s">
        <v>81</v>
      </c>
      <c r="F1493" s="20" t="s">
        <v>455</v>
      </c>
    </row>
    <row r="1494">
      <c r="A1494" s="26">
        <v>44738.72081878472</v>
      </c>
      <c r="B1494" s="20" t="s">
        <v>49</v>
      </c>
      <c r="C1494" s="20">
        <v>444.0</v>
      </c>
      <c r="D1494" s="20" t="s">
        <v>97</v>
      </c>
      <c r="E1494" s="20" t="s">
        <v>81</v>
      </c>
      <c r="F1494" s="20" t="s">
        <v>455</v>
      </c>
    </row>
    <row r="1495">
      <c r="A1495" s="26">
        <v>44738.72122546296</v>
      </c>
      <c r="B1495" s="20" t="s">
        <v>49</v>
      </c>
      <c r="C1495" s="20">
        <v>439.0</v>
      </c>
      <c r="D1495" s="20" t="s">
        <v>64</v>
      </c>
      <c r="E1495" s="20" t="s">
        <v>81</v>
      </c>
      <c r="F1495" s="20" t="s">
        <v>455</v>
      </c>
    </row>
    <row r="1496">
      <c r="A1496" s="26">
        <v>44738.7217103125</v>
      </c>
      <c r="B1496" s="20" t="s">
        <v>49</v>
      </c>
      <c r="C1496" s="20">
        <v>262.0</v>
      </c>
      <c r="D1496" s="20" t="s">
        <v>76</v>
      </c>
      <c r="E1496" s="20" t="s">
        <v>81</v>
      </c>
      <c r="F1496" s="20" t="s">
        <v>455</v>
      </c>
    </row>
    <row r="1497">
      <c r="A1497" s="26">
        <v>44738.72445166667</v>
      </c>
      <c r="B1497" s="20" t="s">
        <v>411</v>
      </c>
      <c r="C1497" s="20">
        <v>86.0</v>
      </c>
      <c r="D1497" s="20" t="s">
        <v>40</v>
      </c>
      <c r="E1497" s="20" t="s">
        <v>65</v>
      </c>
      <c r="F1497" s="20" t="s">
        <v>455</v>
      </c>
    </row>
    <row r="1498">
      <c r="A1498" s="26">
        <v>44738.725017951394</v>
      </c>
      <c r="B1498" s="20" t="s">
        <v>411</v>
      </c>
      <c r="C1498" s="20">
        <v>163.0</v>
      </c>
      <c r="D1498" s="20" t="s">
        <v>465</v>
      </c>
      <c r="E1498" s="20" t="s">
        <v>65</v>
      </c>
      <c r="F1498" s="20" t="s">
        <v>455</v>
      </c>
    </row>
    <row r="1499">
      <c r="A1499" s="26">
        <v>44738.725258425926</v>
      </c>
      <c r="B1499" s="20" t="s">
        <v>63</v>
      </c>
      <c r="C1499" s="20">
        <v>527.0</v>
      </c>
      <c r="D1499" s="20" t="s">
        <v>40</v>
      </c>
      <c r="E1499" s="20" t="s">
        <v>183</v>
      </c>
      <c r="F1499" s="20" t="s">
        <v>449</v>
      </c>
    </row>
    <row r="1500">
      <c r="A1500" s="26">
        <v>44738.72567846064</v>
      </c>
      <c r="B1500" s="20" t="s">
        <v>411</v>
      </c>
      <c r="C1500" s="20">
        <v>494.0</v>
      </c>
      <c r="D1500" s="20" t="s">
        <v>40</v>
      </c>
      <c r="E1500" s="20" t="s">
        <v>65</v>
      </c>
      <c r="F1500" s="20" t="s">
        <v>455</v>
      </c>
    </row>
    <row r="1501">
      <c r="A1501" s="26">
        <v>44738.725813854166</v>
      </c>
      <c r="B1501" s="20" t="s">
        <v>63</v>
      </c>
      <c r="C1501" s="20">
        <v>216.0</v>
      </c>
      <c r="D1501" s="20" t="s">
        <v>40</v>
      </c>
      <c r="E1501" s="20" t="s">
        <v>50</v>
      </c>
      <c r="F1501" s="20" t="s">
        <v>449</v>
      </c>
    </row>
    <row r="1502">
      <c r="A1502" s="26">
        <v>44738.73109068287</v>
      </c>
      <c r="B1502" s="20" t="s">
        <v>63</v>
      </c>
      <c r="C1502" s="20">
        <v>13.0</v>
      </c>
      <c r="D1502" s="20" t="s">
        <v>64</v>
      </c>
      <c r="E1502" s="20" t="s">
        <v>63</v>
      </c>
      <c r="F1502" s="20" t="s">
        <v>449</v>
      </c>
    </row>
    <row r="1503">
      <c r="A1503" s="26">
        <v>44741.64284515046</v>
      </c>
      <c r="B1503" s="20" t="s">
        <v>177</v>
      </c>
      <c r="C1503" s="20">
        <v>276.0</v>
      </c>
      <c r="D1503" s="20" t="s">
        <v>47</v>
      </c>
      <c r="E1503" s="20" t="s">
        <v>401</v>
      </c>
      <c r="F1503" s="20" t="s">
        <v>455</v>
      </c>
    </row>
    <row r="1504">
      <c r="A1504" s="26">
        <v>44741.644681377315</v>
      </c>
      <c r="B1504" s="20" t="s">
        <v>236</v>
      </c>
      <c r="C1504" s="20">
        <v>1042.0</v>
      </c>
      <c r="D1504" s="20" t="s">
        <v>47</v>
      </c>
      <c r="E1504" s="20" t="s">
        <v>37</v>
      </c>
      <c r="F1504" s="20" t="s">
        <v>449</v>
      </c>
    </row>
    <row r="1505">
      <c r="A1505" s="26">
        <v>44741.64527366898</v>
      </c>
      <c r="B1505" s="20" t="s">
        <v>236</v>
      </c>
      <c r="C1505" s="20">
        <v>790.0</v>
      </c>
      <c r="D1505" s="20" t="s">
        <v>47</v>
      </c>
      <c r="E1505" s="20" t="s">
        <v>37</v>
      </c>
      <c r="F1505" s="20" t="s">
        <v>449</v>
      </c>
    </row>
    <row r="1506">
      <c r="A1506" s="26">
        <v>44741.67075453704</v>
      </c>
      <c r="B1506" s="20" t="s">
        <v>177</v>
      </c>
      <c r="C1506" s="20">
        <v>750.0</v>
      </c>
      <c r="D1506" s="20" t="s">
        <v>47</v>
      </c>
      <c r="E1506" s="20" t="s">
        <v>401</v>
      </c>
      <c r="F1506" s="20" t="s">
        <v>449</v>
      </c>
    </row>
    <row r="1507">
      <c r="A1507" s="26">
        <v>44741.67299027777</v>
      </c>
      <c r="B1507" s="20" t="s">
        <v>177</v>
      </c>
      <c r="C1507" s="20">
        <v>188.0</v>
      </c>
      <c r="D1507" s="20" t="s">
        <v>47</v>
      </c>
      <c r="E1507" s="20" t="s">
        <v>401</v>
      </c>
      <c r="F1507" s="20" t="s">
        <v>449</v>
      </c>
    </row>
    <row r="1508">
      <c r="A1508" s="26">
        <v>44741.84489679398</v>
      </c>
      <c r="B1508" s="20" t="s">
        <v>63</v>
      </c>
      <c r="C1508" s="20">
        <v>129.0</v>
      </c>
      <c r="D1508" s="20" t="s">
        <v>64</v>
      </c>
      <c r="E1508" s="20" t="s">
        <v>63</v>
      </c>
      <c r="F1508" s="20" t="s">
        <v>466</v>
      </c>
    </row>
    <row r="1509">
      <c r="A1509" s="26">
        <v>44742.55933505787</v>
      </c>
      <c r="B1509" s="20" t="s">
        <v>84</v>
      </c>
      <c r="C1509" s="20">
        <v>152.0</v>
      </c>
      <c r="D1509" s="20" t="s">
        <v>64</v>
      </c>
      <c r="E1509" s="20" t="s">
        <v>109</v>
      </c>
      <c r="F1509" s="20" t="s">
        <v>467</v>
      </c>
    </row>
    <row r="1510">
      <c r="A1510" s="26">
        <v>44742.59950762731</v>
      </c>
      <c r="B1510" s="20" t="s">
        <v>163</v>
      </c>
      <c r="C1510" s="20">
        <v>385.0</v>
      </c>
      <c r="D1510" s="20" t="s">
        <v>47</v>
      </c>
      <c r="E1510" s="20" t="s">
        <v>216</v>
      </c>
      <c r="F1510" s="20" t="s">
        <v>455</v>
      </c>
    </row>
    <row r="1511">
      <c r="A1511" s="26">
        <v>44742.60084402778</v>
      </c>
      <c r="B1511" s="20" t="s">
        <v>163</v>
      </c>
      <c r="C1511" s="20">
        <v>329.0</v>
      </c>
      <c r="D1511" s="20" t="s">
        <v>40</v>
      </c>
      <c r="E1511" s="20" t="s">
        <v>216</v>
      </c>
      <c r="F1511" s="20" t="s">
        <v>455</v>
      </c>
    </row>
    <row r="1512">
      <c r="A1512" s="26">
        <v>44742.60197390046</v>
      </c>
      <c r="B1512" s="20" t="s">
        <v>163</v>
      </c>
      <c r="C1512" s="20">
        <v>630.0</v>
      </c>
      <c r="D1512" s="20" t="s">
        <v>93</v>
      </c>
      <c r="E1512" s="20" t="s">
        <v>96</v>
      </c>
      <c r="F1512" s="20" t="s">
        <v>455</v>
      </c>
    </row>
    <row r="1513">
      <c r="A1513" s="26">
        <v>44742.60295719907</v>
      </c>
      <c r="B1513" s="20" t="s">
        <v>163</v>
      </c>
      <c r="C1513" s="20">
        <v>358.0</v>
      </c>
      <c r="D1513" s="20" t="s">
        <v>40</v>
      </c>
      <c r="E1513" s="20" t="s">
        <v>96</v>
      </c>
      <c r="F1513" s="20" t="s">
        <v>455</v>
      </c>
    </row>
    <row r="1514">
      <c r="A1514" s="26">
        <v>44742.603663912036</v>
      </c>
      <c r="B1514" s="20" t="s">
        <v>163</v>
      </c>
      <c r="C1514" s="20">
        <v>1015.0</v>
      </c>
      <c r="D1514" s="20" t="s">
        <v>47</v>
      </c>
      <c r="E1514" s="20" t="s">
        <v>96</v>
      </c>
      <c r="F1514" s="20" t="s">
        <v>455</v>
      </c>
    </row>
    <row r="1515">
      <c r="A1515" s="26">
        <v>44742.60438091435</v>
      </c>
      <c r="B1515" s="20" t="s">
        <v>163</v>
      </c>
      <c r="C1515" s="20">
        <v>590.0</v>
      </c>
      <c r="D1515" s="20" t="s">
        <v>47</v>
      </c>
      <c r="E1515" s="20" t="s">
        <v>96</v>
      </c>
      <c r="F1515" s="20" t="s">
        <v>455</v>
      </c>
    </row>
    <row r="1516">
      <c r="A1516" s="26">
        <v>44742.61379880787</v>
      </c>
      <c r="B1516" s="20" t="s">
        <v>163</v>
      </c>
      <c r="C1516" s="20">
        <v>733.0</v>
      </c>
      <c r="D1516" s="20" t="s">
        <v>47</v>
      </c>
      <c r="E1516" s="20" t="s">
        <v>216</v>
      </c>
      <c r="F1516" s="20" t="s">
        <v>455</v>
      </c>
    </row>
    <row r="1517">
      <c r="A1517" s="26">
        <v>44742.614567916666</v>
      </c>
      <c r="B1517" s="20" t="s">
        <v>163</v>
      </c>
      <c r="C1517" s="20">
        <v>632.0</v>
      </c>
      <c r="D1517" s="20" t="s">
        <v>47</v>
      </c>
      <c r="E1517" s="20" t="s">
        <v>96</v>
      </c>
      <c r="F1517" s="20" t="s">
        <v>455</v>
      </c>
      <c r="G1517" s="20">
        <v>85564.0</v>
      </c>
    </row>
    <row r="1518">
      <c r="A1518" s="26">
        <v>44743.69914131945</v>
      </c>
      <c r="B1518" s="20" t="s">
        <v>345</v>
      </c>
      <c r="C1518" s="20">
        <v>371.0</v>
      </c>
      <c r="D1518" s="20" t="s">
        <v>80</v>
      </c>
      <c r="E1518" s="20" t="s">
        <v>328</v>
      </c>
      <c r="F1518" s="20" t="s">
        <v>449</v>
      </c>
    </row>
    <row r="1519">
      <c r="A1519" s="26">
        <v>44743.699368692134</v>
      </c>
      <c r="B1519" s="20" t="s">
        <v>345</v>
      </c>
      <c r="C1519" s="20">
        <v>511.0</v>
      </c>
      <c r="D1519" s="20" t="s">
        <v>36</v>
      </c>
      <c r="E1519" s="20" t="s">
        <v>328</v>
      </c>
      <c r="F1519" s="20" t="s">
        <v>449</v>
      </c>
    </row>
    <row r="1520">
      <c r="A1520" s="26">
        <v>44744.75243797454</v>
      </c>
      <c r="B1520" s="20" t="s">
        <v>345</v>
      </c>
      <c r="C1520" s="20">
        <v>384.0</v>
      </c>
      <c r="D1520" s="20" t="s">
        <v>47</v>
      </c>
      <c r="E1520" s="20" t="s">
        <v>468</v>
      </c>
      <c r="F1520" s="20" t="s">
        <v>449</v>
      </c>
    </row>
    <row r="1521">
      <c r="A1521" s="26">
        <v>44744.75286047454</v>
      </c>
      <c r="B1521" s="20" t="s">
        <v>345</v>
      </c>
      <c r="C1521" s="20">
        <v>456.0</v>
      </c>
      <c r="D1521" s="20" t="s">
        <v>40</v>
      </c>
      <c r="E1521" s="20" t="s">
        <v>333</v>
      </c>
      <c r="F1521" s="20" t="s">
        <v>449</v>
      </c>
    </row>
    <row r="1522">
      <c r="A1522" s="26">
        <v>44744.75898467592</v>
      </c>
      <c r="B1522" s="20" t="s">
        <v>345</v>
      </c>
      <c r="C1522" s="20">
        <v>221.0</v>
      </c>
      <c r="D1522" s="20" t="s">
        <v>391</v>
      </c>
      <c r="E1522" s="20" t="s">
        <v>75</v>
      </c>
      <c r="F1522" s="20" t="s">
        <v>469</v>
      </c>
    </row>
    <row r="1523">
      <c r="A1523" s="26">
        <v>44744.75942453704</v>
      </c>
      <c r="B1523" s="20" t="s">
        <v>345</v>
      </c>
      <c r="C1523" s="20">
        <v>1379.0</v>
      </c>
      <c r="D1523" s="20" t="s">
        <v>470</v>
      </c>
      <c r="E1523" s="20" t="s">
        <v>75</v>
      </c>
      <c r="F1523" s="20" t="s">
        <v>471</v>
      </c>
    </row>
    <row r="1524">
      <c r="A1524" s="26">
        <v>44744.759961041666</v>
      </c>
      <c r="B1524" s="20" t="s">
        <v>345</v>
      </c>
      <c r="C1524" s="20">
        <v>1210.0</v>
      </c>
      <c r="D1524" s="20" t="s">
        <v>294</v>
      </c>
      <c r="E1524" s="20" t="s">
        <v>75</v>
      </c>
      <c r="F1524" s="20" t="s">
        <v>472</v>
      </c>
    </row>
    <row r="1525">
      <c r="A1525" s="26">
        <v>44744.760634652775</v>
      </c>
      <c r="B1525" s="20" t="s">
        <v>345</v>
      </c>
      <c r="C1525" s="20">
        <v>1666.0</v>
      </c>
      <c r="D1525" s="20" t="s">
        <v>93</v>
      </c>
      <c r="E1525" s="20" t="s">
        <v>75</v>
      </c>
      <c r="F1525" s="20" t="s">
        <v>473</v>
      </c>
    </row>
    <row r="1526">
      <c r="A1526" s="26">
        <v>44744.76100010416</v>
      </c>
      <c r="B1526" s="20" t="s">
        <v>345</v>
      </c>
      <c r="C1526" s="20">
        <v>1238.0</v>
      </c>
      <c r="D1526" s="20" t="s">
        <v>93</v>
      </c>
      <c r="E1526" s="20" t="s">
        <v>75</v>
      </c>
      <c r="F1526" s="20" t="s">
        <v>449</v>
      </c>
    </row>
    <row r="1527">
      <c r="A1527" s="26">
        <v>44744.761409224535</v>
      </c>
      <c r="B1527" s="20" t="s">
        <v>345</v>
      </c>
      <c r="C1527" s="20">
        <v>164.0</v>
      </c>
      <c r="D1527" s="20" t="s">
        <v>391</v>
      </c>
      <c r="E1527" s="20" t="s">
        <v>75</v>
      </c>
      <c r="F1527" s="20" t="s">
        <v>474</v>
      </c>
    </row>
    <row r="1528">
      <c r="A1528" s="26">
        <v>44744.76251921296</v>
      </c>
      <c r="B1528" s="20" t="s">
        <v>345</v>
      </c>
      <c r="C1528" s="20">
        <v>502.0</v>
      </c>
      <c r="D1528" s="20" t="s">
        <v>156</v>
      </c>
      <c r="E1528" s="20" t="s">
        <v>75</v>
      </c>
      <c r="F1528" s="20" t="s">
        <v>475</v>
      </c>
    </row>
    <row r="1529">
      <c r="A1529" s="26">
        <v>44744.76225811343</v>
      </c>
      <c r="B1529" s="20" t="s">
        <v>345</v>
      </c>
      <c r="C1529" s="20">
        <v>371.0</v>
      </c>
      <c r="D1529" s="20" t="s">
        <v>476</v>
      </c>
      <c r="E1529" s="20" t="s">
        <v>75</v>
      </c>
      <c r="F1529" s="20" t="s">
        <v>477</v>
      </c>
    </row>
    <row r="1530">
      <c r="A1530" s="26">
        <v>44744.76196413195</v>
      </c>
      <c r="B1530" s="20" t="s">
        <v>345</v>
      </c>
      <c r="C1530" s="20">
        <v>600.0</v>
      </c>
      <c r="D1530" s="20" t="s">
        <v>76</v>
      </c>
      <c r="E1530" s="20" t="s">
        <v>75</v>
      </c>
      <c r="F1530" s="20" t="s">
        <v>478</v>
      </c>
    </row>
    <row r="1531">
      <c r="A1531" s="26">
        <v>44744.76274508102</v>
      </c>
      <c r="B1531" s="20" t="s">
        <v>345</v>
      </c>
      <c r="C1531" s="20">
        <v>866.0</v>
      </c>
      <c r="D1531" s="20" t="s">
        <v>40</v>
      </c>
      <c r="E1531" s="20" t="s">
        <v>75</v>
      </c>
      <c r="F1531" s="20" t="s">
        <v>449</v>
      </c>
    </row>
    <row r="1532">
      <c r="A1532" s="26">
        <v>44744.76299180556</v>
      </c>
      <c r="B1532" s="20" t="s">
        <v>345</v>
      </c>
      <c r="C1532" s="20">
        <v>197.0</v>
      </c>
      <c r="D1532" s="20" t="s">
        <v>38</v>
      </c>
      <c r="E1532" s="20" t="s">
        <v>75</v>
      </c>
      <c r="F1532" s="20" t="s">
        <v>449</v>
      </c>
    </row>
    <row r="1533">
      <c r="A1533" s="26">
        <v>44744.76334760417</v>
      </c>
      <c r="B1533" s="20" t="s">
        <v>345</v>
      </c>
      <c r="C1533" s="20">
        <v>853.0</v>
      </c>
      <c r="D1533" s="20" t="s">
        <v>40</v>
      </c>
      <c r="E1533" s="20" t="s">
        <v>75</v>
      </c>
      <c r="F1533" s="20" t="s">
        <v>449</v>
      </c>
    </row>
    <row r="1534">
      <c r="A1534" s="26">
        <v>44744.763562418986</v>
      </c>
      <c r="B1534" s="20" t="s">
        <v>345</v>
      </c>
      <c r="C1534" s="20">
        <v>639.0</v>
      </c>
      <c r="D1534" s="20" t="s">
        <v>47</v>
      </c>
      <c r="E1534" s="20" t="s">
        <v>75</v>
      </c>
      <c r="F1534" s="20" t="s">
        <v>449</v>
      </c>
    </row>
    <row r="1535">
      <c r="A1535" s="26">
        <v>44744.76392236111</v>
      </c>
      <c r="B1535" s="20" t="s">
        <v>345</v>
      </c>
      <c r="C1535" s="20">
        <v>710.0</v>
      </c>
      <c r="D1535" s="20" t="s">
        <v>38</v>
      </c>
      <c r="E1535" s="20" t="s">
        <v>75</v>
      </c>
      <c r="F1535" s="20" t="s">
        <v>449</v>
      </c>
    </row>
    <row r="1536">
      <c r="A1536" s="26">
        <v>44744.764121354165</v>
      </c>
      <c r="B1536" s="20" t="s">
        <v>345</v>
      </c>
      <c r="C1536" s="20">
        <v>660.0</v>
      </c>
      <c r="D1536" s="20" t="s">
        <v>47</v>
      </c>
      <c r="E1536" s="20" t="s">
        <v>75</v>
      </c>
      <c r="F1536" s="20" t="s">
        <v>449</v>
      </c>
    </row>
    <row r="1537">
      <c r="A1537" s="26">
        <v>44744.76444368056</v>
      </c>
      <c r="B1537" s="20" t="s">
        <v>345</v>
      </c>
      <c r="C1537" s="20">
        <v>1157.0</v>
      </c>
      <c r="D1537" s="20" t="s">
        <v>47</v>
      </c>
      <c r="E1537" s="20" t="s">
        <v>75</v>
      </c>
      <c r="F1537" s="20" t="s">
        <v>449</v>
      </c>
    </row>
    <row r="1538">
      <c r="A1538" s="26">
        <v>44744.76486056713</v>
      </c>
      <c r="B1538" s="20" t="s">
        <v>345</v>
      </c>
      <c r="C1538" s="20">
        <v>230.0</v>
      </c>
      <c r="D1538" s="20" t="s">
        <v>391</v>
      </c>
      <c r="E1538" s="20" t="s">
        <v>75</v>
      </c>
      <c r="F1538" s="20" t="s">
        <v>479</v>
      </c>
    </row>
    <row r="1539">
      <c r="A1539" s="26">
        <v>44744.765110532404</v>
      </c>
      <c r="B1539" s="20" t="s">
        <v>345</v>
      </c>
      <c r="C1539" s="20">
        <v>237.0</v>
      </c>
      <c r="D1539" s="20" t="s">
        <v>391</v>
      </c>
      <c r="E1539" s="20" t="s">
        <v>75</v>
      </c>
      <c r="F1539" s="20" t="s">
        <v>480</v>
      </c>
    </row>
    <row r="1540">
      <c r="A1540" s="26">
        <v>44744.76532571759</v>
      </c>
      <c r="B1540" s="20" t="s">
        <v>345</v>
      </c>
      <c r="C1540" s="20">
        <v>721.0</v>
      </c>
      <c r="D1540" s="20" t="s">
        <v>294</v>
      </c>
      <c r="E1540" s="20" t="s">
        <v>75</v>
      </c>
      <c r="F1540" s="20" t="s">
        <v>481</v>
      </c>
    </row>
    <row r="1541">
      <c r="A1541" s="26">
        <v>44744.76561023148</v>
      </c>
      <c r="B1541" s="20" t="s">
        <v>345</v>
      </c>
      <c r="C1541" s="20">
        <v>872.0</v>
      </c>
      <c r="D1541" s="20" t="s">
        <v>47</v>
      </c>
      <c r="E1541" s="20" t="s">
        <v>75</v>
      </c>
      <c r="F1541" s="20" t="s">
        <v>449</v>
      </c>
    </row>
    <row r="1542">
      <c r="A1542" s="26">
        <v>44744.76588041667</v>
      </c>
      <c r="B1542" s="20" t="s">
        <v>345</v>
      </c>
      <c r="C1542" s="20">
        <v>542.0</v>
      </c>
      <c r="D1542" s="20" t="s">
        <v>40</v>
      </c>
      <c r="E1542" s="20" t="s">
        <v>75</v>
      </c>
      <c r="F1542" s="20" t="s">
        <v>449</v>
      </c>
    </row>
    <row r="1543">
      <c r="A1543" s="26">
        <v>44745.70388732639</v>
      </c>
      <c r="B1543" s="20" t="s">
        <v>411</v>
      </c>
      <c r="C1543" s="20">
        <v>140.0</v>
      </c>
      <c r="D1543" s="20" t="s">
        <v>64</v>
      </c>
      <c r="E1543" s="20" t="s">
        <v>185</v>
      </c>
      <c r="F1543" s="20" t="s">
        <v>455</v>
      </c>
    </row>
    <row r="1544">
      <c r="A1544" s="26">
        <v>44745.7043075463</v>
      </c>
      <c r="B1544" s="20" t="s">
        <v>411</v>
      </c>
      <c r="C1544" s="20">
        <v>-410.0</v>
      </c>
      <c r="D1544" s="20" t="s">
        <v>93</v>
      </c>
      <c r="E1544" s="20" t="s">
        <v>75</v>
      </c>
      <c r="F1544" s="20" t="s">
        <v>481</v>
      </c>
    </row>
    <row r="1545">
      <c r="A1545" s="26">
        <v>44745.70501435186</v>
      </c>
      <c r="B1545" s="20" t="s">
        <v>411</v>
      </c>
      <c r="C1545" s="20">
        <v>-73.0</v>
      </c>
      <c r="D1545" s="20" t="s">
        <v>76</v>
      </c>
      <c r="E1545" s="20" t="s">
        <v>75</v>
      </c>
      <c r="F1545" s="20" t="s">
        <v>455</v>
      </c>
    </row>
    <row r="1546">
      <c r="A1546" s="26">
        <v>44745.705406712965</v>
      </c>
      <c r="B1546" s="20" t="s">
        <v>411</v>
      </c>
      <c r="C1546" s="20">
        <v>-228.0</v>
      </c>
      <c r="D1546" s="20" t="s">
        <v>419</v>
      </c>
      <c r="E1546" s="20" t="s">
        <v>75</v>
      </c>
      <c r="F1546" s="20" t="s">
        <v>455</v>
      </c>
    </row>
    <row r="1547">
      <c r="A1547" s="26">
        <v>44745.705769733795</v>
      </c>
      <c r="B1547" s="20" t="s">
        <v>411</v>
      </c>
      <c r="C1547" s="20">
        <v>-474.0</v>
      </c>
      <c r="D1547" s="20" t="s">
        <v>294</v>
      </c>
      <c r="E1547" s="20" t="s">
        <v>75</v>
      </c>
      <c r="F1547" s="20" t="s">
        <v>455</v>
      </c>
    </row>
    <row r="1548">
      <c r="A1548" s="26">
        <v>44745.70604443287</v>
      </c>
      <c r="B1548" s="20" t="s">
        <v>411</v>
      </c>
      <c r="C1548" s="20">
        <v>-188.0</v>
      </c>
      <c r="D1548" s="20" t="s">
        <v>156</v>
      </c>
      <c r="E1548" s="20" t="s">
        <v>75</v>
      </c>
      <c r="F1548" s="20" t="s">
        <v>455</v>
      </c>
    </row>
    <row r="1549">
      <c r="A1549" s="26">
        <v>44745.7067540162</v>
      </c>
      <c r="B1549" s="20" t="s">
        <v>411</v>
      </c>
      <c r="C1549" s="20">
        <v>228.0</v>
      </c>
      <c r="D1549" s="20" t="s">
        <v>419</v>
      </c>
      <c r="E1549" s="20" t="s">
        <v>100</v>
      </c>
      <c r="F1549" s="20" t="s">
        <v>455</v>
      </c>
    </row>
    <row r="1550">
      <c r="A1550" s="26">
        <v>44745.70791748843</v>
      </c>
      <c r="B1550" s="20" t="s">
        <v>411</v>
      </c>
      <c r="C1550" s="20">
        <v>410.0</v>
      </c>
      <c r="D1550" s="20" t="s">
        <v>93</v>
      </c>
      <c r="E1550" s="20" t="s">
        <v>183</v>
      </c>
      <c r="F1550" s="20" t="s">
        <v>455</v>
      </c>
    </row>
    <row r="1551">
      <c r="A1551" s="26">
        <v>44745.70902895833</v>
      </c>
      <c r="B1551" s="20" t="s">
        <v>411</v>
      </c>
      <c r="C1551" s="20">
        <v>99.0</v>
      </c>
      <c r="D1551" s="20" t="s">
        <v>47</v>
      </c>
      <c r="E1551" s="20" t="s">
        <v>183</v>
      </c>
      <c r="F1551" s="20" t="s">
        <v>455</v>
      </c>
    </row>
    <row r="1552">
      <c r="A1552" s="26">
        <v>44745.71038025463</v>
      </c>
      <c r="B1552" s="20" t="s">
        <v>49</v>
      </c>
      <c r="C1552" s="20">
        <v>41.0</v>
      </c>
      <c r="D1552" s="20" t="s">
        <v>482</v>
      </c>
      <c r="E1552" s="20" t="s">
        <v>81</v>
      </c>
      <c r="F1552" s="20" t="s">
        <v>483</v>
      </c>
    </row>
    <row r="1553">
      <c r="A1553" s="26">
        <v>44745.71432804398</v>
      </c>
      <c r="B1553" s="20" t="s">
        <v>49</v>
      </c>
      <c r="C1553" s="20">
        <v>634.0</v>
      </c>
      <c r="D1553" s="20" t="s">
        <v>47</v>
      </c>
      <c r="E1553" s="20" t="s">
        <v>81</v>
      </c>
      <c r="F1553" s="20" t="s">
        <v>455</v>
      </c>
    </row>
    <row r="1554">
      <c r="A1554" s="26">
        <v>44745.71535666667</v>
      </c>
      <c r="B1554" s="20" t="s">
        <v>49</v>
      </c>
      <c r="C1554" s="20">
        <v>45.0</v>
      </c>
      <c r="D1554" s="20" t="s">
        <v>484</v>
      </c>
      <c r="E1554" s="20" t="s">
        <v>81</v>
      </c>
      <c r="F1554" s="20" t="s">
        <v>455</v>
      </c>
    </row>
    <row r="1555">
      <c r="A1555" s="26">
        <v>44745.71583423611</v>
      </c>
      <c r="B1555" s="20" t="s">
        <v>49</v>
      </c>
      <c r="C1555" s="20">
        <v>328.0</v>
      </c>
      <c r="D1555" s="20" t="s">
        <v>78</v>
      </c>
      <c r="E1555" s="20" t="s">
        <v>81</v>
      </c>
      <c r="F1555" s="20" t="s">
        <v>455</v>
      </c>
    </row>
    <row r="1556">
      <c r="A1556" s="26">
        <v>44745.71646015046</v>
      </c>
      <c r="B1556" s="20" t="s">
        <v>49</v>
      </c>
      <c r="C1556" s="20">
        <v>365.0</v>
      </c>
      <c r="D1556" s="20" t="s">
        <v>40</v>
      </c>
      <c r="E1556" s="20" t="s">
        <v>81</v>
      </c>
      <c r="F1556" s="20" t="s">
        <v>455</v>
      </c>
    </row>
    <row r="1557">
      <c r="A1557" s="26">
        <v>44745.71686303241</v>
      </c>
      <c r="B1557" s="20" t="s">
        <v>49</v>
      </c>
      <c r="C1557" s="20">
        <v>277.0</v>
      </c>
      <c r="D1557" s="20" t="s">
        <v>64</v>
      </c>
      <c r="E1557" s="20" t="s">
        <v>50</v>
      </c>
      <c r="F1557" s="20" t="s">
        <v>455</v>
      </c>
    </row>
    <row r="1558">
      <c r="A1558" s="26">
        <v>44745.71738657408</v>
      </c>
      <c r="B1558" s="20" t="s">
        <v>49</v>
      </c>
      <c r="C1558" s="20">
        <v>73.0</v>
      </c>
      <c r="D1558" s="20" t="s">
        <v>76</v>
      </c>
      <c r="E1558" s="20" t="s">
        <v>65</v>
      </c>
      <c r="F1558" s="20" t="s">
        <v>455</v>
      </c>
    </row>
    <row r="1559">
      <c r="A1559" s="26">
        <v>44745.718284814815</v>
      </c>
      <c r="B1559" s="20" t="s">
        <v>49</v>
      </c>
      <c r="C1559" s="20">
        <v>68.0</v>
      </c>
      <c r="D1559" s="20" t="s">
        <v>485</v>
      </c>
      <c r="E1559" s="20" t="s">
        <v>65</v>
      </c>
      <c r="F1559" s="20" t="s">
        <v>455</v>
      </c>
    </row>
    <row r="1560">
      <c r="A1560" s="26">
        <v>44745.71865930555</v>
      </c>
      <c r="B1560" s="20" t="s">
        <v>49</v>
      </c>
      <c r="C1560" s="20">
        <v>278.0</v>
      </c>
      <c r="D1560" s="20" t="s">
        <v>64</v>
      </c>
      <c r="E1560" s="20" t="s">
        <v>65</v>
      </c>
      <c r="F1560" s="20" t="s">
        <v>455</v>
      </c>
    </row>
    <row r="1561">
      <c r="A1561" s="26">
        <v>44745.71954291667</v>
      </c>
      <c r="B1561" s="20" t="s">
        <v>49</v>
      </c>
      <c r="C1561" s="20">
        <v>307.0</v>
      </c>
      <c r="D1561" s="20" t="s">
        <v>387</v>
      </c>
      <c r="E1561" s="20" t="s">
        <v>65</v>
      </c>
      <c r="F1561" s="20" t="s">
        <v>455</v>
      </c>
    </row>
    <row r="1562">
      <c r="A1562" s="26">
        <v>44745.71988878472</v>
      </c>
      <c r="B1562" s="20" t="s">
        <v>49</v>
      </c>
      <c r="C1562" s="20">
        <v>285.0</v>
      </c>
      <c r="D1562" s="20" t="s">
        <v>64</v>
      </c>
      <c r="E1562" s="20" t="s">
        <v>65</v>
      </c>
      <c r="F1562" s="20" t="s">
        <v>455</v>
      </c>
    </row>
    <row r="1563">
      <c r="A1563" s="26">
        <v>44745.720274189815</v>
      </c>
      <c r="B1563" s="20" t="s">
        <v>49</v>
      </c>
      <c r="C1563" s="20">
        <v>15.0</v>
      </c>
      <c r="D1563" s="20" t="s">
        <v>73</v>
      </c>
      <c r="E1563" s="20" t="s">
        <v>65</v>
      </c>
      <c r="F1563" s="20" t="s">
        <v>455</v>
      </c>
    </row>
    <row r="1564">
      <c r="A1564" s="26">
        <v>44745.72088320601</v>
      </c>
      <c r="B1564" s="20" t="s">
        <v>49</v>
      </c>
      <c r="C1564" s="20">
        <v>35.0</v>
      </c>
      <c r="D1564" s="20" t="s">
        <v>317</v>
      </c>
      <c r="E1564" s="20" t="s">
        <v>65</v>
      </c>
      <c r="F1564" s="20" t="s">
        <v>455</v>
      </c>
    </row>
    <row r="1565">
      <c r="A1565" s="26">
        <v>44745.72125231482</v>
      </c>
      <c r="B1565" s="20" t="s">
        <v>49</v>
      </c>
      <c r="C1565" s="20">
        <v>202.0</v>
      </c>
      <c r="D1565" s="20" t="s">
        <v>64</v>
      </c>
      <c r="E1565" s="20" t="s">
        <v>65</v>
      </c>
      <c r="F1565" s="20" t="s">
        <v>455</v>
      </c>
    </row>
    <row r="1566">
      <c r="A1566" s="26">
        <v>44748.65533487269</v>
      </c>
      <c r="B1566" s="20" t="s">
        <v>49</v>
      </c>
      <c r="C1566" s="20">
        <v>503.0</v>
      </c>
      <c r="D1566" s="20" t="s">
        <v>299</v>
      </c>
      <c r="E1566" s="20" t="s">
        <v>105</v>
      </c>
      <c r="F1566" s="20" t="s">
        <v>455</v>
      </c>
    </row>
    <row r="1567">
      <c r="A1567" s="26">
        <v>44748.655751666665</v>
      </c>
      <c r="B1567" s="20" t="s">
        <v>49</v>
      </c>
      <c r="C1567" s="20">
        <v>713.0</v>
      </c>
      <c r="D1567" s="20" t="s">
        <v>47</v>
      </c>
      <c r="E1567" s="20" t="s">
        <v>106</v>
      </c>
      <c r="F1567" s="20" t="s">
        <v>455</v>
      </c>
    </row>
    <row r="1568">
      <c r="A1568" s="26">
        <v>44748.656093541664</v>
      </c>
      <c r="B1568" s="20" t="s">
        <v>49</v>
      </c>
      <c r="C1568" s="20">
        <v>413.0</v>
      </c>
      <c r="D1568" s="20" t="s">
        <v>40</v>
      </c>
      <c r="E1568" s="20" t="s">
        <v>106</v>
      </c>
      <c r="F1568" s="20" t="s">
        <v>455</v>
      </c>
    </row>
    <row r="1569">
      <c r="A1569" s="26">
        <v>44748.65654496528</v>
      </c>
      <c r="B1569" s="20" t="s">
        <v>49</v>
      </c>
      <c r="C1569" s="20">
        <v>410.0</v>
      </c>
      <c r="D1569" s="20" t="s">
        <v>78</v>
      </c>
      <c r="E1569" s="20" t="s">
        <v>106</v>
      </c>
      <c r="F1569" s="20" t="s">
        <v>455</v>
      </c>
    </row>
    <row r="1570">
      <c r="A1570" s="26">
        <v>44748.65729649305</v>
      </c>
      <c r="B1570" s="20" t="s">
        <v>49</v>
      </c>
      <c r="C1570" s="20">
        <v>455.0</v>
      </c>
      <c r="D1570" s="20" t="s">
        <v>40</v>
      </c>
      <c r="E1570" s="20" t="s">
        <v>46</v>
      </c>
      <c r="F1570" s="20" t="s">
        <v>455</v>
      </c>
    </row>
    <row r="1571">
      <c r="A1571" s="26">
        <v>44748.65765688657</v>
      </c>
      <c r="B1571" s="20" t="s">
        <v>49</v>
      </c>
      <c r="C1571" s="20">
        <v>26.0</v>
      </c>
      <c r="D1571" s="20" t="s">
        <v>40</v>
      </c>
      <c r="E1571" s="20" t="s">
        <v>46</v>
      </c>
      <c r="F1571" s="20" t="s">
        <v>455</v>
      </c>
    </row>
    <row r="1572">
      <c r="A1572" s="26">
        <v>44748.65813186343</v>
      </c>
      <c r="B1572" s="20" t="s">
        <v>49</v>
      </c>
      <c r="C1572" s="20">
        <v>630.0</v>
      </c>
      <c r="D1572" s="20" t="s">
        <v>36</v>
      </c>
      <c r="E1572" s="20" t="s">
        <v>46</v>
      </c>
      <c r="F1572" s="20" t="s">
        <v>455</v>
      </c>
    </row>
    <row r="1573">
      <c r="A1573" s="26">
        <v>44748.65874409722</v>
      </c>
      <c r="B1573" s="20" t="s">
        <v>49</v>
      </c>
      <c r="C1573" s="20">
        <v>358.0</v>
      </c>
      <c r="D1573" s="20" t="s">
        <v>387</v>
      </c>
      <c r="E1573" s="20" t="s">
        <v>46</v>
      </c>
      <c r="F1573" s="20" t="s">
        <v>455</v>
      </c>
    </row>
    <row r="1574">
      <c r="A1574" s="26">
        <v>44749.80863497686</v>
      </c>
      <c r="B1574" s="20" t="s">
        <v>345</v>
      </c>
      <c r="C1574" s="20">
        <v>747.0</v>
      </c>
      <c r="D1574" s="20" t="s">
        <v>40</v>
      </c>
      <c r="E1574" s="20" t="s">
        <v>216</v>
      </c>
      <c r="F1574" s="20" t="s">
        <v>449</v>
      </c>
    </row>
    <row r="1575">
      <c r="A1575" s="26">
        <v>44749.808882847225</v>
      </c>
      <c r="B1575" s="20" t="s">
        <v>345</v>
      </c>
      <c r="C1575" s="20">
        <v>449.0</v>
      </c>
      <c r="D1575" s="20" t="s">
        <v>47</v>
      </c>
      <c r="E1575" s="20" t="s">
        <v>216</v>
      </c>
      <c r="F1575" s="20" t="s">
        <v>449</v>
      </c>
    </row>
    <row r="1576">
      <c r="A1576" s="26">
        <v>44749.809198229166</v>
      </c>
      <c r="B1576" s="20" t="s">
        <v>345</v>
      </c>
      <c r="C1576" s="20">
        <v>75.0</v>
      </c>
      <c r="D1576" s="20" t="s">
        <v>95</v>
      </c>
      <c r="E1576" s="20" t="s">
        <v>216</v>
      </c>
      <c r="F1576" s="20" t="s">
        <v>449</v>
      </c>
    </row>
    <row r="1577">
      <c r="A1577" s="28">
        <v>44750.0</v>
      </c>
      <c r="B1577" s="20" t="s">
        <v>345</v>
      </c>
      <c r="C1577" s="20">
        <v>102.0</v>
      </c>
      <c r="D1577" s="20" t="s">
        <v>486</v>
      </c>
      <c r="E1577" s="20" t="s">
        <v>487</v>
      </c>
      <c r="F1577" s="20" t="s">
        <v>449</v>
      </c>
    </row>
    <row r="1578">
      <c r="A1578" s="28">
        <v>44750.0</v>
      </c>
      <c r="B1578" s="20" t="s">
        <v>345</v>
      </c>
      <c r="C1578" s="20">
        <v>51.0</v>
      </c>
      <c r="D1578" s="20" t="s">
        <v>486</v>
      </c>
      <c r="E1578" s="20" t="s">
        <v>488</v>
      </c>
      <c r="F1578" s="20" t="s">
        <v>449</v>
      </c>
    </row>
    <row r="1579">
      <c r="A1579" s="28">
        <v>44750.0</v>
      </c>
      <c r="B1579" s="20" t="s">
        <v>345</v>
      </c>
      <c r="C1579" s="20">
        <v>28.0</v>
      </c>
      <c r="D1579" s="20" t="s">
        <v>294</v>
      </c>
      <c r="E1579" s="20" t="s">
        <v>488</v>
      </c>
      <c r="F1579" s="20" t="s">
        <v>449</v>
      </c>
    </row>
    <row r="1580">
      <c r="A1580" s="26">
        <v>44750.65056306713</v>
      </c>
      <c r="B1580" s="20" t="s">
        <v>193</v>
      </c>
      <c r="C1580" s="20">
        <v>654.0</v>
      </c>
      <c r="D1580" s="20" t="s">
        <v>47</v>
      </c>
      <c r="E1580" s="20" t="s">
        <v>96</v>
      </c>
      <c r="F1580" s="20" t="s">
        <v>449</v>
      </c>
    </row>
    <row r="1581">
      <c r="A1581" s="26">
        <v>44750.651013124996</v>
      </c>
      <c r="B1581" s="20" t="s">
        <v>193</v>
      </c>
      <c r="C1581" s="20">
        <v>400.0</v>
      </c>
      <c r="D1581" s="20" t="s">
        <v>64</v>
      </c>
      <c r="E1581" s="20" t="s">
        <v>489</v>
      </c>
      <c r="F1581" s="20" t="s">
        <v>449</v>
      </c>
    </row>
    <row r="1582">
      <c r="A1582" s="26">
        <v>44750.65134888889</v>
      </c>
      <c r="B1582" s="20" t="s">
        <v>191</v>
      </c>
      <c r="C1582" s="20">
        <v>299.0</v>
      </c>
      <c r="D1582" s="20" t="s">
        <v>64</v>
      </c>
      <c r="E1582" s="20" t="s">
        <v>489</v>
      </c>
      <c r="F1582" s="20" t="s">
        <v>449</v>
      </c>
    </row>
    <row r="1583">
      <c r="A1583" s="26">
        <v>44750.65176291666</v>
      </c>
      <c r="B1583" s="20" t="s">
        <v>193</v>
      </c>
      <c r="C1583" s="20">
        <v>284.0</v>
      </c>
      <c r="D1583" s="20" t="s">
        <v>64</v>
      </c>
      <c r="E1583" s="20" t="s">
        <v>489</v>
      </c>
      <c r="F1583" s="20" t="s">
        <v>449</v>
      </c>
    </row>
    <row r="1584">
      <c r="A1584" s="26">
        <v>44750.65211005787</v>
      </c>
      <c r="B1584" s="20" t="s">
        <v>193</v>
      </c>
      <c r="C1584" s="20">
        <v>872.0</v>
      </c>
      <c r="D1584" s="20" t="s">
        <v>64</v>
      </c>
      <c r="E1584" s="20" t="s">
        <v>489</v>
      </c>
      <c r="F1584" s="20" t="s">
        <v>449</v>
      </c>
    </row>
    <row r="1585">
      <c r="A1585" s="26">
        <v>44750.6529949074</v>
      </c>
      <c r="B1585" s="20" t="s">
        <v>193</v>
      </c>
      <c r="C1585" s="20">
        <v>785.0</v>
      </c>
      <c r="D1585" s="20" t="s">
        <v>64</v>
      </c>
      <c r="E1585" s="20" t="s">
        <v>96</v>
      </c>
      <c r="F1585" s="20" t="s">
        <v>449</v>
      </c>
    </row>
    <row r="1586">
      <c r="A1586" s="26">
        <v>44750.70873837963</v>
      </c>
      <c r="B1586" s="20" t="s">
        <v>233</v>
      </c>
      <c r="C1586" s="20">
        <v>103.0</v>
      </c>
      <c r="D1586" s="20" t="s">
        <v>64</v>
      </c>
      <c r="E1586" s="20" t="s">
        <v>234</v>
      </c>
      <c r="F1586" s="20" t="s">
        <v>455</v>
      </c>
    </row>
    <row r="1587">
      <c r="A1587" s="26">
        <v>44750.72141791666</v>
      </c>
      <c r="B1587" s="20" t="s">
        <v>49</v>
      </c>
      <c r="C1587" s="20">
        <v>67.0</v>
      </c>
      <c r="D1587" s="20" t="s">
        <v>64</v>
      </c>
      <c r="E1587" s="20" t="s">
        <v>96</v>
      </c>
      <c r="F1587" s="20" t="s">
        <v>455</v>
      </c>
    </row>
    <row r="1588">
      <c r="A1588" s="26">
        <v>44751.76408304398</v>
      </c>
      <c r="B1588" s="20" t="s">
        <v>345</v>
      </c>
      <c r="C1588" s="20">
        <v>674.0</v>
      </c>
      <c r="D1588" s="20" t="s">
        <v>38</v>
      </c>
      <c r="E1588" s="20" t="s">
        <v>75</v>
      </c>
      <c r="F1588" s="20" t="s">
        <v>449</v>
      </c>
    </row>
    <row r="1589">
      <c r="A1589" s="26">
        <v>44751.76453916667</v>
      </c>
      <c r="B1589" s="20" t="s">
        <v>345</v>
      </c>
      <c r="C1589" s="20">
        <v>949.0</v>
      </c>
      <c r="D1589" s="20" t="s">
        <v>47</v>
      </c>
      <c r="E1589" s="20" t="s">
        <v>75</v>
      </c>
      <c r="F1589" s="20" t="s">
        <v>449</v>
      </c>
    </row>
    <row r="1590">
      <c r="A1590" s="26">
        <v>44751.76504083333</v>
      </c>
      <c r="B1590" s="20" t="s">
        <v>345</v>
      </c>
      <c r="C1590" s="20">
        <v>156.0</v>
      </c>
      <c r="D1590" s="20" t="s">
        <v>38</v>
      </c>
      <c r="E1590" s="20" t="s">
        <v>75</v>
      </c>
      <c r="F1590" s="20" t="s">
        <v>449</v>
      </c>
    </row>
    <row r="1591">
      <c r="A1591" s="26">
        <v>44751.765461863426</v>
      </c>
      <c r="B1591" s="20" t="s">
        <v>345</v>
      </c>
      <c r="C1591" s="20">
        <v>518.0</v>
      </c>
      <c r="D1591" s="20" t="s">
        <v>40</v>
      </c>
      <c r="E1591" s="20" t="s">
        <v>75</v>
      </c>
      <c r="F1591" s="20" t="s">
        <v>449</v>
      </c>
    </row>
    <row r="1592">
      <c r="A1592" s="26">
        <v>44751.76709116898</v>
      </c>
      <c r="B1592" s="20" t="s">
        <v>345</v>
      </c>
      <c r="C1592" s="20">
        <v>204.0</v>
      </c>
      <c r="D1592" s="20" t="s">
        <v>490</v>
      </c>
      <c r="E1592" s="20" t="s">
        <v>75</v>
      </c>
      <c r="F1592" s="20" t="s">
        <v>481</v>
      </c>
    </row>
    <row r="1593">
      <c r="A1593" s="26">
        <v>44751.767446365746</v>
      </c>
      <c r="B1593" s="20" t="s">
        <v>345</v>
      </c>
      <c r="C1593" s="20">
        <v>710.0</v>
      </c>
      <c r="D1593" s="20" t="s">
        <v>47</v>
      </c>
      <c r="E1593" s="20" t="s">
        <v>75</v>
      </c>
      <c r="F1593" s="20" t="s">
        <v>449</v>
      </c>
    </row>
    <row r="1594">
      <c r="A1594" s="26">
        <v>44751.76763685185</v>
      </c>
      <c r="B1594" s="20" t="s">
        <v>345</v>
      </c>
      <c r="C1594" s="20">
        <v>130.0</v>
      </c>
      <c r="D1594" s="20" t="s">
        <v>38</v>
      </c>
      <c r="E1594" s="20" t="s">
        <v>75</v>
      </c>
      <c r="F1594" s="20" t="s">
        <v>449</v>
      </c>
    </row>
    <row r="1595">
      <c r="A1595" s="26">
        <v>44751.76794696759</v>
      </c>
      <c r="B1595" s="20" t="s">
        <v>345</v>
      </c>
      <c r="C1595" s="20">
        <v>179.0</v>
      </c>
      <c r="D1595" s="20" t="s">
        <v>490</v>
      </c>
      <c r="E1595" s="20" t="s">
        <v>75</v>
      </c>
      <c r="F1595" s="20" t="s">
        <v>491</v>
      </c>
    </row>
    <row r="1596">
      <c r="A1596" s="26">
        <v>44751.77008973379</v>
      </c>
      <c r="B1596" s="20" t="s">
        <v>345</v>
      </c>
      <c r="C1596" s="20">
        <v>1005.0</v>
      </c>
      <c r="D1596" s="20" t="s">
        <v>47</v>
      </c>
      <c r="E1596" s="20" t="s">
        <v>75</v>
      </c>
      <c r="F1596" s="20" t="s">
        <v>449</v>
      </c>
    </row>
    <row r="1597">
      <c r="A1597" s="26">
        <v>44751.770388969904</v>
      </c>
      <c r="B1597" s="20" t="s">
        <v>345</v>
      </c>
      <c r="C1597" s="20">
        <v>128.0</v>
      </c>
      <c r="D1597" s="20" t="s">
        <v>407</v>
      </c>
      <c r="E1597" s="20" t="s">
        <v>75</v>
      </c>
      <c r="F1597" s="20" t="s">
        <v>449</v>
      </c>
    </row>
    <row r="1598">
      <c r="A1598" s="26">
        <v>44751.77083097222</v>
      </c>
      <c r="B1598" s="20" t="s">
        <v>345</v>
      </c>
      <c r="C1598" s="20">
        <v>759.0</v>
      </c>
      <c r="D1598" s="20" t="s">
        <v>117</v>
      </c>
      <c r="E1598" s="20" t="s">
        <v>75</v>
      </c>
      <c r="F1598" s="20" t="s">
        <v>492</v>
      </c>
    </row>
    <row r="1599">
      <c r="A1599" s="26">
        <v>44751.77116957176</v>
      </c>
      <c r="B1599" s="20" t="s">
        <v>493</v>
      </c>
      <c r="C1599" s="20">
        <v>2073.0</v>
      </c>
      <c r="D1599" s="20" t="s">
        <v>93</v>
      </c>
      <c r="E1599" s="20" t="s">
        <v>75</v>
      </c>
      <c r="F1599" s="20" t="s">
        <v>494</v>
      </c>
    </row>
    <row r="1600">
      <c r="A1600" s="26">
        <v>44751.77145637732</v>
      </c>
      <c r="B1600" s="20" t="s">
        <v>345</v>
      </c>
      <c r="C1600" s="20">
        <v>1253.0</v>
      </c>
      <c r="D1600" s="20" t="s">
        <v>297</v>
      </c>
      <c r="E1600" s="20" t="s">
        <v>75</v>
      </c>
      <c r="F1600" s="20" t="s">
        <v>460</v>
      </c>
    </row>
    <row r="1601">
      <c r="A1601" s="26">
        <v>44751.77190317129</v>
      </c>
      <c r="B1601" s="20" t="s">
        <v>345</v>
      </c>
      <c r="C1601" s="20">
        <v>1000.0</v>
      </c>
      <c r="D1601" s="20" t="s">
        <v>297</v>
      </c>
      <c r="E1601" s="20" t="s">
        <v>75</v>
      </c>
      <c r="F1601" s="20" t="s">
        <v>475</v>
      </c>
    </row>
    <row r="1602">
      <c r="A1602" s="26">
        <v>44751.77222141204</v>
      </c>
      <c r="B1602" s="20" t="s">
        <v>345</v>
      </c>
      <c r="C1602" s="20">
        <v>1105.0</v>
      </c>
      <c r="D1602" s="20" t="s">
        <v>404</v>
      </c>
      <c r="E1602" s="20" t="s">
        <v>75</v>
      </c>
      <c r="F1602" s="20" t="s">
        <v>495</v>
      </c>
    </row>
    <row r="1603">
      <c r="A1603" s="26">
        <v>44751.77264196759</v>
      </c>
      <c r="B1603" s="20" t="s">
        <v>345</v>
      </c>
      <c r="C1603" s="20">
        <v>173.0</v>
      </c>
      <c r="D1603" s="20" t="s">
        <v>388</v>
      </c>
      <c r="E1603" s="20" t="s">
        <v>75</v>
      </c>
      <c r="F1603" s="20" t="s">
        <v>449</v>
      </c>
    </row>
    <row r="1604">
      <c r="A1604" s="26">
        <v>44751.77306875</v>
      </c>
      <c r="B1604" s="20" t="s">
        <v>345</v>
      </c>
      <c r="C1604" s="20">
        <v>180.0</v>
      </c>
      <c r="D1604" s="20" t="s">
        <v>169</v>
      </c>
      <c r="E1604" s="20" t="s">
        <v>75</v>
      </c>
      <c r="F1604" s="20" t="s">
        <v>449</v>
      </c>
    </row>
    <row r="1605">
      <c r="A1605" s="26">
        <v>44751.77353484953</v>
      </c>
      <c r="B1605" s="20" t="s">
        <v>345</v>
      </c>
      <c r="C1605" s="20">
        <v>223.0</v>
      </c>
      <c r="D1605" s="20" t="s">
        <v>496</v>
      </c>
      <c r="E1605" s="20" t="s">
        <v>75</v>
      </c>
      <c r="F1605" s="20" t="s">
        <v>449</v>
      </c>
    </row>
    <row r="1606">
      <c r="A1606" s="26">
        <v>44751.77398439815</v>
      </c>
      <c r="B1606" s="20" t="s">
        <v>345</v>
      </c>
      <c r="C1606" s="20">
        <v>1278.0</v>
      </c>
      <c r="D1606" s="20" t="s">
        <v>93</v>
      </c>
      <c r="E1606" s="20" t="s">
        <v>75</v>
      </c>
      <c r="F1606" s="20" t="s">
        <v>449</v>
      </c>
    </row>
    <row r="1607">
      <c r="A1607" s="26">
        <v>44751.77435436343</v>
      </c>
      <c r="B1607" s="20" t="s">
        <v>345</v>
      </c>
      <c r="C1607" s="20">
        <v>554.0</v>
      </c>
      <c r="D1607" s="20" t="s">
        <v>438</v>
      </c>
      <c r="E1607" s="20" t="s">
        <v>75</v>
      </c>
      <c r="F1607" s="20" t="s">
        <v>497</v>
      </c>
    </row>
    <row r="1608">
      <c r="A1608" s="26">
        <v>44751.77462337963</v>
      </c>
      <c r="B1608" s="20" t="s">
        <v>345</v>
      </c>
      <c r="C1608" s="20">
        <v>441.0</v>
      </c>
      <c r="D1608" s="20" t="s">
        <v>498</v>
      </c>
      <c r="E1608" s="20" t="s">
        <v>75</v>
      </c>
      <c r="F1608" s="20" t="s">
        <v>499</v>
      </c>
    </row>
    <row r="1609">
      <c r="A1609" s="26">
        <v>44751.77493337963</v>
      </c>
      <c r="B1609" s="20" t="s">
        <v>345</v>
      </c>
      <c r="C1609" s="20">
        <v>889.0</v>
      </c>
      <c r="D1609" s="20" t="s">
        <v>36</v>
      </c>
      <c r="E1609" s="20" t="s">
        <v>75</v>
      </c>
      <c r="F1609" s="20" t="s">
        <v>449</v>
      </c>
    </row>
    <row r="1610">
      <c r="A1610" s="26">
        <v>44751.7751909375</v>
      </c>
      <c r="B1610" s="20" t="s">
        <v>345</v>
      </c>
      <c r="C1610" s="20">
        <v>1463.0</v>
      </c>
      <c r="D1610" s="20" t="s">
        <v>93</v>
      </c>
      <c r="E1610" s="20" t="s">
        <v>75</v>
      </c>
      <c r="F1610" s="20" t="s">
        <v>449</v>
      </c>
    </row>
    <row r="1611">
      <c r="A1611" s="26">
        <v>44751.77558767361</v>
      </c>
      <c r="B1611" s="20" t="s">
        <v>345</v>
      </c>
      <c r="C1611" s="20">
        <v>-400.0</v>
      </c>
      <c r="D1611" s="20" t="s">
        <v>117</v>
      </c>
      <c r="E1611" s="20" t="s">
        <v>75</v>
      </c>
      <c r="F1611" s="20" t="s">
        <v>492</v>
      </c>
    </row>
    <row r="1612">
      <c r="A1612" s="26">
        <v>44751.77581976852</v>
      </c>
      <c r="B1612" s="20" t="s">
        <v>345</v>
      </c>
      <c r="C1612" s="20">
        <v>-65.0</v>
      </c>
      <c r="D1612" s="20" t="s">
        <v>38</v>
      </c>
      <c r="E1612" s="20" t="s">
        <v>75</v>
      </c>
      <c r="F1612" s="20" t="s">
        <v>449</v>
      </c>
    </row>
    <row r="1613">
      <c r="A1613" s="26">
        <v>44751.77610447917</v>
      </c>
      <c r="B1613" s="20" t="s">
        <v>345</v>
      </c>
      <c r="C1613" s="20">
        <v>-352.0</v>
      </c>
      <c r="D1613" s="20" t="s">
        <v>498</v>
      </c>
      <c r="E1613" s="20" t="s">
        <v>75</v>
      </c>
      <c r="F1613" s="20" t="s">
        <v>499</v>
      </c>
    </row>
    <row r="1614">
      <c r="A1614" s="26">
        <v>44751.77638905092</v>
      </c>
      <c r="B1614" s="20" t="s">
        <v>345</v>
      </c>
      <c r="C1614" s="20">
        <v>-337.0</v>
      </c>
      <c r="D1614" s="20" t="s">
        <v>470</v>
      </c>
      <c r="E1614" s="20" t="s">
        <v>75</v>
      </c>
      <c r="F1614" s="20" t="s">
        <v>495</v>
      </c>
    </row>
    <row r="1615">
      <c r="A1615" s="26">
        <v>44751.7766446412</v>
      </c>
      <c r="B1615" s="20" t="s">
        <v>345</v>
      </c>
      <c r="C1615" s="20">
        <v>-30.0</v>
      </c>
      <c r="D1615" s="20" t="s">
        <v>407</v>
      </c>
      <c r="E1615" s="20" t="s">
        <v>75</v>
      </c>
      <c r="F1615" s="20" t="s">
        <v>449</v>
      </c>
    </row>
    <row r="1616">
      <c r="A1616" s="26">
        <v>44751.77749425926</v>
      </c>
      <c r="B1616" s="20" t="s">
        <v>345</v>
      </c>
      <c r="C1616" s="20">
        <v>-1486.0</v>
      </c>
      <c r="D1616" s="20" t="s">
        <v>93</v>
      </c>
      <c r="E1616" s="20" t="s">
        <v>75</v>
      </c>
      <c r="F1616" s="20" t="s">
        <v>449</v>
      </c>
    </row>
    <row r="1617">
      <c r="A1617" s="26">
        <v>44752.698073680556</v>
      </c>
      <c r="B1617" s="20" t="s">
        <v>63</v>
      </c>
      <c r="C1617" s="20">
        <v>322.0</v>
      </c>
      <c r="D1617" s="20" t="s">
        <v>419</v>
      </c>
      <c r="E1617" s="20" t="s">
        <v>145</v>
      </c>
      <c r="F1617" s="20" t="s">
        <v>461</v>
      </c>
    </row>
    <row r="1618">
      <c r="A1618" s="26">
        <v>44752.698916863425</v>
      </c>
      <c r="B1618" s="20" t="s">
        <v>63</v>
      </c>
      <c r="C1618" s="20">
        <v>784.0</v>
      </c>
      <c r="D1618" s="20" t="s">
        <v>36</v>
      </c>
      <c r="E1618" s="20" t="s">
        <v>183</v>
      </c>
      <c r="F1618" s="20" t="s">
        <v>449</v>
      </c>
    </row>
    <row r="1619">
      <c r="A1619" s="26">
        <v>44752.702373078704</v>
      </c>
      <c r="B1619" s="20" t="s">
        <v>63</v>
      </c>
      <c r="C1619" s="20">
        <v>297.0</v>
      </c>
      <c r="D1619" s="20" t="s">
        <v>500</v>
      </c>
      <c r="E1619" s="20" t="s">
        <v>100</v>
      </c>
      <c r="F1619" s="20" t="s">
        <v>449</v>
      </c>
    </row>
    <row r="1620">
      <c r="A1620" s="26">
        <v>44752.70322685185</v>
      </c>
      <c r="B1620" s="20" t="s">
        <v>63</v>
      </c>
      <c r="C1620" s="20">
        <v>294.0</v>
      </c>
      <c r="D1620" s="20" t="s">
        <v>441</v>
      </c>
      <c r="E1620" s="20" t="s">
        <v>100</v>
      </c>
      <c r="F1620" s="20" t="s">
        <v>449</v>
      </c>
    </row>
    <row r="1621">
      <c r="A1621" s="26">
        <v>44752.70352270833</v>
      </c>
      <c r="B1621" s="20" t="s">
        <v>63</v>
      </c>
      <c r="C1621" s="20">
        <v>69.0</v>
      </c>
      <c r="D1621" s="20" t="s">
        <v>36</v>
      </c>
      <c r="E1621" s="20" t="s">
        <v>50</v>
      </c>
      <c r="F1621" s="20" t="s">
        <v>449</v>
      </c>
    </row>
    <row r="1622">
      <c r="A1622" s="26">
        <v>44752.70421673611</v>
      </c>
      <c r="B1622" s="20" t="s">
        <v>63</v>
      </c>
      <c r="C1622" s="20">
        <v>375.0</v>
      </c>
      <c r="D1622" s="20" t="s">
        <v>64</v>
      </c>
      <c r="E1622" s="20" t="s">
        <v>65</v>
      </c>
      <c r="F1622" s="20" t="s">
        <v>449</v>
      </c>
    </row>
    <row r="1623">
      <c r="A1623" s="26">
        <v>44752.711959259264</v>
      </c>
      <c r="B1623" s="20" t="s">
        <v>63</v>
      </c>
      <c r="C1623" s="20">
        <v>12.0</v>
      </c>
      <c r="D1623" s="20" t="s">
        <v>64</v>
      </c>
      <c r="E1623" s="20" t="s">
        <v>63</v>
      </c>
      <c r="F1623" s="20" t="s">
        <v>449</v>
      </c>
    </row>
    <row r="1624">
      <c r="A1624" s="28">
        <v>44754.0</v>
      </c>
      <c r="B1624" s="20" t="s">
        <v>345</v>
      </c>
      <c r="C1624" s="20">
        <v>43.0</v>
      </c>
      <c r="D1624" s="20" t="s">
        <v>64</v>
      </c>
      <c r="E1624" s="20" t="s">
        <v>501</v>
      </c>
      <c r="F1624" s="20" t="s">
        <v>449</v>
      </c>
    </row>
    <row r="1625">
      <c r="A1625" s="26">
        <v>44755.6470950463</v>
      </c>
      <c r="B1625" s="20" t="s">
        <v>406</v>
      </c>
      <c r="C1625" s="20">
        <v>174.0</v>
      </c>
      <c r="D1625" s="20" t="s">
        <v>490</v>
      </c>
      <c r="E1625" s="20" t="s">
        <v>401</v>
      </c>
      <c r="F1625" s="20" t="s">
        <v>502</v>
      </c>
    </row>
    <row r="1626">
      <c r="A1626" s="26">
        <v>44755.651573668976</v>
      </c>
      <c r="B1626" s="20" t="s">
        <v>406</v>
      </c>
      <c r="C1626" s="20">
        <v>109.0</v>
      </c>
      <c r="D1626" s="20" t="s">
        <v>169</v>
      </c>
      <c r="E1626" s="20" t="s">
        <v>401</v>
      </c>
      <c r="F1626" s="20" t="s">
        <v>503</v>
      </c>
    </row>
    <row r="1627">
      <c r="A1627" s="26">
        <v>44755.65251101852</v>
      </c>
      <c r="B1627" s="20" t="s">
        <v>406</v>
      </c>
      <c r="C1627" s="20">
        <v>550.0</v>
      </c>
      <c r="D1627" s="20" t="s">
        <v>380</v>
      </c>
      <c r="E1627" s="20" t="s">
        <v>401</v>
      </c>
      <c r="F1627" s="20" t="s">
        <v>504</v>
      </c>
    </row>
    <row r="1628">
      <c r="A1628" s="34">
        <v>44755.0</v>
      </c>
      <c r="B1628" s="20" t="s">
        <v>345</v>
      </c>
      <c r="C1628" s="20">
        <v>89.0</v>
      </c>
      <c r="D1628" s="20" t="s">
        <v>486</v>
      </c>
      <c r="E1628" s="20" t="s">
        <v>505</v>
      </c>
      <c r="F1628" s="20" t="s">
        <v>449</v>
      </c>
    </row>
    <row r="1629">
      <c r="A1629" s="26">
        <v>44755.81808693287</v>
      </c>
      <c r="B1629" s="20" t="s">
        <v>506</v>
      </c>
      <c r="C1629" s="20">
        <v>25.0</v>
      </c>
      <c r="D1629" s="20" t="s">
        <v>64</v>
      </c>
      <c r="E1629" s="20" t="s">
        <v>507</v>
      </c>
      <c r="F1629" s="20" t="s">
        <v>508</v>
      </c>
    </row>
    <row r="1630">
      <c r="A1630" s="26">
        <v>44756.79770251157</v>
      </c>
      <c r="B1630" s="20" t="s">
        <v>345</v>
      </c>
      <c r="C1630" s="20">
        <v>179.0</v>
      </c>
      <c r="D1630" s="20" t="s">
        <v>169</v>
      </c>
      <c r="E1630" s="20" t="s">
        <v>216</v>
      </c>
      <c r="F1630" s="20" t="s">
        <v>509</v>
      </c>
    </row>
    <row r="1631">
      <c r="A1631" s="26">
        <v>44756.798221944446</v>
      </c>
      <c r="B1631" s="20" t="s">
        <v>345</v>
      </c>
      <c r="C1631" s="20">
        <v>284.0</v>
      </c>
      <c r="D1631" s="20" t="s">
        <v>294</v>
      </c>
      <c r="E1631" s="20" t="s">
        <v>216</v>
      </c>
      <c r="F1631" s="20" t="s">
        <v>449</v>
      </c>
    </row>
    <row r="1632">
      <c r="A1632" s="26">
        <v>44756.799140682866</v>
      </c>
      <c r="B1632" s="20" t="s">
        <v>345</v>
      </c>
      <c r="C1632" s="20">
        <v>663.0</v>
      </c>
      <c r="D1632" s="20" t="s">
        <v>76</v>
      </c>
      <c r="E1632" s="20" t="s">
        <v>510</v>
      </c>
      <c r="F1632" s="20" t="s">
        <v>449</v>
      </c>
    </row>
    <row r="1633">
      <c r="A1633" s="26">
        <v>44756.79958525463</v>
      </c>
      <c r="B1633" s="20" t="s">
        <v>345</v>
      </c>
      <c r="C1633" s="20">
        <v>339.0</v>
      </c>
      <c r="D1633" s="20" t="s">
        <v>294</v>
      </c>
      <c r="E1633" s="20" t="s">
        <v>428</v>
      </c>
      <c r="F1633" s="20" t="s">
        <v>449</v>
      </c>
    </row>
    <row r="1634">
      <c r="A1634" s="26">
        <v>44757.70773194444</v>
      </c>
      <c r="B1634" s="20" t="s">
        <v>233</v>
      </c>
      <c r="C1634" s="20">
        <v>100.0</v>
      </c>
      <c r="D1634" s="20" t="s">
        <v>64</v>
      </c>
      <c r="E1634" s="20" t="s">
        <v>234</v>
      </c>
      <c r="F1634" s="20" t="s">
        <v>455</v>
      </c>
    </row>
    <row r="1635">
      <c r="A1635" s="26">
        <v>44757.71485751157</v>
      </c>
      <c r="B1635" s="20" t="s">
        <v>345</v>
      </c>
      <c r="C1635" s="20">
        <v>209.0</v>
      </c>
      <c r="D1635" s="20" t="s">
        <v>391</v>
      </c>
      <c r="E1635" s="20" t="s">
        <v>96</v>
      </c>
      <c r="F1635" s="20" t="s">
        <v>511</v>
      </c>
    </row>
    <row r="1636">
      <c r="A1636" s="26">
        <v>44757.71517969907</v>
      </c>
      <c r="B1636" s="20" t="s">
        <v>345</v>
      </c>
      <c r="C1636" s="20">
        <v>184.0</v>
      </c>
      <c r="D1636" s="20" t="s">
        <v>387</v>
      </c>
      <c r="E1636" s="20" t="s">
        <v>96</v>
      </c>
      <c r="F1636" s="20" t="s">
        <v>512</v>
      </c>
    </row>
    <row r="1637">
      <c r="A1637" s="26">
        <v>44757.715678981476</v>
      </c>
      <c r="B1637" s="20" t="s">
        <v>345</v>
      </c>
      <c r="C1637" s="20">
        <v>97.0</v>
      </c>
      <c r="D1637" s="20" t="s">
        <v>76</v>
      </c>
      <c r="E1637" s="20" t="s">
        <v>96</v>
      </c>
      <c r="F1637" s="20" t="s">
        <v>513</v>
      </c>
    </row>
    <row r="1638">
      <c r="A1638" s="26">
        <v>44757.7171358912</v>
      </c>
      <c r="B1638" s="20" t="s">
        <v>345</v>
      </c>
      <c r="C1638" s="20">
        <v>521.0</v>
      </c>
      <c r="D1638" s="20" t="s">
        <v>294</v>
      </c>
      <c r="E1638" s="20" t="s">
        <v>96</v>
      </c>
      <c r="F1638" s="20" t="s">
        <v>449</v>
      </c>
    </row>
    <row r="1639">
      <c r="A1639" s="26">
        <v>44757.71885694444</v>
      </c>
      <c r="B1639" s="20" t="s">
        <v>345</v>
      </c>
      <c r="C1639" s="20">
        <v>186.0</v>
      </c>
      <c r="D1639" s="20" t="s">
        <v>64</v>
      </c>
      <c r="E1639" s="20" t="s">
        <v>98</v>
      </c>
      <c r="F1639" s="20" t="s">
        <v>449</v>
      </c>
    </row>
    <row r="1640">
      <c r="A1640" s="26">
        <v>44757.72979766203</v>
      </c>
      <c r="B1640" s="20" t="s">
        <v>345</v>
      </c>
      <c r="C1640" s="20">
        <v>779.0</v>
      </c>
      <c r="D1640" s="20" t="s">
        <v>514</v>
      </c>
      <c r="E1640" s="20" t="s">
        <v>48</v>
      </c>
      <c r="F1640" s="20" t="s">
        <v>449</v>
      </c>
    </row>
    <row r="1641">
      <c r="A1641" s="26">
        <v>44757.730045752316</v>
      </c>
      <c r="B1641" s="20" t="s">
        <v>345</v>
      </c>
      <c r="C1641" s="20">
        <v>746.0</v>
      </c>
      <c r="D1641" s="20" t="s">
        <v>514</v>
      </c>
      <c r="E1641" s="20" t="s">
        <v>48</v>
      </c>
      <c r="F1641" s="20" t="s">
        <v>449</v>
      </c>
    </row>
    <row r="1642">
      <c r="A1642" s="26">
        <v>44757.73032287037</v>
      </c>
      <c r="B1642" s="20" t="s">
        <v>345</v>
      </c>
      <c r="C1642" s="20">
        <v>693.0</v>
      </c>
      <c r="D1642" s="20" t="s">
        <v>514</v>
      </c>
      <c r="E1642" s="20" t="s">
        <v>48</v>
      </c>
      <c r="F1642" s="20" t="s">
        <v>449</v>
      </c>
    </row>
    <row r="1643">
      <c r="A1643" s="26">
        <v>44757.730525810184</v>
      </c>
      <c r="B1643" s="20" t="s">
        <v>345</v>
      </c>
      <c r="C1643" s="20">
        <v>744.0</v>
      </c>
      <c r="D1643" s="20" t="s">
        <v>514</v>
      </c>
      <c r="E1643" s="20" t="s">
        <v>48</v>
      </c>
      <c r="F1643" s="20" t="s">
        <v>449</v>
      </c>
    </row>
    <row r="1644">
      <c r="A1644" s="26">
        <v>44757.73075134259</v>
      </c>
      <c r="B1644" s="20" t="s">
        <v>345</v>
      </c>
      <c r="C1644" s="20">
        <v>751.0</v>
      </c>
      <c r="D1644" s="20" t="s">
        <v>514</v>
      </c>
      <c r="E1644" s="20" t="s">
        <v>48</v>
      </c>
      <c r="F1644" s="20" t="s">
        <v>449</v>
      </c>
    </row>
    <row r="1645">
      <c r="A1645" s="26">
        <v>44757.73112228009</v>
      </c>
      <c r="B1645" s="20" t="s">
        <v>345</v>
      </c>
      <c r="C1645" s="20">
        <v>925.0</v>
      </c>
      <c r="D1645" s="20" t="s">
        <v>64</v>
      </c>
      <c r="E1645" s="20" t="s">
        <v>428</v>
      </c>
      <c r="F1645" s="20" t="s">
        <v>449</v>
      </c>
    </row>
    <row r="1646">
      <c r="A1646" s="26">
        <v>44757.73143372685</v>
      </c>
      <c r="B1646" s="20" t="s">
        <v>345</v>
      </c>
      <c r="C1646" s="20">
        <v>308.0</v>
      </c>
      <c r="D1646" s="20" t="s">
        <v>515</v>
      </c>
      <c r="E1646" s="20" t="s">
        <v>428</v>
      </c>
      <c r="F1646" s="20" t="s">
        <v>449</v>
      </c>
    </row>
    <row r="1647">
      <c r="A1647" s="26">
        <v>44757.731745763886</v>
      </c>
      <c r="B1647" s="20" t="s">
        <v>345</v>
      </c>
      <c r="C1647" s="20">
        <v>187.0</v>
      </c>
      <c r="D1647" s="20" t="s">
        <v>80</v>
      </c>
      <c r="E1647" s="20" t="s">
        <v>428</v>
      </c>
      <c r="F1647" s="20" t="s">
        <v>449</v>
      </c>
    </row>
    <row r="1648">
      <c r="A1648" s="26">
        <v>44757.73203184028</v>
      </c>
      <c r="B1648" s="20" t="s">
        <v>345</v>
      </c>
      <c r="C1648" s="20">
        <v>930.0</v>
      </c>
      <c r="D1648" s="20" t="s">
        <v>64</v>
      </c>
      <c r="E1648" s="20" t="s">
        <v>428</v>
      </c>
      <c r="F1648" s="20" t="s">
        <v>449</v>
      </c>
    </row>
    <row r="1649">
      <c r="A1649" s="26">
        <v>44758.50939071759</v>
      </c>
      <c r="B1649" s="20" t="s">
        <v>55</v>
      </c>
      <c r="C1649" s="20">
        <v>140.0</v>
      </c>
      <c r="D1649" s="20" t="s">
        <v>76</v>
      </c>
      <c r="E1649" s="20" t="s">
        <v>271</v>
      </c>
      <c r="F1649" s="20" t="s">
        <v>516</v>
      </c>
    </row>
    <row r="1650">
      <c r="A1650" s="28">
        <v>44758.0</v>
      </c>
      <c r="B1650" s="20" t="s">
        <v>345</v>
      </c>
      <c r="C1650" s="20">
        <v>247.0</v>
      </c>
      <c r="D1650" s="20" t="s">
        <v>490</v>
      </c>
      <c r="E1650" s="20" t="s">
        <v>75</v>
      </c>
      <c r="F1650" s="20" t="s">
        <v>517</v>
      </c>
    </row>
    <row r="1651">
      <c r="A1651" s="28">
        <v>44758.0</v>
      </c>
      <c r="B1651" s="20" t="s">
        <v>345</v>
      </c>
      <c r="C1651" s="20">
        <v>609.0</v>
      </c>
      <c r="D1651" s="20" t="s">
        <v>38</v>
      </c>
      <c r="E1651" s="20" t="s">
        <v>75</v>
      </c>
      <c r="F1651" s="20" t="s">
        <v>449</v>
      </c>
    </row>
    <row r="1652">
      <c r="A1652" s="28">
        <v>44758.0</v>
      </c>
      <c r="B1652" s="20" t="s">
        <v>345</v>
      </c>
      <c r="C1652" s="20">
        <v>256.0</v>
      </c>
      <c r="D1652" s="20" t="s">
        <v>490</v>
      </c>
      <c r="E1652" s="20" t="s">
        <v>75</v>
      </c>
      <c r="F1652" s="20" t="s">
        <v>518</v>
      </c>
    </row>
    <row r="1653">
      <c r="A1653" s="28">
        <v>44758.0</v>
      </c>
      <c r="B1653" s="20" t="s">
        <v>345</v>
      </c>
      <c r="C1653" s="20">
        <v>300.0</v>
      </c>
      <c r="D1653" s="20" t="s">
        <v>38</v>
      </c>
      <c r="E1653" s="20" t="s">
        <v>75</v>
      </c>
      <c r="F1653" s="20" t="s">
        <v>449</v>
      </c>
    </row>
    <row r="1654">
      <c r="A1654" s="28">
        <v>44758.0</v>
      </c>
      <c r="B1654" s="20" t="s">
        <v>345</v>
      </c>
      <c r="C1654" s="20">
        <v>312.0</v>
      </c>
      <c r="D1654" s="20" t="s">
        <v>519</v>
      </c>
      <c r="E1654" s="20" t="s">
        <v>75</v>
      </c>
      <c r="F1654" s="20" t="s">
        <v>520</v>
      </c>
    </row>
    <row r="1655">
      <c r="A1655" s="28">
        <v>44758.0</v>
      </c>
      <c r="B1655" s="20" t="s">
        <v>345</v>
      </c>
      <c r="C1655" s="20">
        <v>131.0</v>
      </c>
      <c r="D1655" s="20" t="s">
        <v>490</v>
      </c>
      <c r="E1655" s="20" t="s">
        <v>75</v>
      </c>
      <c r="F1655" s="20" t="s">
        <v>521</v>
      </c>
    </row>
    <row r="1656">
      <c r="A1656" s="28">
        <v>44758.0</v>
      </c>
      <c r="B1656" s="20" t="s">
        <v>345</v>
      </c>
      <c r="C1656" s="20">
        <v>764.0</v>
      </c>
      <c r="D1656" s="20" t="s">
        <v>294</v>
      </c>
      <c r="E1656" s="20" t="s">
        <v>75</v>
      </c>
      <c r="F1656" s="20" t="s">
        <v>480</v>
      </c>
    </row>
    <row r="1657">
      <c r="A1657" s="28">
        <v>44758.0</v>
      </c>
      <c r="B1657" s="20" t="s">
        <v>345</v>
      </c>
      <c r="C1657" s="20">
        <v>287.0</v>
      </c>
      <c r="D1657" s="20" t="s">
        <v>490</v>
      </c>
      <c r="E1657" s="20" t="s">
        <v>75</v>
      </c>
      <c r="F1657" s="20" t="s">
        <v>522</v>
      </c>
    </row>
    <row r="1658">
      <c r="A1658" s="26">
        <v>44758.50982045139</v>
      </c>
      <c r="B1658" s="20" t="s">
        <v>55</v>
      </c>
      <c r="C1658" s="20">
        <v>1496.0</v>
      </c>
      <c r="D1658" s="20" t="s">
        <v>93</v>
      </c>
      <c r="E1658" s="20" t="s">
        <v>75</v>
      </c>
      <c r="F1658" s="20" t="s">
        <v>523</v>
      </c>
    </row>
    <row r="1659">
      <c r="A1659" s="26">
        <v>44758.510193912036</v>
      </c>
      <c r="B1659" s="20" t="s">
        <v>55</v>
      </c>
      <c r="C1659" s="20">
        <v>1433.0</v>
      </c>
      <c r="D1659" s="20" t="s">
        <v>93</v>
      </c>
      <c r="E1659" s="20" t="s">
        <v>75</v>
      </c>
      <c r="F1659" s="20" t="s">
        <v>516</v>
      </c>
    </row>
    <row r="1660">
      <c r="A1660" s="26">
        <v>44758.51064540509</v>
      </c>
      <c r="B1660" s="20" t="s">
        <v>55</v>
      </c>
      <c r="C1660" s="20">
        <v>798.0</v>
      </c>
      <c r="D1660" s="20" t="s">
        <v>58</v>
      </c>
      <c r="E1660" s="20" t="s">
        <v>75</v>
      </c>
      <c r="F1660" s="20" t="s">
        <v>472</v>
      </c>
    </row>
    <row r="1661">
      <c r="A1661" s="26">
        <v>44758.51108049769</v>
      </c>
      <c r="B1661" s="20" t="s">
        <v>55</v>
      </c>
      <c r="C1661" s="20">
        <v>417.0</v>
      </c>
      <c r="D1661" s="20" t="s">
        <v>524</v>
      </c>
      <c r="E1661" s="20" t="s">
        <v>75</v>
      </c>
      <c r="F1661" s="20" t="s">
        <v>483</v>
      </c>
    </row>
    <row r="1662">
      <c r="A1662" s="26">
        <v>44758.51165048611</v>
      </c>
      <c r="B1662" s="20" t="s">
        <v>55</v>
      </c>
      <c r="C1662" s="20">
        <v>1134.0</v>
      </c>
      <c r="D1662" s="20" t="s">
        <v>279</v>
      </c>
      <c r="E1662" s="20" t="s">
        <v>75</v>
      </c>
      <c r="F1662" s="20" t="s">
        <v>516</v>
      </c>
    </row>
    <row r="1663">
      <c r="A1663" s="26">
        <v>44758.5122494213</v>
      </c>
      <c r="B1663" s="20" t="s">
        <v>55</v>
      </c>
      <c r="C1663" s="20">
        <v>630.0</v>
      </c>
      <c r="D1663" s="20" t="s">
        <v>525</v>
      </c>
      <c r="E1663" s="20" t="s">
        <v>75</v>
      </c>
      <c r="F1663" s="20" t="s">
        <v>526</v>
      </c>
    </row>
    <row r="1664">
      <c r="A1664" s="26">
        <v>44758.51254200231</v>
      </c>
      <c r="B1664" s="20" t="s">
        <v>55</v>
      </c>
      <c r="C1664" s="20">
        <v>675.0</v>
      </c>
      <c r="D1664" s="20" t="s">
        <v>320</v>
      </c>
      <c r="E1664" s="20" t="s">
        <v>75</v>
      </c>
      <c r="F1664" s="20" t="s">
        <v>495</v>
      </c>
    </row>
    <row r="1665">
      <c r="A1665" s="26">
        <v>44758.512881365736</v>
      </c>
      <c r="B1665" s="20" t="s">
        <v>55</v>
      </c>
      <c r="C1665" s="20">
        <v>133.0</v>
      </c>
      <c r="D1665" s="20" t="s">
        <v>419</v>
      </c>
      <c r="E1665" s="20" t="s">
        <v>75</v>
      </c>
      <c r="F1665" s="20" t="s">
        <v>509</v>
      </c>
    </row>
    <row r="1666">
      <c r="A1666" s="26">
        <v>44758.51320886574</v>
      </c>
      <c r="B1666" s="20" t="s">
        <v>55</v>
      </c>
      <c r="C1666" s="20">
        <v>131.0</v>
      </c>
      <c r="D1666" s="20" t="s">
        <v>405</v>
      </c>
      <c r="E1666" s="20" t="s">
        <v>75</v>
      </c>
      <c r="F1666" s="20" t="s">
        <v>527</v>
      </c>
    </row>
    <row r="1667">
      <c r="A1667" s="26">
        <v>44759.53039439815</v>
      </c>
      <c r="B1667" s="20" t="s">
        <v>528</v>
      </c>
      <c r="C1667" s="20">
        <v>429.0</v>
      </c>
      <c r="D1667" s="20" t="s">
        <v>117</v>
      </c>
      <c r="E1667" s="20" t="s">
        <v>75</v>
      </c>
      <c r="F1667" s="20" t="s">
        <v>492</v>
      </c>
    </row>
    <row r="1668">
      <c r="A1668" s="26">
        <v>44759.531558310184</v>
      </c>
      <c r="B1668" s="20" t="s">
        <v>528</v>
      </c>
      <c r="C1668" s="20">
        <v>652.0</v>
      </c>
      <c r="D1668" s="20" t="s">
        <v>40</v>
      </c>
      <c r="E1668" s="20" t="s">
        <v>37</v>
      </c>
      <c r="F1668" s="20" t="s">
        <v>449</v>
      </c>
    </row>
    <row r="1669">
      <c r="A1669" s="26">
        <v>44759.53222474537</v>
      </c>
      <c r="B1669" s="20" t="s">
        <v>528</v>
      </c>
      <c r="C1669" s="20">
        <v>1080.0</v>
      </c>
      <c r="D1669" s="20" t="s">
        <v>38</v>
      </c>
      <c r="E1669" s="20" t="s">
        <v>75</v>
      </c>
      <c r="F1669" s="20" t="s">
        <v>449</v>
      </c>
    </row>
    <row r="1670">
      <c r="A1670" s="26">
        <v>44759.53271666667</v>
      </c>
      <c r="B1670" s="20" t="s">
        <v>528</v>
      </c>
      <c r="C1670" s="20">
        <v>495.0</v>
      </c>
      <c r="D1670" s="20" t="s">
        <v>40</v>
      </c>
      <c r="E1670" s="20" t="s">
        <v>75</v>
      </c>
      <c r="F1670" s="20" t="s">
        <v>449</v>
      </c>
    </row>
    <row r="1671">
      <c r="A1671" s="26">
        <v>44759.533147662034</v>
      </c>
      <c r="B1671" s="20" t="s">
        <v>528</v>
      </c>
      <c r="C1671" s="20">
        <v>614.0</v>
      </c>
      <c r="D1671" s="20" t="s">
        <v>40</v>
      </c>
      <c r="E1671" s="20" t="s">
        <v>75</v>
      </c>
      <c r="F1671" s="20" t="s">
        <v>449</v>
      </c>
    </row>
    <row r="1672">
      <c r="A1672" s="26">
        <v>44759.53429619213</v>
      </c>
      <c r="B1672" s="20" t="s">
        <v>528</v>
      </c>
      <c r="C1672" s="20">
        <v>-390.0</v>
      </c>
      <c r="D1672" s="20" t="s">
        <v>529</v>
      </c>
      <c r="E1672" s="20" t="s">
        <v>75</v>
      </c>
      <c r="F1672" s="20" t="s">
        <v>530</v>
      </c>
    </row>
    <row r="1673">
      <c r="A1673" s="26">
        <v>44759.53509359954</v>
      </c>
      <c r="B1673" s="20" t="s">
        <v>528</v>
      </c>
      <c r="C1673" s="20">
        <v>-205.0</v>
      </c>
      <c r="D1673" s="20" t="s">
        <v>531</v>
      </c>
      <c r="E1673" s="20" t="s">
        <v>75</v>
      </c>
      <c r="F1673" s="20" t="s">
        <v>518</v>
      </c>
    </row>
    <row r="1674">
      <c r="A1674" s="26">
        <v>44759.53603206019</v>
      </c>
      <c r="B1674" s="20" t="s">
        <v>528</v>
      </c>
      <c r="C1674" s="20">
        <v>-139.0</v>
      </c>
      <c r="D1674" s="20" t="s">
        <v>532</v>
      </c>
      <c r="E1674" s="20" t="s">
        <v>75</v>
      </c>
      <c r="F1674" s="20" t="s">
        <v>533</v>
      </c>
    </row>
    <row r="1675">
      <c r="A1675" s="26">
        <v>44759.53666945602</v>
      </c>
      <c r="B1675" s="20" t="s">
        <v>528</v>
      </c>
      <c r="C1675" s="20">
        <v>-70.0</v>
      </c>
      <c r="D1675" s="20" t="s">
        <v>156</v>
      </c>
      <c r="E1675" s="20" t="s">
        <v>75</v>
      </c>
      <c r="F1675" s="20" t="s">
        <v>533</v>
      </c>
    </row>
    <row r="1676">
      <c r="A1676" s="26">
        <v>44759.53737466435</v>
      </c>
      <c r="B1676" s="20" t="s">
        <v>528</v>
      </c>
      <c r="C1676" s="20">
        <v>-148.0</v>
      </c>
      <c r="D1676" s="20" t="s">
        <v>534</v>
      </c>
      <c r="E1676" s="20" t="s">
        <v>75</v>
      </c>
      <c r="F1676" s="20" t="s">
        <v>533</v>
      </c>
    </row>
    <row r="1677">
      <c r="A1677" s="26">
        <v>44759.712250462966</v>
      </c>
      <c r="B1677" s="20" t="s">
        <v>63</v>
      </c>
      <c r="C1677" s="20">
        <v>9.0</v>
      </c>
      <c r="D1677" s="20" t="s">
        <v>64</v>
      </c>
      <c r="E1677" s="20" t="s">
        <v>63</v>
      </c>
      <c r="F1677" s="20" t="s">
        <v>449</v>
      </c>
    </row>
    <row r="1678">
      <c r="A1678" s="26">
        <v>44759.716314606485</v>
      </c>
      <c r="B1678" s="20" t="s">
        <v>49</v>
      </c>
      <c r="C1678" s="20">
        <v>70.0</v>
      </c>
      <c r="D1678" s="20" t="s">
        <v>156</v>
      </c>
      <c r="E1678" s="20" t="s">
        <v>81</v>
      </c>
      <c r="F1678" s="20" t="s">
        <v>455</v>
      </c>
    </row>
    <row r="1679">
      <c r="A1679" s="26">
        <v>44759.7168933912</v>
      </c>
      <c r="B1679" s="20" t="s">
        <v>49</v>
      </c>
      <c r="C1679" s="20">
        <v>390.0</v>
      </c>
      <c r="D1679" s="20" t="s">
        <v>77</v>
      </c>
      <c r="E1679" s="20" t="s">
        <v>81</v>
      </c>
      <c r="F1679" s="20" t="s">
        <v>455</v>
      </c>
    </row>
    <row r="1680">
      <c r="A1680" s="26">
        <v>44759.71855243055</v>
      </c>
      <c r="B1680" s="20" t="s">
        <v>49</v>
      </c>
      <c r="C1680" s="20">
        <v>205.0</v>
      </c>
      <c r="D1680" s="20" t="s">
        <v>387</v>
      </c>
      <c r="E1680" s="20" t="s">
        <v>81</v>
      </c>
      <c r="F1680" s="20" t="s">
        <v>455</v>
      </c>
    </row>
    <row r="1681">
      <c r="A1681" s="26">
        <v>44759.71964105324</v>
      </c>
      <c r="B1681" s="20" t="s">
        <v>63</v>
      </c>
      <c r="C1681" s="20">
        <v>139.0</v>
      </c>
      <c r="D1681" s="20" t="s">
        <v>535</v>
      </c>
      <c r="E1681" s="20" t="s">
        <v>65</v>
      </c>
      <c r="F1681" s="20" t="s">
        <v>449</v>
      </c>
    </row>
    <row r="1682">
      <c r="A1682" s="26">
        <v>44759.71996476852</v>
      </c>
      <c r="B1682" s="20" t="s">
        <v>63</v>
      </c>
      <c r="C1682" s="20">
        <v>323.0</v>
      </c>
      <c r="D1682" s="20" t="s">
        <v>64</v>
      </c>
      <c r="E1682" s="20" t="s">
        <v>65</v>
      </c>
      <c r="F1682" s="20" t="s">
        <v>449</v>
      </c>
    </row>
    <row r="1683">
      <c r="A1683" s="26">
        <v>44759.71996699074</v>
      </c>
      <c r="B1683" s="20" t="s">
        <v>411</v>
      </c>
      <c r="C1683" s="20">
        <v>219.0</v>
      </c>
      <c r="D1683" s="20" t="s">
        <v>265</v>
      </c>
      <c r="E1683" s="20" t="s">
        <v>183</v>
      </c>
      <c r="F1683" s="20" t="s">
        <v>455</v>
      </c>
    </row>
    <row r="1684">
      <c r="A1684" s="26">
        <v>44759.72046458333</v>
      </c>
      <c r="B1684" s="20" t="s">
        <v>536</v>
      </c>
      <c r="C1684" s="20">
        <v>139.0</v>
      </c>
      <c r="D1684" s="20" t="s">
        <v>537</v>
      </c>
      <c r="E1684" s="20" t="s">
        <v>183</v>
      </c>
      <c r="F1684" s="20" t="s">
        <v>455</v>
      </c>
    </row>
    <row r="1685">
      <c r="A1685" s="26">
        <v>44759.72060743056</v>
      </c>
      <c r="B1685" s="20" t="s">
        <v>63</v>
      </c>
      <c r="C1685" s="20">
        <v>110.0</v>
      </c>
      <c r="D1685" s="20" t="s">
        <v>538</v>
      </c>
      <c r="E1685" s="20" t="s">
        <v>65</v>
      </c>
      <c r="F1685" s="20" t="s">
        <v>449</v>
      </c>
    </row>
    <row r="1686">
      <c r="A1686" s="26">
        <v>44759.72103260417</v>
      </c>
      <c r="B1686" s="20" t="s">
        <v>411</v>
      </c>
      <c r="C1686" s="20">
        <v>118.0</v>
      </c>
      <c r="D1686" s="20" t="s">
        <v>38</v>
      </c>
      <c r="E1686" s="20" t="s">
        <v>183</v>
      </c>
      <c r="F1686" s="20" t="s">
        <v>455</v>
      </c>
    </row>
    <row r="1687">
      <c r="A1687" s="26">
        <v>44759.72104858796</v>
      </c>
      <c r="B1687" s="20" t="s">
        <v>63</v>
      </c>
      <c r="C1687" s="20">
        <v>31.0</v>
      </c>
      <c r="D1687" s="20" t="s">
        <v>283</v>
      </c>
      <c r="E1687" s="20" t="s">
        <v>65</v>
      </c>
      <c r="F1687" s="20" t="s">
        <v>449</v>
      </c>
    </row>
    <row r="1688">
      <c r="A1688" s="26">
        <v>44759.72139048611</v>
      </c>
      <c r="B1688" s="20" t="s">
        <v>411</v>
      </c>
      <c r="C1688" s="20">
        <v>652.0</v>
      </c>
      <c r="D1688" s="20" t="s">
        <v>40</v>
      </c>
      <c r="E1688" s="20" t="s">
        <v>183</v>
      </c>
      <c r="F1688" s="20" t="s">
        <v>455</v>
      </c>
    </row>
    <row r="1689">
      <c r="A1689" s="26">
        <v>44759.72154047454</v>
      </c>
      <c r="B1689" s="20" t="s">
        <v>63</v>
      </c>
      <c r="C1689" s="20">
        <v>100.0</v>
      </c>
      <c r="D1689" s="20" t="s">
        <v>539</v>
      </c>
      <c r="E1689" s="20" t="s">
        <v>65</v>
      </c>
      <c r="F1689" s="20" t="s">
        <v>449</v>
      </c>
    </row>
    <row r="1690">
      <c r="A1690" s="26">
        <v>44759.7219003125</v>
      </c>
      <c r="B1690" s="20" t="s">
        <v>411</v>
      </c>
      <c r="C1690" s="20">
        <v>100.0</v>
      </c>
      <c r="D1690" s="20" t="s">
        <v>64</v>
      </c>
      <c r="E1690" s="20" t="s">
        <v>50</v>
      </c>
      <c r="F1690" s="20" t="s">
        <v>455</v>
      </c>
    </row>
    <row r="1691">
      <c r="A1691" s="26">
        <v>44759.7221905787</v>
      </c>
      <c r="B1691" s="20" t="s">
        <v>49</v>
      </c>
      <c r="C1691" s="20">
        <v>285.0</v>
      </c>
      <c r="D1691" s="20" t="s">
        <v>540</v>
      </c>
      <c r="E1691" s="20" t="s">
        <v>65</v>
      </c>
      <c r="F1691" s="20" t="s">
        <v>449</v>
      </c>
    </row>
    <row r="1692">
      <c r="A1692" s="26">
        <v>44760.60750863426</v>
      </c>
      <c r="B1692" s="20" t="s">
        <v>55</v>
      </c>
      <c r="C1692" s="20">
        <v>607.0</v>
      </c>
      <c r="D1692" s="20" t="s">
        <v>76</v>
      </c>
      <c r="E1692" s="20" t="s">
        <v>541</v>
      </c>
      <c r="F1692" s="20" t="s">
        <v>449</v>
      </c>
    </row>
    <row r="1693">
      <c r="A1693" s="26">
        <v>44762.66482413195</v>
      </c>
      <c r="B1693" s="20" t="s">
        <v>49</v>
      </c>
      <c r="C1693" s="20">
        <v>521.0</v>
      </c>
      <c r="D1693" s="20" t="s">
        <v>64</v>
      </c>
      <c r="E1693" s="20" t="s">
        <v>46</v>
      </c>
      <c r="F1693" s="20" t="s">
        <v>455</v>
      </c>
    </row>
    <row r="1694">
      <c r="A1694" s="26">
        <v>44762.6780478588</v>
      </c>
      <c r="B1694" s="20" t="s">
        <v>49</v>
      </c>
      <c r="C1694" s="20">
        <v>484.0</v>
      </c>
      <c r="D1694" s="20" t="s">
        <v>64</v>
      </c>
      <c r="E1694" s="20" t="s">
        <v>46</v>
      </c>
      <c r="F1694" s="20" t="s">
        <v>455</v>
      </c>
    </row>
    <row r="1695">
      <c r="A1695" s="26">
        <v>44762.67895729167</v>
      </c>
      <c r="B1695" s="20" t="s">
        <v>49</v>
      </c>
      <c r="C1695" s="20">
        <v>560.0</v>
      </c>
      <c r="D1695" s="20" t="s">
        <v>53</v>
      </c>
      <c r="E1695" s="20" t="s">
        <v>133</v>
      </c>
      <c r="F1695" s="20" t="s">
        <v>455</v>
      </c>
    </row>
    <row r="1696">
      <c r="A1696" s="26">
        <v>44762.67975170139</v>
      </c>
      <c r="B1696" s="20" t="s">
        <v>49</v>
      </c>
      <c r="C1696" s="20">
        <v>208.0</v>
      </c>
      <c r="D1696" s="20" t="s">
        <v>38</v>
      </c>
      <c r="E1696" s="20" t="s">
        <v>128</v>
      </c>
      <c r="F1696" s="20" t="s">
        <v>455</v>
      </c>
    </row>
    <row r="1697">
      <c r="A1697" s="26">
        <v>44762.68053387731</v>
      </c>
      <c r="B1697" s="20" t="s">
        <v>49</v>
      </c>
      <c r="C1697" s="20">
        <v>500.0</v>
      </c>
      <c r="D1697" s="20" t="s">
        <v>64</v>
      </c>
      <c r="E1697" s="20" t="s">
        <v>128</v>
      </c>
      <c r="F1697" s="20" t="s">
        <v>455</v>
      </c>
    </row>
    <row r="1698">
      <c r="A1698" s="26">
        <v>44762.73878900463</v>
      </c>
      <c r="B1698" s="20" t="s">
        <v>177</v>
      </c>
      <c r="C1698" s="20">
        <v>36.0</v>
      </c>
      <c r="D1698" s="20" t="s">
        <v>532</v>
      </c>
      <c r="E1698" s="20" t="s">
        <v>177</v>
      </c>
      <c r="F1698" s="20" t="s">
        <v>449</v>
      </c>
    </row>
    <row r="1699">
      <c r="A1699" s="26">
        <v>44762.739555520835</v>
      </c>
      <c r="B1699" s="20" t="s">
        <v>177</v>
      </c>
      <c r="C1699" s="20">
        <v>8.0</v>
      </c>
      <c r="D1699" s="20" t="s">
        <v>38</v>
      </c>
      <c r="E1699" s="20" t="s">
        <v>177</v>
      </c>
      <c r="F1699" s="20" t="s">
        <v>449</v>
      </c>
    </row>
    <row r="1700">
      <c r="A1700" s="26">
        <v>44763.6813183912</v>
      </c>
      <c r="B1700" s="20" t="s">
        <v>327</v>
      </c>
      <c r="C1700" s="20">
        <v>72.0</v>
      </c>
      <c r="D1700" s="20" t="s">
        <v>38</v>
      </c>
      <c r="E1700" s="20" t="s">
        <v>328</v>
      </c>
      <c r="F1700" s="20" t="s">
        <v>449</v>
      </c>
    </row>
    <row r="1701">
      <c r="A1701" s="26">
        <v>44763.68187545139</v>
      </c>
      <c r="B1701" s="20" t="s">
        <v>327</v>
      </c>
      <c r="C1701" s="20">
        <v>500.0</v>
      </c>
      <c r="D1701" s="20" t="s">
        <v>64</v>
      </c>
      <c r="E1701" s="20" t="s">
        <v>328</v>
      </c>
      <c r="F1701" s="20" t="s">
        <v>449</v>
      </c>
    </row>
    <row r="1702">
      <c r="A1702" s="26">
        <v>44764.70505892361</v>
      </c>
      <c r="B1702" s="20" t="s">
        <v>233</v>
      </c>
      <c r="C1702" s="20">
        <v>59.0</v>
      </c>
      <c r="D1702" s="20" t="s">
        <v>64</v>
      </c>
      <c r="E1702" s="20" t="s">
        <v>234</v>
      </c>
      <c r="F1702" s="20" t="s">
        <v>455</v>
      </c>
    </row>
    <row r="1703">
      <c r="A1703" s="26">
        <v>44764.70602780093</v>
      </c>
      <c r="B1703" s="20" t="s">
        <v>345</v>
      </c>
      <c r="C1703" s="20">
        <v>613.0</v>
      </c>
      <c r="D1703" s="20" t="s">
        <v>542</v>
      </c>
      <c r="E1703" s="20" t="s">
        <v>96</v>
      </c>
      <c r="F1703" s="20" t="s">
        <v>449</v>
      </c>
    </row>
    <row r="1704">
      <c r="A1704" s="26">
        <v>44764.70631488426</v>
      </c>
      <c r="B1704" s="20" t="s">
        <v>345</v>
      </c>
      <c r="C1704" s="20">
        <v>741.0</v>
      </c>
      <c r="D1704" s="20" t="s">
        <v>64</v>
      </c>
      <c r="E1704" s="20" t="s">
        <v>96</v>
      </c>
      <c r="F1704" s="20" t="s">
        <v>449</v>
      </c>
    </row>
    <row r="1705">
      <c r="A1705" s="26">
        <v>44765.49662046296</v>
      </c>
      <c r="B1705" s="20" t="s">
        <v>49</v>
      </c>
      <c r="C1705" s="20">
        <v>271.0</v>
      </c>
      <c r="D1705" s="20" t="s">
        <v>64</v>
      </c>
      <c r="E1705" s="20" t="s">
        <v>237</v>
      </c>
      <c r="F1705" s="20" t="s">
        <v>455</v>
      </c>
    </row>
    <row r="1706">
      <c r="A1706" s="26">
        <v>44765.498820451394</v>
      </c>
      <c r="B1706" s="20" t="s">
        <v>49</v>
      </c>
      <c r="C1706" s="20">
        <v>87.0</v>
      </c>
      <c r="D1706" s="20" t="s">
        <v>405</v>
      </c>
      <c r="E1706" s="20" t="s">
        <v>75</v>
      </c>
      <c r="F1706" s="20" t="s">
        <v>455</v>
      </c>
    </row>
    <row r="1707">
      <c r="A1707" s="26">
        <v>44765.49928373843</v>
      </c>
      <c r="B1707" s="20" t="s">
        <v>49</v>
      </c>
      <c r="C1707" s="20">
        <v>260.0</v>
      </c>
      <c r="D1707" s="20" t="s">
        <v>543</v>
      </c>
      <c r="E1707" s="20" t="s">
        <v>75</v>
      </c>
      <c r="F1707" s="20" t="s">
        <v>455</v>
      </c>
    </row>
    <row r="1708">
      <c r="A1708" s="26">
        <v>44765.50634810185</v>
      </c>
      <c r="B1708" s="20" t="s">
        <v>345</v>
      </c>
      <c r="C1708" s="20">
        <v>1094.0</v>
      </c>
      <c r="D1708" s="20" t="s">
        <v>470</v>
      </c>
      <c r="E1708" s="20" t="s">
        <v>75</v>
      </c>
      <c r="F1708" s="20" t="s">
        <v>458</v>
      </c>
    </row>
    <row r="1709">
      <c r="A1709" s="26">
        <v>44765.50670564815</v>
      </c>
      <c r="B1709" s="20" t="s">
        <v>345</v>
      </c>
      <c r="C1709" s="20">
        <v>390.0</v>
      </c>
      <c r="D1709" s="20" t="s">
        <v>544</v>
      </c>
      <c r="E1709" s="20" t="s">
        <v>75</v>
      </c>
      <c r="F1709" s="20" t="s">
        <v>471</v>
      </c>
    </row>
    <row r="1710">
      <c r="A1710" s="26">
        <v>44765.50703981482</v>
      </c>
      <c r="B1710" s="20" t="s">
        <v>345</v>
      </c>
      <c r="C1710" s="20">
        <v>1030.0</v>
      </c>
      <c r="D1710" s="20" t="s">
        <v>93</v>
      </c>
      <c r="E1710" s="20" t="s">
        <v>75</v>
      </c>
      <c r="F1710" s="20" t="s">
        <v>545</v>
      </c>
    </row>
    <row r="1711">
      <c r="A1711" s="26">
        <v>44765.507302893515</v>
      </c>
      <c r="B1711" s="20" t="s">
        <v>345</v>
      </c>
      <c r="C1711" s="20">
        <v>1614.0</v>
      </c>
      <c r="D1711" s="20" t="s">
        <v>93</v>
      </c>
      <c r="E1711" s="20" t="s">
        <v>75</v>
      </c>
      <c r="F1711" s="20" t="s">
        <v>545</v>
      </c>
    </row>
    <row r="1712">
      <c r="A1712" s="26">
        <v>44765.5076027662</v>
      </c>
      <c r="B1712" s="20" t="s">
        <v>345</v>
      </c>
      <c r="C1712" s="20">
        <v>280.0</v>
      </c>
      <c r="D1712" s="20" t="s">
        <v>169</v>
      </c>
      <c r="E1712" s="20" t="s">
        <v>75</v>
      </c>
      <c r="F1712" s="20" t="s">
        <v>469</v>
      </c>
    </row>
    <row r="1713">
      <c r="A1713" s="26">
        <v>44765.507865520834</v>
      </c>
      <c r="B1713" s="20" t="s">
        <v>345</v>
      </c>
      <c r="C1713" s="20">
        <v>146.0</v>
      </c>
      <c r="D1713" s="20" t="s">
        <v>169</v>
      </c>
      <c r="E1713" s="20" t="s">
        <v>75</v>
      </c>
      <c r="F1713" s="20" t="s">
        <v>546</v>
      </c>
    </row>
    <row r="1714">
      <c r="A1714" s="26">
        <v>44765.57393960648</v>
      </c>
      <c r="B1714" s="20" t="s">
        <v>91</v>
      </c>
      <c r="C1714" s="20">
        <v>306.0</v>
      </c>
      <c r="D1714" s="20" t="s">
        <v>80</v>
      </c>
      <c r="E1714" s="20" t="s">
        <v>75</v>
      </c>
      <c r="F1714" s="20" t="s">
        <v>449</v>
      </c>
    </row>
    <row r="1715">
      <c r="A1715" s="26">
        <v>44765.57434730324</v>
      </c>
      <c r="B1715" s="20" t="s">
        <v>94</v>
      </c>
      <c r="C1715" s="20">
        <v>666.0</v>
      </c>
      <c r="D1715" s="20" t="s">
        <v>294</v>
      </c>
      <c r="E1715" s="20" t="s">
        <v>75</v>
      </c>
      <c r="F1715" s="20" t="s">
        <v>455</v>
      </c>
    </row>
    <row r="1716">
      <c r="A1716" s="26">
        <v>44765.574641597224</v>
      </c>
      <c r="B1716" s="20" t="s">
        <v>92</v>
      </c>
      <c r="C1716" s="20">
        <v>578.0</v>
      </c>
      <c r="D1716" s="20" t="s">
        <v>294</v>
      </c>
      <c r="E1716" s="20" t="s">
        <v>75</v>
      </c>
      <c r="F1716" s="20" t="s">
        <v>455</v>
      </c>
    </row>
    <row r="1717">
      <c r="A1717" s="26">
        <v>44765.57498204861</v>
      </c>
      <c r="B1717" s="20" t="s">
        <v>92</v>
      </c>
      <c r="C1717" s="20">
        <v>578.0</v>
      </c>
      <c r="D1717" s="20" t="s">
        <v>40</v>
      </c>
      <c r="E1717" s="20" t="s">
        <v>75</v>
      </c>
      <c r="F1717" s="20" t="s">
        <v>455</v>
      </c>
    </row>
    <row r="1718">
      <c r="A1718" s="26">
        <v>44765.575207546295</v>
      </c>
      <c r="B1718" s="20" t="s">
        <v>92</v>
      </c>
      <c r="C1718" s="20">
        <v>424.0</v>
      </c>
      <c r="D1718" s="20" t="s">
        <v>40</v>
      </c>
      <c r="E1718" s="20" t="s">
        <v>75</v>
      </c>
      <c r="F1718" s="20" t="s">
        <v>455</v>
      </c>
    </row>
    <row r="1719">
      <c r="A1719" s="26">
        <v>44765.57543615741</v>
      </c>
      <c r="B1719" s="20" t="s">
        <v>92</v>
      </c>
      <c r="C1719" s="20">
        <v>707.0</v>
      </c>
      <c r="D1719" s="20" t="s">
        <v>47</v>
      </c>
      <c r="E1719" s="20" t="s">
        <v>75</v>
      </c>
      <c r="F1719" s="20" t="s">
        <v>455</v>
      </c>
    </row>
    <row r="1720">
      <c r="A1720" s="26">
        <v>44765.575636064816</v>
      </c>
      <c r="B1720" s="20" t="s">
        <v>92</v>
      </c>
      <c r="C1720" s="20">
        <v>552.0</v>
      </c>
      <c r="D1720" s="20" t="s">
        <v>47</v>
      </c>
      <c r="E1720" s="20" t="s">
        <v>75</v>
      </c>
      <c r="F1720" s="20" t="s">
        <v>455</v>
      </c>
    </row>
    <row r="1721">
      <c r="A1721" s="26">
        <v>44765.630527974536</v>
      </c>
      <c r="B1721" s="20" t="s">
        <v>49</v>
      </c>
      <c r="C1721" s="20">
        <v>475.0</v>
      </c>
      <c r="D1721" s="20" t="s">
        <v>387</v>
      </c>
      <c r="E1721" s="20" t="s">
        <v>75</v>
      </c>
      <c r="F1721" s="20" t="s">
        <v>547</v>
      </c>
    </row>
    <row r="1722">
      <c r="A1722" s="26">
        <v>44765.64254872686</v>
      </c>
      <c r="B1722" s="20" t="s">
        <v>49</v>
      </c>
      <c r="C1722" s="20">
        <v>944.0</v>
      </c>
      <c r="D1722" s="20" t="s">
        <v>87</v>
      </c>
      <c r="E1722" s="20" t="s">
        <v>75</v>
      </c>
      <c r="F1722" s="20" t="s">
        <v>455</v>
      </c>
    </row>
    <row r="1723">
      <c r="A1723" s="26">
        <v>44765.66388168982</v>
      </c>
      <c r="B1723" s="20" t="s">
        <v>49</v>
      </c>
      <c r="C1723" s="20">
        <v>122.0</v>
      </c>
      <c r="D1723" s="20" t="s">
        <v>38</v>
      </c>
      <c r="E1723" s="20" t="s">
        <v>75</v>
      </c>
      <c r="F1723" s="20" t="s">
        <v>455</v>
      </c>
    </row>
    <row r="1724">
      <c r="A1724" s="26">
        <v>44765.68642366898</v>
      </c>
      <c r="B1724" s="20" t="s">
        <v>49</v>
      </c>
      <c r="C1724" s="20">
        <v>200.0</v>
      </c>
      <c r="D1724" s="20" t="s">
        <v>53</v>
      </c>
      <c r="E1724" s="20" t="s">
        <v>75</v>
      </c>
      <c r="F1724" s="20" t="s">
        <v>455</v>
      </c>
    </row>
    <row r="1725">
      <c r="A1725" s="26">
        <v>44765.70138665509</v>
      </c>
      <c r="B1725" s="20" t="s">
        <v>49</v>
      </c>
      <c r="C1725" s="20">
        <v>-42.0</v>
      </c>
      <c r="D1725" s="20" t="s">
        <v>53</v>
      </c>
      <c r="E1725" s="20" t="s">
        <v>75</v>
      </c>
      <c r="F1725" s="20" t="s">
        <v>548</v>
      </c>
    </row>
    <row r="1726">
      <c r="A1726" s="26">
        <v>44765.703330324075</v>
      </c>
      <c r="B1726" s="20" t="s">
        <v>49</v>
      </c>
      <c r="C1726" s="20">
        <v>-129.0</v>
      </c>
      <c r="D1726" s="20" t="s">
        <v>549</v>
      </c>
      <c r="E1726" s="20" t="s">
        <v>75</v>
      </c>
      <c r="F1726" s="20" t="s">
        <v>455</v>
      </c>
    </row>
    <row r="1727">
      <c r="A1727" s="26">
        <v>44765.70750953704</v>
      </c>
      <c r="B1727" s="20" t="s">
        <v>49</v>
      </c>
      <c r="C1727" s="20">
        <v>-123.0</v>
      </c>
      <c r="D1727" s="20" t="s">
        <v>550</v>
      </c>
      <c r="E1727" s="20" t="s">
        <v>75</v>
      </c>
      <c r="F1727" s="20" t="s">
        <v>455</v>
      </c>
    </row>
    <row r="1728">
      <c r="A1728" s="26">
        <v>44765.71244046296</v>
      </c>
      <c r="B1728" s="20" t="s">
        <v>49</v>
      </c>
      <c r="C1728" s="20">
        <v>-103.0</v>
      </c>
      <c r="D1728" s="20" t="s">
        <v>40</v>
      </c>
      <c r="E1728" s="20" t="s">
        <v>75</v>
      </c>
      <c r="F1728" s="20" t="s">
        <v>455</v>
      </c>
    </row>
    <row r="1729">
      <c r="A1729" s="26">
        <v>44765.728424201385</v>
      </c>
      <c r="B1729" s="20" t="s">
        <v>345</v>
      </c>
      <c r="C1729" s="20">
        <v>-122.0</v>
      </c>
      <c r="D1729" s="20" t="s">
        <v>294</v>
      </c>
      <c r="E1729" s="20" t="s">
        <v>75</v>
      </c>
      <c r="F1729" s="20" t="s">
        <v>449</v>
      </c>
    </row>
    <row r="1730">
      <c r="A1730" s="26">
        <v>44765.73019980324</v>
      </c>
      <c r="B1730" s="20" t="s">
        <v>345</v>
      </c>
      <c r="C1730" s="20">
        <v>-37.0</v>
      </c>
      <c r="D1730" s="20" t="s">
        <v>64</v>
      </c>
      <c r="E1730" s="20" t="s">
        <v>75</v>
      </c>
      <c r="F1730" s="20" t="s">
        <v>449</v>
      </c>
    </row>
    <row r="1731">
      <c r="A1731" s="26">
        <v>44765.75619939815</v>
      </c>
      <c r="B1731" s="20" t="s">
        <v>551</v>
      </c>
      <c r="C1731" s="20">
        <v>5.0</v>
      </c>
      <c r="D1731" s="20" t="s">
        <v>38</v>
      </c>
      <c r="E1731" s="20" t="s">
        <v>552</v>
      </c>
      <c r="F1731" s="20" t="s">
        <v>455</v>
      </c>
    </row>
    <row r="1732">
      <c r="A1732" s="26">
        <v>44766.51157003472</v>
      </c>
      <c r="B1732" s="20" t="s">
        <v>553</v>
      </c>
      <c r="C1732" s="20">
        <v>181.0</v>
      </c>
      <c r="D1732" s="20" t="s">
        <v>64</v>
      </c>
      <c r="E1732" s="20" t="s">
        <v>101</v>
      </c>
      <c r="F1732" s="20" t="s">
        <v>449</v>
      </c>
    </row>
    <row r="1733">
      <c r="A1733" s="26">
        <v>44766.51183336806</v>
      </c>
      <c r="B1733" s="20" t="s">
        <v>553</v>
      </c>
      <c r="C1733" s="20">
        <v>427.0</v>
      </c>
      <c r="D1733" s="20" t="s">
        <v>64</v>
      </c>
      <c r="E1733" s="20" t="s">
        <v>101</v>
      </c>
      <c r="F1733" s="20" t="s">
        <v>449</v>
      </c>
    </row>
    <row r="1734">
      <c r="A1734" s="26">
        <v>44766.51389815973</v>
      </c>
      <c r="B1734" s="20" t="s">
        <v>553</v>
      </c>
      <c r="C1734" s="20">
        <v>406.0</v>
      </c>
      <c r="D1734" s="20" t="s">
        <v>40</v>
      </c>
      <c r="E1734" s="20" t="s">
        <v>101</v>
      </c>
      <c r="F1734" s="20" t="s">
        <v>449</v>
      </c>
    </row>
    <row r="1735">
      <c r="A1735" s="26">
        <v>44766.54327577546</v>
      </c>
      <c r="B1735" s="20" t="s">
        <v>49</v>
      </c>
      <c r="C1735" s="20">
        <v>50.0</v>
      </c>
      <c r="D1735" s="20" t="s">
        <v>38</v>
      </c>
      <c r="E1735" s="20" t="s">
        <v>81</v>
      </c>
      <c r="F1735" s="20" t="s">
        <v>455</v>
      </c>
    </row>
    <row r="1736">
      <c r="A1736" s="26">
        <v>44766.550497233795</v>
      </c>
      <c r="B1736" s="20" t="s">
        <v>528</v>
      </c>
      <c r="C1736" s="20">
        <v>130.0</v>
      </c>
      <c r="D1736" s="20" t="s">
        <v>64</v>
      </c>
      <c r="E1736" s="20" t="s">
        <v>382</v>
      </c>
      <c r="F1736" s="20" t="s">
        <v>449</v>
      </c>
    </row>
    <row r="1737">
      <c r="A1737" s="26">
        <v>44766.634739155095</v>
      </c>
      <c r="B1737" s="20" t="s">
        <v>49</v>
      </c>
      <c r="C1737" s="20">
        <v>51.0</v>
      </c>
      <c r="D1737" s="20" t="s">
        <v>64</v>
      </c>
      <c r="E1737" s="20" t="s">
        <v>96</v>
      </c>
      <c r="F1737" s="20" t="s">
        <v>455</v>
      </c>
    </row>
    <row r="1738">
      <c r="A1738" s="26">
        <v>44766.67847775463</v>
      </c>
      <c r="B1738" s="20" t="s">
        <v>554</v>
      </c>
      <c r="C1738" s="20">
        <v>22.0</v>
      </c>
      <c r="D1738" s="20" t="s">
        <v>64</v>
      </c>
      <c r="E1738" s="20" t="s">
        <v>555</v>
      </c>
      <c r="F1738" s="20" t="s">
        <v>449</v>
      </c>
    </row>
    <row r="1739">
      <c r="A1739" s="26">
        <v>44769.62079232639</v>
      </c>
      <c r="B1739" s="20" t="s">
        <v>556</v>
      </c>
      <c r="C1739" s="20">
        <v>132.0</v>
      </c>
      <c r="D1739" s="20" t="s">
        <v>38</v>
      </c>
      <c r="E1739" s="20" t="s">
        <v>401</v>
      </c>
      <c r="F1739" s="20" t="s">
        <v>449</v>
      </c>
    </row>
    <row r="1740">
      <c r="A1740" s="26">
        <v>44769.62110613426</v>
      </c>
      <c r="B1740" s="20" t="s">
        <v>345</v>
      </c>
      <c r="C1740" s="20">
        <v>400.0</v>
      </c>
      <c r="D1740" s="20" t="s">
        <v>40</v>
      </c>
      <c r="E1740" s="20" t="s">
        <v>401</v>
      </c>
      <c r="F1740" s="20" t="s">
        <v>449</v>
      </c>
    </row>
    <row r="1741">
      <c r="A1741" s="26">
        <v>44769.62129571759</v>
      </c>
      <c r="B1741" s="20" t="s">
        <v>345</v>
      </c>
      <c r="C1741" s="20">
        <v>415.0</v>
      </c>
      <c r="D1741" s="20" t="s">
        <v>36</v>
      </c>
      <c r="E1741" s="20" t="s">
        <v>401</v>
      </c>
      <c r="F1741" s="20" t="s">
        <v>449</v>
      </c>
    </row>
    <row r="1742">
      <c r="A1742" s="26">
        <v>44769.656273217595</v>
      </c>
      <c r="B1742" s="20" t="s">
        <v>345</v>
      </c>
      <c r="C1742" s="20">
        <v>48.0</v>
      </c>
      <c r="D1742" s="20" t="s">
        <v>38</v>
      </c>
      <c r="E1742" s="20" t="s">
        <v>401</v>
      </c>
      <c r="F1742" s="20" t="s">
        <v>449</v>
      </c>
    </row>
    <row r="1743">
      <c r="A1743" s="26">
        <v>44770.84251396991</v>
      </c>
      <c r="B1743" s="20" t="s">
        <v>55</v>
      </c>
      <c r="C1743" s="20">
        <v>931.0</v>
      </c>
      <c r="D1743" s="20" t="s">
        <v>557</v>
      </c>
      <c r="E1743" s="20" t="s">
        <v>48</v>
      </c>
      <c r="F1743" s="20" t="s">
        <v>458</v>
      </c>
    </row>
    <row r="1744">
      <c r="A1744" s="26">
        <v>44770.843042430555</v>
      </c>
      <c r="B1744" s="20" t="s">
        <v>55</v>
      </c>
      <c r="C1744" s="20">
        <v>432.0</v>
      </c>
      <c r="D1744" s="20" t="s">
        <v>558</v>
      </c>
      <c r="E1744" s="20" t="s">
        <v>48</v>
      </c>
      <c r="F1744" s="20" t="s">
        <v>559</v>
      </c>
    </row>
    <row r="1745">
      <c r="A1745" s="26">
        <v>44770.84346780092</v>
      </c>
      <c r="B1745" s="20" t="s">
        <v>55</v>
      </c>
      <c r="C1745" s="20">
        <v>996.0</v>
      </c>
      <c r="D1745" s="20" t="s">
        <v>557</v>
      </c>
      <c r="E1745" s="20" t="s">
        <v>48</v>
      </c>
      <c r="F1745" s="20" t="s">
        <v>472</v>
      </c>
    </row>
    <row r="1746">
      <c r="A1746" s="26">
        <v>44770.864178460644</v>
      </c>
      <c r="B1746" s="20" t="s">
        <v>67</v>
      </c>
      <c r="C1746" s="20">
        <v>1082.0</v>
      </c>
      <c r="D1746" s="20" t="s">
        <v>64</v>
      </c>
      <c r="E1746" s="20" t="s">
        <v>48</v>
      </c>
      <c r="F1746" s="20" t="s">
        <v>495</v>
      </c>
    </row>
    <row r="1747">
      <c r="A1747" s="26">
        <v>44771.572043692126</v>
      </c>
      <c r="B1747" s="20" t="s">
        <v>55</v>
      </c>
      <c r="C1747" s="20">
        <v>1897.0</v>
      </c>
      <c r="D1747" s="20" t="s">
        <v>53</v>
      </c>
      <c r="E1747" s="20" t="s">
        <v>75</v>
      </c>
      <c r="F1747" s="20" t="s">
        <v>545</v>
      </c>
    </row>
    <row r="1748">
      <c r="A1748" s="26">
        <v>44771.57242728009</v>
      </c>
      <c r="B1748" s="20" t="s">
        <v>55</v>
      </c>
      <c r="C1748" s="20">
        <v>349.0</v>
      </c>
      <c r="D1748" s="20" t="s">
        <v>532</v>
      </c>
      <c r="E1748" s="20" t="s">
        <v>75</v>
      </c>
      <c r="F1748" s="20" t="s">
        <v>469</v>
      </c>
    </row>
    <row r="1749">
      <c r="A1749" s="26">
        <v>44771.57284710648</v>
      </c>
      <c r="B1749" s="20" t="s">
        <v>55</v>
      </c>
      <c r="C1749" s="20">
        <v>969.0</v>
      </c>
      <c r="D1749" s="20" t="s">
        <v>93</v>
      </c>
      <c r="E1749" s="20" t="s">
        <v>75</v>
      </c>
      <c r="F1749" s="20" t="s">
        <v>473</v>
      </c>
    </row>
    <row r="1750">
      <c r="A1750" s="26">
        <v>44771.573206319445</v>
      </c>
      <c r="B1750" s="20" t="s">
        <v>55</v>
      </c>
      <c r="C1750" s="20">
        <v>228.0</v>
      </c>
      <c r="D1750" s="20" t="s">
        <v>430</v>
      </c>
      <c r="E1750" s="20" t="s">
        <v>75</v>
      </c>
      <c r="F1750" s="20" t="s">
        <v>471</v>
      </c>
    </row>
    <row r="1751">
      <c r="A1751" s="26">
        <v>44771.57369103009</v>
      </c>
      <c r="B1751" s="20" t="s">
        <v>55</v>
      </c>
      <c r="C1751" s="20">
        <v>915.0</v>
      </c>
      <c r="D1751" s="20" t="s">
        <v>58</v>
      </c>
      <c r="E1751" s="20" t="s">
        <v>75</v>
      </c>
      <c r="F1751" s="20" t="s">
        <v>546</v>
      </c>
    </row>
    <row r="1752">
      <c r="A1752" s="26">
        <v>44771.598299143516</v>
      </c>
      <c r="B1752" s="20" t="s">
        <v>67</v>
      </c>
      <c r="C1752" s="20">
        <v>570.0</v>
      </c>
      <c r="D1752" s="20" t="s">
        <v>40</v>
      </c>
      <c r="E1752" s="20" t="s">
        <v>96</v>
      </c>
      <c r="F1752" s="20" t="s">
        <v>449</v>
      </c>
    </row>
    <row r="1753">
      <c r="A1753" s="26">
        <v>44771.605246481486</v>
      </c>
      <c r="B1753" s="20" t="s">
        <v>67</v>
      </c>
      <c r="C1753" s="20">
        <v>83.0</v>
      </c>
      <c r="D1753" s="20" t="s">
        <v>560</v>
      </c>
      <c r="E1753" s="20" t="s">
        <v>96</v>
      </c>
      <c r="F1753" s="20" t="s">
        <v>449</v>
      </c>
    </row>
    <row r="1754">
      <c r="A1754" s="26">
        <v>44771.618732800925</v>
      </c>
      <c r="B1754" s="20" t="s">
        <v>67</v>
      </c>
      <c r="C1754" s="20">
        <v>307.0</v>
      </c>
      <c r="D1754" s="20" t="s">
        <v>38</v>
      </c>
      <c r="E1754" s="20" t="s">
        <v>96</v>
      </c>
      <c r="F1754" s="20" t="s">
        <v>449</v>
      </c>
    </row>
    <row r="1755">
      <c r="A1755" s="26">
        <v>44771.65528738426</v>
      </c>
      <c r="B1755" s="20" t="s">
        <v>67</v>
      </c>
      <c r="C1755" s="20">
        <v>761.0</v>
      </c>
      <c r="D1755" s="20" t="s">
        <v>47</v>
      </c>
      <c r="E1755" s="20" t="s">
        <v>96</v>
      </c>
      <c r="F1755" s="20" t="s">
        <v>449</v>
      </c>
    </row>
    <row r="1756">
      <c r="A1756" s="26">
        <v>44771.71102091435</v>
      </c>
      <c r="B1756" s="20" t="s">
        <v>55</v>
      </c>
      <c r="C1756" s="20">
        <v>102.0</v>
      </c>
      <c r="D1756" s="20" t="s">
        <v>332</v>
      </c>
      <c r="E1756" s="20" t="s">
        <v>60</v>
      </c>
      <c r="F1756" s="20" t="s">
        <v>455</v>
      </c>
    </row>
    <row r="1757">
      <c r="A1757" s="26">
        <v>44772.62900241898</v>
      </c>
      <c r="B1757" s="20" t="s">
        <v>55</v>
      </c>
      <c r="C1757" s="20">
        <v>643.0</v>
      </c>
      <c r="D1757" s="20" t="s">
        <v>40</v>
      </c>
      <c r="E1757" s="20" t="s">
        <v>75</v>
      </c>
      <c r="F1757" s="20" t="s">
        <v>455</v>
      </c>
    </row>
    <row r="1758">
      <c r="A1758" s="26">
        <v>44772.629376944446</v>
      </c>
      <c r="B1758" s="20" t="s">
        <v>55</v>
      </c>
      <c r="C1758" s="20">
        <v>242.0</v>
      </c>
      <c r="D1758" s="20" t="s">
        <v>58</v>
      </c>
      <c r="E1758" s="20" t="s">
        <v>75</v>
      </c>
      <c r="F1758" s="20" t="s">
        <v>455</v>
      </c>
    </row>
    <row r="1759">
      <c r="A1759" s="26">
        <v>44772.6892380787</v>
      </c>
      <c r="B1759" s="20" t="s">
        <v>345</v>
      </c>
      <c r="C1759" s="20">
        <v>200.0</v>
      </c>
      <c r="D1759" s="20" t="s">
        <v>47</v>
      </c>
      <c r="E1759" s="20" t="s">
        <v>177</v>
      </c>
      <c r="F1759" s="20" t="s">
        <v>449</v>
      </c>
    </row>
    <row r="1760">
      <c r="A1760" s="26">
        <v>44772.69013130787</v>
      </c>
      <c r="B1760" s="20" t="s">
        <v>345</v>
      </c>
      <c r="C1760" s="20">
        <v>442.0</v>
      </c>
      <c r="D1760" s="20" t="s">
        <v>332</v>
      </c>
      <c r="E1760" s="20" t="s">
        <v>219</v>
      </c>
      <c r="F1760" s="20" t="s">
        <v>449</v>
      </c>
    </row>
    <row r="1761">
      <c r="A1761" s="26">
        <v>44772.69065251158</v>
      </c>
      <c r="B1761" s="20" t="s">
        <v>345</v>
      </c>
      <c r="C1761" s="20">
        <v>671.0</v>
      </c>
      <c r="D1761" s="20" t="s">
        <v>40</v>
      </c>
      <c r="E1761" s="20" t="s">
        <v>75</v>
      </c>
      <c r="F1761" s="20" t="s">
        <v>449</v>
      </c>
    </row>
    <row r="1762">
      <c r="A1762" s="26">
        <v>44772.690946215276</v>
      </c>
      <c r="B1762" s="20" t="s">
        <v>345</v>
      </c>
      <c r="C1762" s="20">
        <v>327.0</v>
      </c>
      <c r="D1762" s="20" t="s">
        <v>40</v>
      </c>
      <c r="E1762" s="20" t="s">
        <v>75</v>
      </c>
      <c r="F1762" s="20" t="s">
        <v>449</v>
      </c>
    </row>
    <row r="1763">
      <c r="A1763" s="26">
        <v>44772.69119273148</v>
      </c>
      <c r="B1763" s="20" t="s">
        <v>345</v>
      </c>
      <c r="C1763" s="20">
        <v>1087.0</v>
      </c>
      <c r="D1763" s="20" t="s">
        <v>47</v>
      </c>
      <c r="E1763" s="20" t="s">
        <v>75</v>
      </c>
      <c r="F1763" s="20" t="s">
        <v>449</v>
      </c>
    </row>
    <row r="1764">
      <c r="A1764" s="26">
        <v>44772.69214085648</v>
      </c>
      <c r="B1764" s="20" t="s">
        <v>345</v>
      </c>
      <c r="C1764" s="20">
        <v>242.0</v>
      </c>
      <c r="D1764" s="20" t="s">
        <v>47</v>
      </c>
      <c r="E1764" s="20" t="s">
        <v>75</v>
      </c>
      <c r="F1764" s="20" t="s">
        <v>449</v>
      </c>
    </row>
    <row r="1765">
      <c r="A1765" s="26">
        <v>44772.692709386574</v>
      </c>
      <c r="B1765" s="20" t="s">
        <v>345</v>
      </c>
      <c r="C1765" s="20">
        <v>-531.0</v>
      </c>
      <c r="D1765" s="20" t="s">
        <v>47</v>
      </c>
      <c r="E1765" s="20" t="s">
        <v>75</v>
      </c>
      <c r="F1765" s="20" t="s">
        <v>449</v>
      </c>
    </row>
    <row r="1766">
      <c r="A1766" s="26">
        <v>44772.693111932866</v>
      </c>
      <c r="B1766" s="20" t="s">
        <v>345</v>
      </c>
      <c r="C1766" s="20">
        <v>-510.0</v>
      </c>
      <c r="D1766" s="20" t="s">
        <v>40</v>
      </c>
      <c r="E1766" s="20" t="s">
        <v>75</v>
      </c>
      <c r="F1766" s="20" t="s">
        <v>449</v>
      </c>
    </row>
    <row r="1767">
      <c r="A1767" s="26">
        <v>44772.70294413195</v>
      </c>
      <c r="B1767" s="20" t="s">
        <v>345</v>
      </c>
      <c r="C1767" s="20">
        <v>-659.0</v>
      </c>
      <c r="D1767" s="20" t="s">
        <v>561</v>
      </c>
      <c r="E1767" s="20" t="s">
        <v>75</v>
      </c>
      <c r="F1767" s="20" t="s">
        <v>449</v>
      </c>
    </row>
    <row r="1768">
      <c r="A1768" s="26">
        <v>44772.7032890625</v>
      </c>
      <c r="B1768" s="20" t="s">
        <v>345</v>
      </c>
      <c r="C1768" s="20">
        <v>-126.0</v>
      </c>
      <c r="D1768" s="20" t="s">
        <v>391</v>
      </c>
      <c r="E1768" s="20" t="s">
        <v>75</v>
      </c>
      <c r="F1768" s="20" t="s">
        <v>449</v>
      </c>
    </row>
    <row r="1769">
      <c r="A1769" s="28">
        <v>44772.0</v>
      </c>
      <c r="B1769" s="20" t="s">
        <v>55</v>
      </c>
      <c r="C1769" s="20">
        <v>212.0</v>
      </c>
      <c r="D1769" s="20" t="s">
        <v>138</v>
      </c>
      <c r="E1769" s="20" t="s">
        <v>75</v>
      </c>
      <c r="F1769" s="20" t="s">
        <v>449</v>
      </c>
    </row>
    <row r="1770">
      <c r="A1770" s="28">
        <v>44772.0</v>
      </c>
      <c r="B1770" s="20" t="s">
        <v>55</v>
      </c>
      <c r="C1770" s="20">
        <v>902.0</v>
      </c>
      <c r="D1770" s="20" t="s">
        <v>47</v>
      </c>
      <c r="E1770" s="20" t="s">
        <v>75</v>
      </c>
      <c r="F1770" s="20" t="s">
        <v>449</v>
      </c>
    </row>
    <row r="1771">
      <c r="A1771" s="28">
        <v>44772.0</v>
      </c>
      <c r="B1771" s="20" t="s">
        <v>55</v>
      </c>
      <c r="C1771" s="20">
        <v>557.0</v>
      </c>
      <c r="D1771" s="20" t="s">
        <v>562</v>
      </c>
      <c r="E1771" s="20" t="s">
        <v>75</v>
      </c>
      <c r="F1771" s="20" t="s">
        <v>449</v>
      </c>
    </row>
    <row r="1772">
      <c r="A1772" s="26">
        <v>44773.68022565972</v>
      </c>
      <c r="B1772" s="20" t="s">
        <v>554</v>
      </c>
      <c r="C1772" s="20">
        <v>20.0</v>
      </c>
      <c r="D1772" s="20" t="s">
        <v>64</v>
      </c>
      <c r="E1772" s="20" t="s">
        <v>563</v>
      </c>
      <c r="F1772" s="20" t="s">
        <v>449</v>
      </c>
    </row>
    <row r="1773">
      <c r="A1773" s="26">
        <v>44773.719031643515</v>
      </c>
      <c r="B1773" s="20" t="s">
        <v>49</v>
      </c>
      <c r="C1773" s="20">
        <v>14.0</v>
      </c>
      <c r="D1773" s="20" t="s">
        <v>64</v>
      </c>
      <c r="E1773" s="20" t="s">
        <v>63</v>
      </c>
      <c r="F1773" s="20" t="s">
        <v>449</v>
      </c>
    </row>
    <row r="1774">
      <c r="A1774" s="28">
        <v>44773.0</v>
      </c>
      <c r="B1774" s="20" t="s">
        <v>55</v>
      </c>
      <c r="C1774" s="20">
        <v>504.0</v>
      </c>
      <c r="D1774" s="20" t="s">
        <v>564</v>
      </c>
      <c r="E1774" s="20" t="s">
        <v>37</v>
      </c>
      <c r="F1774" s="20" t="s">
        <v>449</v>
      </c>
    </row>
    <row r="1775">
      <c r="A1775" s="28">
        <v>44773.0</v>
      </c>
      <c r="B1775" s="20" t="s">
        <v>55</v>
      </c>
      <c r="C1775" s="20">
        <v>531.0</v>
      </c>
      <c r="D1775" s="20" t="s">
        <v>47</v>
      </c>
      <c r="E1775" s="20" t="s">
        <v>37</v>
      </c>
      <c r="F1775" s="20" t="s">
        <v>449</v>
      </c>
    </row>
    <row r="1776">
      <c r="A1776" s="28">
        <v>44773.0</v>
      </c>
      <c r="B1776" s="20" t="s">
        <v>55</v>
      </c>
      <c r="C1776" s="20">
        <v>266.0</v>
      </c>
      <c r="D1776" s="20" t="s">
        <v>565</v>
      </c>
      <c r="E1776" s="20" t="s">
        <v>37</v>
      </c>
      <c r="F1776" s="20" t="s">
        <v>449</v>
      </c>
    </row>
    <row r="1777">
      <c r="A1777" s="28">
        <v>44773.0</v>
      </c>
      <c r="B1777" s="20" t="s">
        <v>55</v>
      </c>
      <c r="C1777" s="20">
        <v>30.0</v>
      </c>
      <c r="D1777" s="20" t="s">
        <v>251</v>
      </c>
      <c r="E1777" s="20" t="s">
        <v>37</v>
      </c>
      <c r="F1777" s="20" t="s">
        <v>449</v>
      </c>
      <c r="G1777" s="20">
        <v>100111.0</v>
      </c>
    </row>
    <row r="1778">
      <c r="A1778" s="26">
        <v>44775.62039135417</v>
      </c>
      <c r="B1778" s="20" t="s">
        <v>345</v>
      </c>
      <c r="C1778" s="20">
        <v>84.0</v>
      </c>
      <c r="D1778" s="20" t="s">
        <v>95</v>
      </c>
      <c r="E1778" s="20" t="s">
        <v>65</v>
      </c>
      <c r="F1778" s="20" t="s">
        <v>449</v>
      </c>
    </row>
    <row r="1779">
      <c r="A1779" s="26">
        <v>44775.62084974537</v>
      </c>
      <c r="B1779" s="20" t="s">
        <v>345</v>
      </c>
      <c r="C1779" s="20">
        <v>221.0</v>
      </c>
      <c r="D1779" s="20" t="s">
        <v>267</v>
      </c>
      <c r="E1779" s="20" t="s">
        <v>65</v>
      </c>
      <c r="F1779" s="20" t="s">
        <v>449</v>
      </c>
    </row>
    <row r="1780">
      <c r="A1780" s="26">
        <v>44775.621125590274</v>
      </c>
      <c r="B1780" s="20" t="s">
        <v>345</v>
      </c>
      <c r="C1780" s="20">
        <v>190.0</v>
      </c>
      <c r="D1780" s="20" t="s">
        <v>40</v>
      </c>
      <c r="E1780" s="20" t="s">
        <v>65</v>
      </c>
      <c r="F1780" s="20" t="s">
        <v>449</v>
      </c>
    </row>
    <row r="1781">
      <c r="A1781" s="26">
        <v>44775.62140732638</v>
      </c>
      <c r="B1781" s="20" t="s">
        <v>345</v>
      </c>
      <c r="C1781" s="20">
        <v>124.0</v>
      </c>
      <c r="D1781" s="20" t="s">
        <v>64</v>
      </c>
      <c r="E1781" s="20" t="s">
        <v>65</v>
      </c>
      <c r="F1781" s="20" t="s">
        <v>449</v>
      </c>
    </row>
    <row r="1782">
      <c r="A1782" s="26">
        <v>44775.62189689815</v>
      </c>
      <c r="B1782" s="20" t="s">
        <v>345</v>
      </c>
      <c r="C1782" s="20">
        <v>144.0</v>
      </c>
      <c r="D1782" s="20" t="s">
        <v>64</v>
      </c>
      <c r="E1782" s="20" t="s">
        <v>65</v>
      </c>
      <c r="F1782" s="20" t="s">
        <v>449</v>
      </c>
    </row>
    <row r="1783">
      <c r="A1783" s="26">
        <v>44775.70841603009</v>
      </c>
      <c r="B1783" s="20" t="s">
        <v>345</v>
      </c>
      <c r="C1783" s="20">
        <v>532.0</v>
      </c>
      <c r="D1783" s="20" t="s">
        <v>47</v>
      </c>
      <c r="E1783" s="20" t="s">
        <v>46</v>
      </c>
      <c r="F1783" s="20" t="s">
        <v>449</v>
      </c>
    </row>
    <row r="1784">
      <c r="A1784" s="26">
        <v>44775.7094737963</v>
      </c>
      <c r="B1784" s="20" t="s">
        <v>345</v>
      </c>
      <c r="C1784" s="20">
        <v>362.0</v>
      </c>
      <c r="D1784" s="20" t="s">
        <v>47</v>
      </c>
      <c r="E1784" s="20" t="s">
        <v>46</v>
      </c>
      <c r="F1784" s="20" t="s">
        <v>449</v>
      </c>
    </row>
    <row r="1785">
      <c r="A1785" s="26">
        <v>44776.638004594904</v>
      </c>
      <c r="B1785" s="20" t="s">
        <v>345</v>
      </c>
      <c r="C1785" s="20">
        <v>1073.0</v>
      </c>
      <c r="D1785" s="20" t="s">
        <v>47</v>
      </c>
      <c r="E1785" s="20" t="s">
        <v>70</v>
      </c>
      <c r="F1785" s="20" t="s">
        <v>449</v>
      </c>
    </row>
    <row r="1786">
      <c r="A1786" s="26">
        <v>44776.63826393519</v>
      </c>
      <c r="B1786" s="20" t="s">
        <v>345</v>
      </c>
      <c r="C1786" s="20">
        <v>247.0</v>
      </c>
      <c r="D1786" s="20" t="s">
        <v>40</v>
      </c>
      <c r="E1786" s="20" t="s">
        <v>70</v>
      </c>
      <c r="F1786" s="20" t="s">
        <v>449</v>
      </c>
    </row>
    <row r="1787">
      <c r="A1787" s="26">
        <v>44776.63849498842</v>
      </c>
      <c r="B1787" s="20" t="s">
        <v>345</v>
      </c>
      <c r="C1787" s="20">
        <v>567.0</v>
      </c>
      <c r="D1787" s="20" t="s">
        <v>40</v>
      </c>
      <c r="E1787" s="20" t="s">
        <v>70</v>
      </c>
      <c r="F1787" s="20" t="s">
        <v>449</v>
      </c>
    </row>
    <row r="1788">
      <c r="A1788" s="26">
        <v>44776.64771482639</v>
      </c>
      <c r="B1788" s="20" t="s">
        <v>67</v>
      </c>
      <c r="C1788" s="20">
        <v>767.0</v>
      </c>
      <c r="D1788" s="20" t="s">
        <v>64</v>
      </c>
      <c r="E1788" s="20" t="s">
        <v>401</v>
      </c>
      <c r="F1788" s="20" t="s">
        <v>449</v>
      </c>
    </row>
    <row r="1789">
      <c r="A1789" s="26">
        <v>44776.6613725</v>
      </c>
      <c r="B1789" s="20" t="s">
        <v>67</v>
      </c>
      <c r="C1789" s="20">
        <v>697.0</v>
      </c>
      <c r="D1789" s="20" t="s">
        <v>47</v>
      </c>
      <c r="E1789" s="20" t="s">
        <v>401</v>
      </c>
      <c r="F1789" s="20" t="s">
        <v>566</v>
      </c>
    </row>
    <row r="1790">
      <c r="A1790" s="26">
        <v>44777.69422210648</v>
      </c>
      <c r="B1790" s="20" t="s">
        <v>345</v>
      </c>
      <c r="C1790" s="20">
        <v>142.0</v>
      </c>
      <c r="D1790" s="20" t="s">
        <v>40</v>
      </c>
      <c r="E1790" s="20" t="s">
        <v>328</v>
      </c>
      <c r="F1790" s="20" t="s">
        <v>449</v>
      </c>
    </row>
    <row r="1791">
      <c r="A1791" s="26">
        <v>44777.695033020835</v>
      </c>
      <c r="B1791" s="20" t="s">
        <v>345</v>
      </c>
      <c r="C1791" s="20">
        <v>483.0</v>
      </c>
      <c r="D1791" s="20" t="s">
        <v>47</v>
      </c>
      <c r="E1791" s="20" t="s">
        <v>328</v>
      </c>
      <c r="F1791" s="20" t="s">
        <v>449</v>
      </c>
    </row>
    <row r="1792">
      <c r="A1792" s="26">
        <v>44778.66621998843</v>
      </c>
      <c r="B1792" s="20" t="s">
        <v>55</v>
      </c>
      <c r="C1792" s="20">
        <v>216.0</v>
      </c>
      <c r="D1792" s="20" t="s">
        <v>567</v>
      </c>
      <c r="E1792" s="20" t="s">
        <v>96</v>
      </c>
      <c r="F1792" s="20" t="s">
        <v>455</v>
      </c>
    </row>
    <row r="1793">
      <c r="A1793" s="26">
        <v>44778.66650839121</v>
      </c>
      <c r="B1793" s="20" t="s">
        <v>55</v>
      </c>
      <c r="C1793" s="20">
        <v>306.0</v>
      </c>
      <c r="D1793" s="20" t="s">
        <v>93</v>
      </c>
      <c r="E1793" s="20" t="s">
        <v>96</v>
      </c>
      <c r="F1793" s="20" t="s">
        <v>568</v>
      </c>
    </row>
    <row r="1794">
      <c r="A1794" s="26">
        <v>44778.66675472222</v>
      </c>
      <c r="B1794" s="20" t="s">
        <v>55</v>
      </c>
      <c r="C1794" s="20">
        <v>664.0</v>
      </c>
      <c r="D1794" s="20" t="s">
        <v>47</v>
      </c>
      <c r="E1794" s="20" t="s">
        <v>96</v>
      </c>
      <c r="F1794" s="20" t="s">
        <v>455</v>
      </c>
    </row>
    <row r="1795">
      <c r="A1795" s="26">
        <v>44778.667051296296</v>
      </c>
      <c r="B1795" s="20" t="s">
        <v>55</v>
      </c>
      <c r="C1795" s="20">
        <v>587.0</v>
      </c>
      <c r="D1795" s="20" t="s">
        <v>53</v>
      </c>
      <c r="E1795" s="20" t="s">
        <v>96</v>
      </c>
      <c r="F1795" s="20" t="s">
        <v>455</v>
      </c>
    </row>
    <row r="1796">
      <c r="A1796" s="26">
        <v>44780.676894108794</v>
      </c>
      <c r="B1796" s="20" t="s">
        <v>67</v>
      </c>
      <c r="C1796" s="20">
        <v>1092.0</v>
      </c>
      <c r="D1796" s="20" t="s">
        <v>64</v>
      </c>
      <c r="E1796" s="20" t="s">
        <v>81</v>
      </c>
      <c r="F1796" s="20" t="s">
        <v>449</v>
      </c>
    </row>
    <row r="1797">
      <c r="A1797" s="26">
        <v>44780.67782902777</v>
      </c>
      <c r="B1797" s="20" t="s">
        <v>67</v>
      </c>
      <c r="C1797" s="20">
        <v>238.0</v>
      </c>
      <c r="D1797" s="20" t="s">
        <v>76</v>
      </c>
      <c r="E1797" s="20" t="s">
        <v>81</v>
      </c>
      <c r="F1797" s="20" t="s">
        <v>449</v>
      </c>
    </row>
    <row r="1798">
      <c r="A1798" s="26">
        <v>44780.6783687037</v>
      </c>
      <c r="B1798" s="20" t="s">
        <v>67</v>
      </c>
      <c r="C1798" s="20">
        <v>413.0</v>
      </c>
      <c r="D1798" s="20" t="s">
        <v>47</v>
      </c>
      <c r="E1798" s="20" t="s">
        <v>81</v>
      </c>
      <c r="F1798" s="20" t="s">
        <v>449</v>
      </c>
    </row>
    <row r="1799">
      <c r="A1799" s="26">
        <v>44780.679131736106</v>
      </c>
      <c r="B1799" s="20" t="s">
        <v>67</v>
      </c>
      <c r="C1799" s="20">
        <v>368.0</v>
      </c>
      <c r="D1799" s="20" t="s">
        <v>64</v>
      </c>
      <c r="E1799" s="20" t="s">
        <v>50</v>
      </c>
      <c r="F1799" s="20" t="s">
        <v>449</v>
      </c>
    </row>
    <row r="1800">
      <c r="A1800" s="26">
        <v>44780.67981077546</v>
      </c>
      <c r="B1800" s="20" t="s">
        <v>67</v>
      </c>
      <c r="C1800" s="20">
        <v>282.0</v>
      </c>
      <c r="D1800" s="20" t="s">
        <v>56</v>
      </c>
      <c r="E1800" s="20" t="s">
        <v>65</v>
      </c>
      <c r="F1800" s="20" t="s">
        <v>449</v>
      </c>
    </row>
    <row r="1801">
      <c r="A1801" s="26">
        <v>44780.68034327547</v>
      </c>
      <c r="B1801" s="20" t="s">
        <v>67</v>
      </c>
      <c r="C1801" s="20">
        <v>318.0</v>
      </c>
      <c r="D1801" s="20" t="s">
        <v>231</v>
      </c>
      <c r="E1801" s="20" t="s">
        <v>65</v>
      </c>
      <c r="F1801" s="20" t="s">
        <v>449</v>
      </c>
    </row>
    <row r="1802">
      <c r="A1802" s="26">
        <v>44780.70121324074</v>
      </c>
      <c r="B1802" s="20" t="s">
        <v>67</v>
      </c>
      <c r="C1802" s="20">
        <v>323.0</v>
      </c>
      <c r="D1802" s="20" t="s">
        <v>77</v>
      </c>
      <c r="E1802" s="20" t="s">
        <v>75</v>
      </c>
      <c r="F1802" s="20" t="s">
        <v>449</v>
      </c>
    </row>
    <row r="1803">
      <c r="A1803" s="26">
        <v>44780.70172010417</v>
      </c>
      <c r="B1803" s="20" t="s">
        <v>67</v>
      </c>
      <c r="C1803" s="20">
        <v>182.0</v>
      </c>
      <c r="D1803" s="20" t="s">
        <v>76</v>
      </c>
      <c r="E1803" s="20" t="s">
        <v>75</v>
      </c>
      <c r="F1803" s="20" t="s">
        <v>449</v>
      </c>
    </row>
    <row r="1804">
      <c r="A1804" s="26">
        <v>44780.702301006946</v>
      </c>
      <c r="B1804" s="20" t="s">
        <v>67</v>
      </c>
      <c r="C1804" s="20">
        <v>183.0</v>
      </c>
      <c r="D1804" s="20" t="s">
        <v>76</v>
      </c>
      <c r="E1804" s="20" t="s">
        <v>75</v>
      </c>
      <c r="F1804" s="20" t="s">
        <v>449</v>
      </c>
    </row>
    <row r="1805">
      <c r="A1805" s="26">
        <v>44780.703581388894</v>
      </c>
      <c r="B1805" s="20" t="s">
        <v>67</v>
      </c>
      <c r="C1805" s="20">
        <v>1085.0</v>
      </c>
      <c r="D1805" s="20" t="s">
        <v>99</v>
      </c>
      <c r="E1805" s="20" t="s">
        <v>75</v>
      </c>
      <c r="F1805" s="20" t="s">
        <v>449</v>
      </c>
    </row>
    <row r="1806">
      <c r="A1806" s="26">
        <v>44780.704362372686</v>
      </c>
      <c r="B1806" s="20" t="s">
        <v>67</v>
      </c>
      <c r="C1806" s="20">
        <v>306.0</v>
      </c>
      <c r="D1806" s="20" t="s">
        <v>299</v>
      </c>
      <c r="E1806" s="20" t="s">
        <v>75</v>
      </c>
      <c r="F1806" s="20" t="s">
        <v>449</v>
      </c>
    </row>
    <row r="1807">
      <c r="A1807" s="26">
        <v>44780.70481972222</v>
      </c>
      <c r="B1807" s="20" t="s">
        <v>67</v>
      </c>
      <c r="C1807" s="20">
        <v>281.0</v>
      </c>
      <c r="D1807" s="20" t="s">
        <v>80</v>
      </c>
      <c r="E1807" s="20" t="s">
        <v>75</v>
      </c>
      <c r="F1807" s="20" t="s">
        <v>449</v>
      </c>
    </row>
    <row r="1808">
      <c r="A1808" s="26">
        <v>44780.70515605324</v>
      </c>
      <c r="B1808" s="20" t="s">
        <v>67</v>
      </c>
      <c r="C1808" s="20">
        <v>165.0</v>
      </c>
      <c r="D1808" s="20" t="s">
        <v>80</v>
      </c>
      <c r="E1808" s="20" t="s">
        <v>75</v>
      </c>
      <c r="F1808" s="20" t="s">
        <v>449</v>
      </c>
    </row>
    <row r="1809">
      <c r="A1809" s="26">
        <v>44780.705541006944</v>
      </c>
      <c r="B1809" s="20" t="s">
        <v>67</v>
      </c>
      <c r="C1809" s="20">
        <v>266.0</v>
      </c>
      <c r="D1809" s="20" t="s">
        <v>40</v>
      </c>
      <c r="E1809" s="20" t="s">
        <v>75</v>
      </c>
      <c r="F1809" s="20" t="s">
        <v>449</v>
      </c>
    </row>
    <row r="1810">
      <c r="A1810" s="26">
        <v>44780.705911122684</v>
      </c>
      <c r="B1810" s="20" t="s">
        <v>67</v>
      </c>
      <c r="C1810" s="20">
        <v>787.0</v>
      </c>
      <c r="D1810" s="20" t="s">
        <v>40</v>
      </c>
      <c r="E1810" s="20" t="s">
        <v>75</v>
      </c>
      <c r="F1810" s="20" t="s">
        <v>569</v>
      </c>
    </row>
    <row r="1811">
      <c r="A1811" s="26">
        <v>44780.70633914352</v>
      </c>
      <c r="B1811" s="20" t="s">
        <v>67</v>
      </c>
      <c r="C1811" s="20">
        <v>751.0</v>
      </c>
      <c r="D1811" s="20" t="s">
        <v>47</v>
      </c>
      <c r="E1811" s="20" t="s">
        <v>75</v>
      </c>
      <c r="F1811" s="20" t="s">
        <v>449</v>
      </c>
    </row>
    <row r="1812">
      <c r="A1812" s="26">
        <v>44780.706682013886</v>
      </c>
      <c r="B1812" s="20" t="s">
        <v>67</v>
      </c>
      <c r="C1812" s="20">
        <v>820.0</v>
      </c>
      <c r="D1812" s="20" t="s">
        <v>47</v>
      </c>
      <c r="E1812" s="20" t="s">
        <v>75</v>
      </c>
      <c r="F1812" s="20" t="s">
        <v>449</v>
      </c>
    </row>
    <row r="1813">
      <c r="A1813" s="26">
        <v>44780.707056354164</v>
      </c>
      <c r="B1813" s="20" t="s">
        <v>67</v>
      </c>
      <c r="C1813" s="20">
        <v>604.0</v>
      </c>
      <c r="D1813" s="20" t="s">
        <v>40</v>
      </c>
      <c r="E1813" s="20" t="s">
        <v>75</v>
      </c>
      <c r="F1813" s="20" t="s">
        <v>449</v>
      </c>
    </row>
    <row r="1814">
      <c r="A1814" s="26">
        <v>44780.70740951389</v>
      </c>
      <c r="B1814" s="20" t="s">
        <v>67</v>
      </c>
      <c r="C1814" s="20">
        <v>260.0</v>
      </c>
      <c r="D1814" s="20" t="s">
        <v>80</v>
      </c>
      <c r="E1814" s="20" t="s">
        <v>75</v>
      </c>
      <c r="F1814" s="20" t="s">
        <v>449</v>
      </c>
    </row>
    <row r="1815">
      <c r="A1815" s="26">
        <v>44780.70785315972</v>
      </c>
      <c r="B1815" s="20" t="s">
        <v>67</v>
      </c>
      <c r="C1815" s="20">
        <v>242.0</v>
      </c>
      <c r="D1815" s="20" t="s">
        <v>77</v>
      </c>
      <c r="E1815" s="20" t="s">
        <v>75</v>
      </c>
      <c r="F1815" s="20" t="s">
        <v>449</v>
      </c>
    </row>
    <row r="1816">
      <c r="A1816" s="26">
        <v>44784.69478831018</v>
      </c>
      <c r="B1816" s="20" t="s">
        <v>345</v>
      </c>
      <c r="C1816" s="20">
        <v>702.0</v>
      </c>
      <c r="D1816" s="20" t="s">
        <v>570</v>
      </c>
      <c r="E1816" s="20" t="s">
        <v>401</v>
      </c>
      <c r="F1816" s="20" t="s">
        <v>449</v>
      </c>
    </row>
    <row r="1817">
      <c r="A1817" s="26">
        <v>44784.69503938657</v>
      </c>
      <c r="B1817" s="20" t="s">
        <v>345</v>
      </c>
      <c r="C1817" s="20">
        <v>405.0</v>
      </c>
      <c r="D1817" s="20" t="s">
        <v>40</v>
      </c>
      <c r="E1817" s="20" t="s">
        <v>401</v>
      </c>
      <c r="F1817" s="20" t="s">
        <v>449</v>
      </c>
    </row>
    <row r="1818">
      <c r="A1818" s="28">
        <v>44785.0</v>
      </c>
      <c r="B1818" s="20" t="s">
        <v>345</v>
      </c>
      <c r="C1818" s="20">
        <v>182.0</v>
      </c>
      <c r="D1818" s="20" t="s">
        <v>76</v>
      </c>
      <c r="E1818" s="20" t="s">
        <v>96</v>
      </c>
      <c r="F1818" s="20" t="s">
        <v>449</v>
      </c>
    </row>
    <row r="1819">
      <c r="A1819" s="28">
        <v>44785.0</v>
      </c>
      <c r="B1819" s="20" t="s">
        <v>345</v>
      </c>
      <c r="C1819" s="20">
        <v>609.0</v>
      </c>
      <c r="D1819" s="20" t="s">
        <v>40</v>
      </c>
      <c r="E1819" s="20" t="s">
        <v>96</v>
      </c>
      <c r="F1819" s="20" t="s">
        <v>449</v>
      </c>
    </row>
    <row r="1820">
      <c r="A1820" s="28">
        <v>44785.0</v>
      </c>
      <c r="B1820" s="20" t="s">
        <v>345</v>
      </c>
      <c r="C1820" s="20">
        <v>349.0</v>
      </c>
      <c r="D1820" s="20" t="s">
        <v>571</v>
      </c>
      <c r="E1820" s="20" t="s">
        <v>96</v>
      </c>
      <c r="F1820" s="20" t="s">
        <v>449</v>
      </c>
    </row>
    <row r="1821">
      <c r="A1821" s="26">
        <v>44785.70579625</v>
      </c>
      <c r="B1821" s="20" t="s">
        <v>60</v>
      </c>
      <c r="C1821" s="20">
        <v>97.0</v>
      </c>
      <c r="D1821" s="20" t="s">
        <v>64</v>
      </c>
      <c r="E1821" s="20" t="s">
        <v>234</v>
      </c>
      <c r="F1821" s="20" t="s">
        <v>455</v>
      </c>
    </row>
    <row r="1822">
      <c r="A1822" s="26">
        <v>44786.66820407407</v>
      </c>
      <c r="B1822" s="20" t="s">
        <v>345</v>
      </c>
      <c r="C1822" s="20">
        <v>260.0</v>
      </c>
      <c r="D1822" s="20" t="s">
        <v>572</v>
      </c>
      <c r="E1822" s="20" t="s">
        <v>75</v>
      </c>
      <c r="F1822" s="20" t="s">
        <v>449</v>
      </c>
    </row>
    <row r="1823">
      <c r="A1823" s="26">
        <v>44786.66848018518</v>
      </c>
      <c r="B1823" s="20" t="s">
        <v>345</v>
      </c>
      <c r="C1823" s="20">
        <v>933.0</v>
      </c>
      <c r="D1823" s="20" t="s">
        <v>297</v>
      </c>
      <c r="E1823" s="20" t="s">
        <v>75</v>
      </c>
      <c r="F1823" s="20" t="s">
        <v>449</v>
      </c>
    </row>
    <row r="1824">
      <c r="A1824" s="26">
        <v>44786.66883145833</v>
      </c>
      <c r="B1824" s="20" t="s">
        <v>345</v>
      </c>
      <c r="C1824" s="20">
        <v>1095.0</v>
      </c>
      <c r="D1824" s="20" t="s">
        <v>470</v>
      </c>
      <c r="E1824" s="20" t="s">
        <v>75</v>
      </c>
      <c r="F1824" s="20" t="s">
        <v>449</v>
      </c>
    </row>
    <row r="1825">
      <c r="A1825" s="26">
        <v>44786.66917715278</v>
      </c>
      <c r="B1825" s="20" t="s">
        <v>345</v>
      </c>
      <c r="C1825" s="20">
        <v>275.0</v>
      </c>
      <c r="D1825" s="20" t="s">
        <v>572</v>
      </c>
      <c r="E1825" s="20" t="s">
        <v>75</v>
      </c>
      <c r="F1825" s="20" t="s">
        <v>449</v>
      </c>
    </row>
    <row r="1826">
      <c r="A1826" s="26">
        <v>44786.66962800926</v>
      </c>
      <c r="B1826" s="20" t="s">
        <v>345</v>
      </c>
      <c r="C1826" s="20">
        <v>1438.0</v>
      </c>
      <c r="D1826" s="20" t="s">
        <v>93</v>
      </c>
      <c r="E1826" s="20" t="s">
        <v>75</v>
      </c>
      <c r="F1826" s="20" t="s">
        <v>449</v>
      </c>
    </row>
    <row r="1827">
      <c r="A1827" s="26">
        <v>44786.67030940972</v>
      </c>
      <c r="B1827" s="20" t="s">
        <v>345</v>
      </c>
      <c r="C1827" s="20">
        <v>1108.0</v>
      </c>
      <c r="D1827" s="20" t="s">
        <v>40</v>
      </c>
      <c r="E1827" s="20" t="s">
        <v>75</v>
      </c>
      <c r="F1827" s="20" t="s">
        <v>449</v>
      </c>
    </row>
    <row r="1828">
      <c r="A1828" s="26">
        <v>44786.67313326389</v>
      </c>
      <c r="B1828" s="20" t="s">
        <v>345</v>
      </c>
      <c r="C1828" s="20">
        <v>1480.0</v>
      </c>
      <c r="D1828" s="20" t="s">
        <v>36</v>
      </c>
      <c r="E1828" s="20" t="s">
        <v>75</v>
      </c>
      <c r="F1828" s="20" t="s">
        <v>449</v>
      </c>
    </row>
    <row r="1829">
      <c r="A1829" s="26">
        <v>44786.67405140046</v>
      </c>
      <c r="B1829" s="20" t="s">
        <v>345</v>
      </c>
      <c r="C1829" s="20">
        <v>593.0</v>
      </c>
      <c r="D1829" s="20" t="s">
        <v>47</v>
      </c>
      <c r="E1829" s="20" t="s">
        <v>75</v>
      </c>
      <c r="F1829" s="20" t="s">
        <v>449</v>
      </c>
    </row>
    <row r="1830">
      <c r="A1830" s="26">
        <v>44786.6742958449</v>
      </c>
      <c r="B1830" s="20" t="s">
        <v>345</v>
      </c>
      <c r="C1830" s="20">
        <v>701.0</v>
      </c>
      <c r="D1830" s="20" t="s">
        <v>47</v>
      </c>
      <c r="E1830" s="20" t="s">
        <v>75</v>
      </c>
      <c r="F1830" s="20" t="s">
        <v>449</v>
      </c>
    </row>
    <row r="1831">
      <c r="A1831" s="26">
        <v>44786.67476707176</v>
      </c>
      <c r="B1831" s="20" t="s">
        <v>345</v>
      </c>
      <c r="C1831" s="20">
        <v>1501.0</v>
      </c>
      <c r="D1831" s="20" t="s">
        <v>93</v>
      </c>
      <c r="E1831" s="20" t="s">
        <v>75</v>
      </c>
      <c r="F1831" s="20" t="s">
        <v>449</v>
      </c>
    </row>
    <row r="1832">
      <c r="A1832" s="26">
        <v>44786.675117280094</v>
      </c>
      <c r="B1832" s="20" t="s">
        <v>345</v>
      </c>
      <c r="C1832" s="20">
        <v>582.0</v>
      </c>
      <c r="D1832" s="20" t="s">
        <v>40</v>
      </c>
      <c r="E1832" s="20" t="s">
        <v>75</v>
      </c>
      <c r="F1832" s="20" t="s">
        <v>449</v>
      </c>
    </row>
    <row r="1833">
      <c r="A1833" s="26">
        <v>44786.675554305555</v>
      </c>
      <c r="B1833" s="20" t="s">
        <v>345</v>
      </c>
      <c r="C1833" s="20">
        <v>-531.0</v>
      </c>
      <c r="D1833" s="20" t="s">
        <v>47</v>
      </c>
      <c r="E1833" s="20" t="s">
        <v>75</v>
      </c>
      <c r="F1833" s="20" t="s">
        <v>449</v>
      </c>
    </row>
    <row r="1834">
      <c r="A1834" s="26">
        <v>44786.67580564815</v>
      </c>
      <c r="B1834" s="20" t="s">
        <v>345</v>
      </c>
      <c r="C1834" s="20">
        <v>-523.0</v>
      </c>
      <c r="D1834" s="20" t="s">
        <v>40</v>
      </c>
      <c r="E1834" s="20" t="s">
        <v>75</v>
      </c>
      <c r="F1834" s="20" t="s">
        <v>449</v>
      </c>
    </row>
    <row r="1835">
      <c r="A1835" s="26">
        <v>44786.67610898148</v>
      </c>
      <c r="B1835" s="20" t="s">
        <v>345</v>
      </c>
      <c r="C1835" s="20">
        <v>-1246.0</v>
      </c>
      <c r="D1835" s="20" t="s">
        <v>40</v>
      </c>
      <c r="E1835" s="20" t="s">
        <v>75</v>
      </c>
      <c r="F1835" s="20" t="s">
        <v>449</v>
      </c>
    </row>
    <row r="1836">
      <c r="A1836" s="26">
        <v>44786.67636113426</v>
      </c>
      <c r="B1836" s="20" t="s">
        <v>345</v>
      </c>
      <c r="C1836" s="20">
        <v>-1084.0</v>
      </c>
      <c r="D1836" s="20" t="s">
        <v>36</v>
      </c>
      <c r="E1836" s="20" t="s">
        <v>75</v>
      </c>
      <c r="F1836" s="20" t="s">
        <v>449</v>
      </c>
    </row>
    <row r="1837">
      <c r="A1837" s="26">
        <v>44786.67885159722</v>
      </c>
      <c r="B1837" s="20" t="s">
        <v>345</v>
      </c>
      <c r="C1837" s="20">
        <v>-195.0</v>
      </c>
      <c r="D1837" s="20" t="s">
        <v>572</v>
      </c>
      <c r="E1837" s="20" t="s">
        <v>75</v>
      </c>
      <c r="F1837" s="20" t="s">
        <v>449</v>
      </c>
    </row>
    <row r="1838">
      <c r="A1838" s="26">
        <v>44786.682710567125</v>
      </c>
      <c r="B1838" s="20" t="s">
        <v>345</v>
      </c>
      <c r="C1838" s="20">
        <v>-177.0</v>
      </c>
      <c r="D1838" s="20" t="s">
        <v>470</v>
      </c>
      <c r="E1838" s="20" t="s">
        <v>75</v>
      </c>
      <c r="F1838" s="20" t="s">
        <v>449</v>
      </c>
    </row>
    <row r="1839">
      <c r="A1839" s="26">
        <v>44787.57049384259</v>
      </c>
      <c r="B1839" s="20" t="s">
        <v>345</v>
      </c>
      <c r="C1839" s="20">
        <v>558.0</v>
      </c>
      <c r="D1839" s="20" t="s">
        <v>573</v>
      </c>
      <c r="E1839" s="20" t="s">
        <v>37</v>
      </c>
      <c r="F1839" s="20" t="s">
        <v>449</v>
      </c>
    </row>
    <row r="1840">
      <c r="A1840" s="26">
        <v>44787.57078459491</v>
      </c>
      <c r="B1840" s="20" t="s">
        <v>345</v>
      </c>
      <c r="C1840" s="20">
        <v>571.0</v>
      </c>
      <c r="D1840" s="20" t="s">
        <v>40</v>
      </c>
      <c r="E1840" s="20" t="s">
        <v>37</v>
      </c>
      <c r="F1840" s="20" t="s">
        <v>449</v>
      </c>
    </row>
    <row r="1841">
      <c r="A1841" s="26">
        <v>44787.57102517362</v>
      </c>
      <c r="B1841" s="20" t="s">
        <v>345</v>
      </c>
      <c r="C1841" s="20">
        <v>531.0</v>
      </c>
      <c r="D1841" s="20" t="s">
        <v>47</v>
      </c>
      <c r="E1841" s="20" t="s">
        <v>37</v>
      </c>
      <c r="F1841" s="20" t="s">
        <v>449</v>
      </c>
    </row>
    <row r="1842">
      <c r="A1842" s="26">
        <v>44787.57243943287</v>
      </c>
      <c r="B1842" s="20" t="s">
        <v>345</v>
      </c>
      <c r="C1842" s="20">
        <v>195.0</v>
      </c>
      <c r="D1842" s="20" t="s">
        <v>76</v>
      </c>
      <c r="E1842" s="20" t="s">
        <v>37</v>
      </c>
      <c r="F1842" s="20" t="s">
        <v>449</v>
      </c>
    </row>
    <row r="1843">
      <c r="A1843" s="26">
        <v>44787.58606136574</v>
      </c>
      <c r="B1843" s="20" t="s">
        <v>345</v>
      </c>
      <c r="C1843" s="20">
        <v>172.0</v>
      </c>
      <c r="D1843" s="20" t="s">
        <v>93</v>
      </c>
      <c r="E1843" s="20" t="s">
        <v>37</v>
      </c>
      <c r="F1843" s="20" t="s">
        <v>449</v>
      </c>
    </row>
    <row r="1844">
      <c r="A1844" s="26">
        <v>44787.58638804399</v>
      </c>
      <c r="B1844" s="20" t="s">
        <v>345</v>
      </c>
      <c r="C1844" s="20">
        <v>79.0</v>
      </c>
      <c r="D1844" s="20" t="s">
        <v>64</v>
      </c>
      <c r="E1844" s="20" t="s">
        <v>50</v>
      </c>
      <c r="F1844" s="20" t="s">
        <v>449</v>
      </c>
    </row>
    <row r="1845">
      <c r="A1845" s="28">
        <v>44787.0</v>
      </c>
      <c r="B1845" s="20" t="s">
        <v>345</v>
      </c>
      <c r="C1845" s="20">
        <v>680.0</v>
      </c>
      <c r="D1845" s="20" t="s">
        <v>64</v>
      </c>
      <c r="E1845" s="20" t="s">
        <v>65</v>
      </c>
      <c r="F1845" s="20" t="s">
        <v>449</v>
      </c>
    </row>
    <row r="1846">
      <c r="A1846" s="26">
        <v>44787.664589583335</v>
      </c>
      <c r="B1846" s="20" t="s">
        <v>574</v>
      </c>
      <c r="C1846" s="20">
        <v>20.0</v>
      </c>
      <c r="D1846" s="20" t="s">
        <v>64</v>
      </c>
      <c r="E1846" s="20" t="s">
        <v>554</v>
      </c>
      <c r="F1846" s="20">
        <v>1.0</v>
      </c>
    </row>
    <row r="1847">
      <c r="A1847" s="26">
        <v>44790.653717037036</v>
      </c>
      <c r="B1847" s="20" t="s">
        <v>345</v>
      </c>
      <c r="C1847" s="20">
        <v>497.0</v>
      </c>
      <c r="D1847" s="20" t="s">
        <v>93</v>
      </c>
      <c r="E1847" s="20" t="s">
        <v>401</v>
      </c>
      <c r="F1847" s="20" t="s">
        <v>449</v>
      </c>
    </row>
    <row r="1848">
      <c r="A1848" s="26">
        <v>44790.65403543982</v>
      </c>
      <c r="B1848" s="20" t="s">
        <v>345</v>
      </c>
      <c r="C1848" s="20">
        <v>207.0</v>
      </c>
      <c r="D1848" s="20" t="s">
        <v>575</v>
      </c>
      <c r="E1848" s="20" t="s">
        <v>401</v>
      </c>
      <c r="F1848" s="20" t="s">
        <v>449</v>
      </c>
    </row>
    <row r="1849">
      <c r="A1849" s="26">
        <v>44790.65428420139</v>
      </c>
      <c r="B1849" s="20" t="s">
        <v>345</v>
      </c>
      <c r="C1849" s="20">
        <v>725.0</v>
      </c>
      <c r="D1849" s="20" t="s">
        <v>36</v>
      </c>
      <c r="E1849" s="20" t="s">
        <v>401</v>
      </c>
      <c r="F1849" s="20" t="s">
        <v>449</v>
      </c>
    </row>
    <row r="1850">
      <c r="A1850" s="26">
        <v>44790.6557383912</v>
      </c>
      <c r="B1850" s="20" t="s">
        <v>345</v>
      </c>
      <c r="C1850" s="20">
        <v>217.0</v>
      </c>
      <c r="D1850" s="20" t="s">
        <v>38</v>
      </c>
      <c r="E1850" s="20" t="s">
        <v>401</v>
      </c>
      <c r="F1850" s="20" t="s">
        <v>449</v>
      </c>
    </row>
    <row r="1851">
      <c r="A1851" s="26">
        <v>44792.65376528935</v>
      </c>
      <c r="B1851" s="20" t="s">
        <v>163</v>
      </c>
      <c r="C1851" s="20">
        <v>130.0</v>
      </c>
      <c r="D1851" s="20" t="s">
        <v>575</v>
      </c>
      <c r="E1851" s="20" t="s">
        <v>96</v>
      </c>
      <c r="F1851" s="20" t="s">
        <v>449</v>
      </c>
    </row>
    <row r="1852">
      <c r="A1852" s="26">
        <v>44792.65461434028</v>
      </c>
      <c r="B1852" s="20" t="s">
        <v>163</v>
      </c>
      <c r="C1852" s="20">
        <v>221.0</v>
      </c>
      <c r="D1852" s="20" t="s">
        <v>76</v>
      </c>
      <c r="E1852" s="20" t="s">
        <v>96</v>
      </c>
      <c r="F1852" s="20" t="s">
        <v>455</v>
      </c>
    </row>
    <row r="1853">
      <c r="A1853" s="26">
        <v>44792.655906099535</v>
      </c>
      <c r="B1853" s="20" t="s">
        <v>163</v>
      </c>
      <c r="C1853" s="20">
        <v>629.0</v>
      </c>
      <c r="D1853" s="20" t="s">
        <v>93</v>
      </c>
      <c r="E1853" s="20" t="s">
        <v>96</v>
      </c>
      <c r="F1853" s="20" t="s">
        <v>455</v>
      </c>
    </row>
    <row r="1854">
      <c r="A1854" s="26">
        <v>44792.65646962963</v>
      </c>
      <c r="B1854" s="20" t="s">
        <v>163</v>
      </c>
      <c r="C1854" s="20">
        <v>439.0</v>
      </c>
      <c r="D1854" s="20" t="s">
        <v>40</v>
      </c>
      <c r="E1854" s="20" t="s">
        <v>96</v>
      </c>
      <c r="F1854" s="20" t="s">
        <v>455</v>
      </c>
    </row>
    <row r="1855">
      <c r="A1855" s="26">
        <v>44792.657092187495</v>
      </c>
      <c r="B1855" s="20" t="s">
        <v>163</v>
      </c>
      <c r="C1855" s="20">
        <v>325.0</v>
      </c>
      <c r="D1855" s="20" t="s">
        <v>38</v>
      </c>
      <c r="E1855" s="20" t="s">
        <v>96</v>
      </c>
      <c r="F1855" s="20" t="s">
        <v>455</v>
      </c>
    </row>
    <row r="1856">
      <c r="A1856" s="26">
        <v>44792.693954780094</v>
      </c>
      <c r="B1856" s="20" t="s">
        <v>576</v>
      </c>
      <c r="C1856" s="20">
        <v>98.0</v>
      </c>
      <c r="D1856" s="20" t="s">
        <v>64</v>
      </c>
      <c r="E1856" s="20" t="s">
        <v>234</v>
      </c>
      <c r="F1856" s="20" t="s">
        <v>455</v>
      </c>
    </row>
    <row r="1857">
      <c r="A1857" s="26">
        <v>44793.734478611106</v>
      </c>
      <c r="B1857" s="20" t="s">
        <v>345</v>
      </c>
      <c r="C1857" s="20">
        <v>466.0</v>
      </c>
      <c r="D1857" s="20" t="s">
        <v>577</v>
      </c>
      <c r="E1857" s="20" t="s">
        <v>75</v>
      </c>
      <c r="F1857" s="20" t="s">
        <v>469</v>
      </c>
    </row>
    <row r="1858">
      <c r="A1858" s="26">
        <v>44793.73469583334</v>
      </c>
      <c r="B1858" s="20" t="s">
        <v>345</v>
      </c>
      <c r="C1858" s="20">
        <v>315.0</v>
      </c>
      <c r="D1858" s="20" t="s">
        <v>577</v>
      </c>
      <c r="E1858" s="20" t="s">
        <v>75</v>
      </c>
      <c r="F1858" s="20" t="s">
        <v>522</v>
      </c>
    </row>
    <row r="1859">
      <c r="A1859" s="26">
        <v>44793.734888946754</v>
      </c>
      <c r="B1859" s="20" t="s">
        <v>345</v>
      </c>
      <c r="C1859" s="20">
        <v>776.0</v>
      </c>
      <c r="D1859" s="20" t="s">
        <v>76</v>
      </c>
      <c r="E1859" s="20" t="s">
        <v>75</v>
      </c>
      <c r="F1859" s="20" t="s">
        <v>578</v>
      </c>
    </row>
    <row r="1860">
      <c r="A1860" s="26">
        <v>44793.735413055554</v>
      </c>
      <c r="B1860" s="20" t="s">
        <v>345</v>
      </c>
      <c r="C1860" s="20">
        <v>218.0</v>
      </c>
      <c r="D1860" s="20" t="s">
        <v>76</v>
      </c>
      <c r="E1860" s="20" t="s">
        <v>75</v>
      </c>
      <c r="F1860" s="20" t="s">
        <v>455</v>
      </c>
    </row>
    <row r="1861">
      <c r="A1861" s="26">
        <v>44793.73570917824</v>
      </c>
      <c r="B1861" s="20" t="s">
        <v>345</v>
      </c>
      <c r="C1861" s="20">
        <v>273.0</v>
      </c>
      <c r="D1861" s="20" t="s">
        <v>117</v>
      </c>
      <c r="E1861" s="20" t="s">
        <v>75</v>
      </c>
      <c r="F1861" s="20" t="s">
        <v>449</v>
      </c>
    </row>
    <row r="1862">
      <c r="A1862" s="26">
        <v>44793.73592958333</v>
      </c>
      <c r="B1862" s="20" t="s">
        <v>345</v>
      </c>
      <c r="C1862" s="20">
        <v>1923.0</v>
      </c>
      <c r="D1862" s="20" t="s">
        <v>93</v>
      </c>
      <c r="E1862" s="20" t="s">
        <v>75</v>
      </c>
      <c r="F1862" s="20" t="s">
        <v>449</v>
      </c>
    </row>
    <row r="1863">
      <c r="A1863" s="26">
        <v>44793.73613405092</v>
      </c>
      <c r="B1863" s="20" t="s">
        <v>345</v>
      </c>
      <c r="C1863" s="20">
        <v>705.0</v>
      </c>
      <c r="D1863" s="20" t="s">
        <v>40</v>
      </c>
      <c r="E1863" s="20" t="s">
        <v>75</v>
      </c>
      <c r="F1863" s="20" t="s">
        <v>449</v>
      </c>
    </row>
    <row r="1864">
      <c r="A1864" s="26">
        <v>44793.736307037034</v>
      </c>
      <c r="B1864" s="20" t="s">
        <v>345</v>
      </c>
      <c r="C1864" s="20">
        <v>706.0</v>
      </c>
      <c r="D1864" s="20" t="s">
        <v>564</v>
      </c>
      <c r="E1864" s="20" t="s">
        <v>75</v>
      </c>
      <c r="F1864" s="20" t="s">
        <v>449</v>
      </c>
    </row>
    <row r="1865">
      <c r="A1865" s="26">
        <v>44793.736523263884</v>
      </c>
      <c r="B1865" s="20" t="s">
        <v>345</v>
      </c>
      <c r="C1865" s="20">
        <v>598.0</v>
      </c>
      <c r="D1865" s="20" t="s">
        <v>579</v>
      </c>
      <c r="E1865" s="20" t="s">
        <v>75</v>
      </c>
      <c r="F1865" s="20" t="s">
        <v>449</v>
      </c>
    </row>
    <row r="1866">
      <c r="A1866" s="26">
        <v>44793.73674094907</v>
      </c>
      <c r="B1866" s="20" t="s">
        <v>345</v>
      </c>
      <c r="C1866" s="20">
        <v>627.0</v>
      </c>
      <c r="D1866" s="20" t="s">
        <v>579</v>
      </c>
      <c r="E1866" s="20" t="s">
        <v>75</v>
      </c>
      <c r="F1866" s="20" t="s">
        <v>449</v>
      </c>
    </row>
    <row r="1867">
      <c r="A1867" s="26">
        <v>44793.736962407405</v>
      </c>
      <c r="B1867" s="20" t="s">
        <v>345</v>
      </c>
      <c r="C1867" s="20">
        <v>1311.0</v>
      </c>
      <c r="D1867" s="20" t="s">
        <v>43</v>
      </c>
      <c r="E1867" s="20" t="s">
        <v>75</v>
      </c>
      <c r="F1867" s="20" t="s">
        <v>455</v>
      </c>
    </row>
    <row r="1868">
      <c r="A1868" s="26">
        <v>44793.73737454861</v>
      </c>
      <c r="B1868" s="20" t="s">
        <v>345</v>
      </c>
      <c r="C1868" s="20">
        <v>-262.0</v>
      </c>
      <c r="D1868" s="20" t="s">
        <v>40</v>
      </c>
      <c r="E1868" s="20" t="s">
        <v>75</v>
      </c>
      <c r="F1868" s="20" t="s">
        <v>449</v>
      </c>
    </row>
    <row r="1869">
      <c r="A1869" s="26">
        <v>44793.73758151621</v>
      </c>
      <c r="B1869" s="20" t="s">
        <v>345</v>
      </c>
      <c r="C1869" s="20">
        <v>-656.0</v>
      </c>
      <c r="D1869" s="20" t="s">
        <v>40</v>
      </c>
      <c r="E1869" s="20" t="s">
        <v>75</v>
      </c>
      <c r="F1869" s="20" t="s">
        <v>449</v>
      </c>
    </row>
    <row r="1870">
      <c r="A1870" s="26">
        <v>44793.73780002315</v>
      </c>
      <c r="B1870" s="20" t="s">
        <v>345</v>
      </c>
      <c r="C1870" s="20">
        <v>-583.0</v>
      </c>
      <c r="D1870" s="20" t="s">
        <v>38</v>
      </c>
      <c r="E1870" s="20" t="s">
        <v>75</v>
      </c>
      <c r="F1870" s="20" t="s">
        <v>449</v>
      </c>
    </row>
    <row r="1871">
      <c r="A1871" s="26">
        <v>44793.73798829861</v>
      </c>
      <c r="B1871" s="20" t="s">
        <v>345</v>
      </c>
      <c r="C1871" s="20">
        <v>-424.0</v>
      </c>
      <c r="D1871" s="20" t="s">
        <v>93</v>
      </c>
      <c r="E1871" s="20" t="s">
        <v>75</v>
      </c>
      <c r="F1871" s="20" t="s">
        <v>449</v>
      </c>
    </row>
    <row r="1872">
      <c r="A1872" s="26">
        <v>44793.73821157408</v>
      </c>
      <c r="B1872" s="20" t="s">
        <v>345</v>
      </c>
      <c r="C1872" s="20">
        <v>-54.0</v>
      </c>
      <c r="D1872" s="20" t="s">
        <v>47</v>
      </c>
      <c r="E1872" s="20" t="s">
        <v>75</v>
      </c>
      <c r="F1872" s="20" t="s">
        <v>449</v>
      </c>
    </row>
    <row r="1873">
      <c r="A1873" s="26">
        <v>44793.73853297454</v>
      </c>
      <c r="B1873" s="20" t="s">
        <v>345</v>
      </c>
      <c r="C1873" s="20">
        <v>-1436.0</v>
      </c>
      <c r="D1873" s="20" t="s">
        <v>87</v>
      </c>
      <c r="E1873" s="20" t="s">
        <v>75</v>
      </c>
      <c r="F1873" s="20" t="s">
        <v>449</v>
      </c>
    </row>
    <row r="1874">
      <c r="A1874" s="26">
        <v>44793.73875145833</v>
      </c>
      <c r="B1874" s="20" t="s">
        <v>345</v>
      </c>
      <c r="C1874" s="20">
        <v>-391.0</v>
      </c>
      <c r="D1874" s="20" t="s">
        <v>76</v>
      </c>
      <c r="E1874" s="20" t="s">
        <v>75</v>
      </c>
      <c r="F1874" s="20" t="s">
        <v>449</v>
      </c>
    </row>
    <row r="1875">
      <c r="A1875" s="26">
        <v>44793.74921365741</v>
      </c>
      <c r="B1875" s="20" t="s">
        <v>345</v>
      </c>
      <c r="C1875" s="20">
        <v>250.0</v>
      </c>
      <c r="D1875" s="20" t="s">
        <v>47</v>
      </c>
      <c r="E1875" s="20" t="s">
        <v>75</v>
      </c>
      <c r="F1875" s="20" t="s">
        <v>449</v>
      </c>
    </row>
    <row r="1876">
      <c r="A1876" s="26">
        <v>44794.66059244213</v>
      </c>
      <c r="B1876" s="20" t="s">
        <v>411</v>
      </c>
      <c r="C1876" s="20">
        <v>529.0</v>
      </c>
      <c r="D1876" s="20" t="s">
        <v>76</v>
      </c>
      <c r="E1876" s="20" t="s">
        <v>183</v>
      </c>
      <c r="F1876" s="20" t="s">
        <v>483</v>
      </c>
    </row>
    <row r="1877">
      <c r="A1877" s="26">
        <v>44794.66377915509</v>
      </c>
      <c r="B1877" s="20" t="s">
        <v>411</v>
      </c>
      <c r="C1877" s="20">
        <v>383.0</v>
      </c>
      <c r="D1877" s="20" t="s">
        <v>36</v>
      </c>
      <c r="E1877" s="20" t="s">
        <v>183</v>
      </c>
      <c r="F1877" s="20" t="s">
        <v>455</v>
      </c>
    </row>
    <row r="1878">
      <c r="A1878" s="26">
        <v>44794.66735130787</v>
      </c>
      <c r="B1878" s="20" t="s">
        <v>411</v>
      </c>
      <c r="C1878" s="20">
        <v>378.0</v>
      </c>
      <c r="D1878" s="20" t="s">
        <v>36</v>
      </c>
      <c r="E1878" s="20" t="s">
        <v>100</v>
      </c>
      <c r="F1878" s="20" t="s">
        <v>455</v>
      </c>
    </row>
    <row r="1879">
      <c r="A1879" s="26">
        <v>44794.66777032407</v>
      </c>
      <c r="B1879" s="20" t="s">
        <v>411</v>
      </c>
      <c r="C1879" s="20">
        <v>573.0</v>
      </c>
      <c r="D1879" s="20" t="s">
        <v>38</v>
      </c>
      <c r="E1879" s="20" t="s">
        <v>100</v>
      </c>
      <c r="F1879" s="20" t="s">
        <v>455</v>
      </c>
    </row>
    <row r="1880">
      <c r="A1880" s="26">
        <v>44794.668179016204</v>
      </c>
      <c r="B1880" s="20" t="s">
        <v>411</v>
      </c>
      <c r="C1880" s="20">
        <v>235.0</v>
      </c>
      <c r="D1880" s="20" t="s">
        <v>40</v>
      </c>
      <c r="E1880" s="20" t="s">
        <v>100</v>
      </c>
      <c r="F1880" s="20" t="s">
        <v>455</v>
      </c>
    </row>
    <row r="1881">
      <c r="A1881" s="26">
        <v>44794.66857</v>
      </c>
      <c r="B1881" s="20" t="s">
        <v>411</v>
      </c>
      <c r="C1881" s="20">
        <v>656.0</v>
      </c>
      <c r="D1881" s="20" t="s">
        <v>40</v>
      </c>
      <c r="E1881" s="20" t="s">
        <v>183</v>
      </c>
      <c r="F1881" s="20" t="s">
        <v>455</v>
      </c>
    </row>
    <row r="1882">
      <c r="A1882" s="26">
        <v>44794.668847037035</v>
      </c>
      <c r="B1882" s="20" t="s">
        <v>411</v>
      </c>
      <c r="C1882" s="20">
        <v>266.0</v>
      </c>
      <c r="D1882" s="20" t="s">
        <v>40</v>
      </c>
      <c r="E1882" s="20" t="s">
        <v>183</v>
      </c>
      <c r="F1882" s="20" t="s">
        <v>455</v>
      </c>
    </row>
    <row r="1883">
      <c r="A1883" s="26">
        <v>44794.669471817135</v>
      </c>
      <c r="B1883" s="20" t="s">
        <v>411</v>
      </c>
      <c r="C1883" s="20">
        <v>528.0</v>
      </c>
      <c r="D1883" s="20" t="s">
        <v>64</v>
      </c>
      <c r="E1883" s="20" t="s">
        <v>65</v>
      </c>
      <c r="F1883" s="20" t="s">
        <v>455</v>
      </c>
    </row>
    <row r="1884">
      <c r="A1884" s="26">
        <v>44794.66978633102</v>
      </c>
      <c r="B1884" s="20" t="s">
        <v>411</v>
      </c>
      <c r="C1884" s="20">
        <v>518.0</v>
      </c>
      <c r="D1884" s="20" t="s">
        <v>64</v>
      </c>
      <c r="E1884" s="20" t="s">
        <v>65</v>
      </c>
      <c r="F1884" s="20" t="s">
        <v>455</v>
      </c>
    </row>
    <row r="1885">
      <c r="A1885" s="26">
        <v>44797.685160775465</v>
      </c>
      <c r="B1885" s="20" t="s">
        <v>345</v>
      </c>
      <c r="C1885" s="20">
        <v>384.0</v>
      </c>
      <c r="D1885" s="20" t="s">
        <v>40</v>
      </c>
      <c r="E1885" s="20" t="s">
        <v>401</v>
      </c>
      <c r="F1885" s="20" t="s">
        <v>449</v>
      </c>
    </row>
    <row r="1886">
      <c r="A1886" s="26">
        <v>44797.685428564815</v>
      </c>
      <c r="B1886" s="20" t="s">
        <v>345</v>
      </c>
      <c r="C1886" s="20">
        <v>481.0</v>
      </c>
      <c r="D1886" s="20" t="s">
        <v>40</v>
      </c>
      <c r="E1886" s="20" t="s">
        <v>401</v>
      </c>
      <c r="F1886" s="20" t="s">
        <v>449</v>
      </c>
    </row>
    <row r="1887">
      <c r="A1887" s="26">
        <v>44797.68574292824</v>
      </c>
      <c r="B1887" s="20" t="s">
        <v>345</v>
      </c>
      <c r="C1887" s="20">
        <v>391.0</v>
      </c>
      <c r="D1887" s="20" t="s">
        <v>76</v>
      </c>
      <c r="E1887" s="20" t="s">
        <v>401</v>
      </c>
      <c r="F1887" s="20" t="s">
        <v>449</v>
      </c>
    </row>
    <row r="1888">
      <c r="A1888" s="26">
        <v>44797.686061203705</v>
      </c>
      <c r="B1888" s="20" t="s">
        <v>345</v>
      </c>
      <c r="C1888" s="20">
        <v>167.0</v>
      </c>
      <c r="D1888" s="20" t="s">
        <v>580</v>
      </c>
      <c r="E1888" s="20" t="s">
        <v>401</v>
      </c>
      <c r="F1888" s="20" t="s">
        <v>449</v>
      </c>
    </row>
    <row r="1889">
      <c r="A1889" s="26">
        <v>44798.67891520834</v>
      </c>
      <c r="B1889" s="20" t="s">
        <v>345</v>
      </c>
      <c r="C1889" s="20">
        <v>237.0</v>
      </c>
      <c r="D1889" s="20" t="s">
        <v>64</v>
      </c>
      <c r="E1889" s="20" t="s">
        <v>328</v>
      </c>
      <c r="F1889" s="20" t="s">
        <v>449</v>
      </c>
    </row>
    <row r="1890">
      <c r="A1890" s="26">
        <v>44798.68037516203</v>
      </c>
      <c r="B1890" s="20" t="s">
        <v>345</v>
      </c>
      <c r="C1890" s="20">
        <v>109.0</v>
      </c>
      <c r="D1890" s="20" t="s">
        <v>80</v>
      </c>
      <c r="E1890" s="20" t="s">
        <v>328</v>
      </c>
      <c r="F1890" s="20" t="s">
        <v>449</v>
      </c>
    </row>
    <row r="1891">
      <c r="A1891" s="26">
        <v>44798.691597129626</v>
      </c>
      <c r="B1891" s="20" t="s">
        <v>345</v>
      </c>
      <c r="C1891" s="20">
        <v>173.0</v>
      </c>
      <c r="D1891" s="20" t="s">
        <v>64</v>
      </c>
      <c r="E1891" s="20" t="s">
        <v>328</v>
      </c>
      <c r="F1891" s="20" t="s">
        <v>449</v>
      </c>
    </row>
    <row r="1892">
      <c r="A1892" s="26">
        <v>44800.49397091435</v>
      </c>
      <c r="B1892" s="20" t="s">
        <v>345</v>
      </c>
      <c r="C1892" s="20">
        <v>606.0</v>
      </c>
      <c r="D1892" s="20" t="s">
        <v>40</v>
      </c>
      <c r="E1892" s="20" t="s">
        <v>96</v>
      </c>
      <c r="F1892" s="20" t="s">
        <v>449</v>
      </c>
    </row>
    <row r="1893">
      <c r="A1893" s="26">
        <v>44800.494438877315</v>
      </c>
      <c r="B1893" s="20" t="s">
        <v>556</v>
      </c>
      <c r="C1893" s="20">
        <v>402.0</v>
      </c>
      <c r="D1893" s="20" t="s">
        <v>581</v>
      </c>
      <c r="E1893" s="20" t="s">
        <v>96</v>
      </c>
      <c r="F1893" s="20" t="s">
        <v>449</v>
      </c>
    </row>
    <row r="1894">
      <c r="A1894" s="26">
        <v>44800.49521119213</v>
      </c>
      <c r="B1894" s="20" t="s">
        <v>345</v>
      </c>
      <c r="C1894" s="20">
        <v>161.0</v>
      </c>
      <c r="D1894" s="20" t="s">
        <v>582</v>
      </c>
      <c r="E1894" s="20" t="s">
        <v>96</v>
      </c>
      <c r="F1894" s="20" t="s">
        <v>449</v>
      </c>
    </row>
    <row r="1895">
      <c r="A1895" s="26">
        <v>44800.49554289352</v>
      </c>
      <c r="B1895" s="20" t="s">
        <v>345</v>
      </c>
      <c r="C1895" s="20">
        <v>249.0</v>
      </c>
      <c r="D1895" s="20" t="s">
        <v>40</v>
      </c>
      <c r="E1895" s="20" t="s">
        <v>96</v>
      </c>
      <c r="F1895" s="20" t="s">
        <v>449</v>
      </c>
    </row>
    <row r="1896">
      <c r="A1896" s="26">
        <v>44800.667450925925</v>
      </c>
      <c r="B1896" s="20" t="s">
        <v>345</v>
      </c>
      <c r="C1896" s="20">
        <v>1474.0</v>
      </c>
      <c r="D1896" s="20" t="s">
        <v>582</v>
      </c>
      <c r="E1896" s="20" t="s">
        <v>75</v>
      </c>
      <c r="F1896" s="20" t="s">
        <v>449</v>
      </c>
    </row>
    <row r="1897">
      <c r="A1897" s="26">
        <v>44800.66771365741</v>
      </c>
      <c r="B1897" s="20" t="s">
        <v>345</v>
      </c>
      <c r="C1897" s="20">
        <v>201.0</v>
      </c>
      <c r="D1897" s="20" t="s">
        <v>76</v>
      </c>
      <c r="E1897" s="20" t="s">
        <v>75</v>
      </c>
      <c r="F1897" s="20" t="s">
        <v>449</v>
      </c>
    </row>
    <row r="1898">
      <c r="A1898" s="26">
        <v>44800.66788771991</v>
      </c>
      <c r="B1898" s="20" t="s">
        <v>345</v>
      </c>
      <c r="C1898" s="20">
        <v>339.0</v>
      </c>
      <c r="D1898" s="20" t="s">
        <v>76</v>
      </c>
      <c r="E1898" s="20" t="s">
        <v>75</v>
      </c>
      <c r="F1898" s="20" t="s">
        <v>449</v>
      </c>
    </row>
    <row r="1899">
      <c r="A1899" s="26">
        <v>44800.66812800926</v>
      </c>
      <c r="B1899" s="20" t="s">
        <v>345</v>
      </c>
      <c r="C1899" s="20">
        <v>1206.0</v>
      </c>
      <c r="D1899" s="20" t="s">
        <v>40</v>
      </c>
      <c r="E1899" s="20" t="s">
        <v>75</v>
      </c>
      <c r="F1899" s="20" t="s">
        <v>449</v>
      </c>
    </row>
    <row r="1900">
      <c r="A1900" s="26">
        <v>44800.66833508102</v>
      </c>
      <c r="B1900" s="20" t="s">
        <v>345</v>
      </c>
      <c r="C1900" s="20">
        <v>1164.0</v>
      </c>
      <c r="D1900" s="20" t="s">
        <v>36</v>
      </c>
      <c r="E1900" s="20" t="s">
        <v>75</v>
      </c>
      <c r="F1900" s="20" t="s">
        <v>449</v>
      </c>
    </row>
    <row r="1901">
      <c r="A1901" s="26">
        <v>44800.668773287034</v>
      </c>
      <c r="B1901" s="20" t="s">
        <v>345</v>
      </c>
      <c r="C1901" s="20">
        <v>596.0</v>
      </c>
      <c r="D1901" s="20" t="s">
        <v>36</v>
      </c>
      <c r="E1901" s="20" t="s">
        <v>75</v>
      </c>
      <c r="F1901" s="20" t="s">
        <v>449</v>
      </c>
    </row>
    <row r="1902">
      <c r="A1902" s="26">
        <v>44800.66971662037</v>
      </c>
      <c r="B1902" s="20" t="s">
        <v>345</v>
      </c>
      <c r="C1902" s="20">
        <v>239.0</v>
      </c>
      <c r="D1902" s="20" t="s">
        <v>583</v>
      </c>
      <c r="E1902" s="20" t="s">
        <v>75</v>
      </c>
      <c r="F1902" s="20" t="s">
        <v>449</v>
      </c>
    </row>
    <row r="1903">
      <c r="A1903" s="26">
        <v>44800.66996494213</v>
      </c>
      <c r="B1903" s="20" t="s">
        <v>345</v>
      </c>
      <c r="C1903" s="20">
        <v>1670.0</v>
      </c>
      <c r="D1903" s="20" t="s">
        <v>40</v>
      </c>
      <c r="E1903" s="20" t="s">
        <v>75</v>
      </c>
      <c r="F1903" s="20" t="s">
        <v>449</v>
      </c>
    </row>
    <row r="1904">
      <c r="A1904" s="26">
        <v>44800.67186483796</v>
      </c>
      <c r="B1904" s="20" t="s">
        <v>345</v>
      </c>
      <c r="C1904" s="20">
        <v>537.0</v>
      </c>
      <c r="D1904" s="20" t="s">
        <v>38</v>
      </c>
      <c r="E1904" s="20" t="s">
        <v>75</v>
      </c>
      <c r="F1904" s="20" t="s">
        <v>449</v>
      </c>
    </row>
    <row r="1905">
      <c r="A1905" s="26">
        <v>44800.67310209491</v>
      </c>
      <c r="B1905" s="20" t="s">
        <v>345</v>
      </c>
      <c r="C1905" s="20">
        <v>1338.0</v>
      </c>
      <c r="D1905" s="20" t="s">
        <v>584</v>
      </c>
      <c r="E1905" s="20" t="s">
        <v>75</v>
      </c>
      <c r="F1905" s="20" t="s">
        <v>449</v>
      </c>
    </row>
    <row r="1906">
      <c r="A1906" s="26">
        <v>44800.67338368055</v>
      </c>
      <c r="B1906" s="20" t="s">
        <v>345</v>
      </c>
      <c r="C1906" s="20">
        <v>894.0</v>
      </c>
      <c r="D1906" s="20" t="s">
        <v>40</v>
      </c>
      <c r="E1906" s="20" t="s">
        <v>75</v>
      </c>
      <c r="F1906" s="20" t="s">
        <v>449</v>
      </c>
    </row>
    <row r="1907">
      <c r="A1907" s="26">
        <v>44800.6735541088</v>
      </c>
      <c r="B1907" s="20" t="s">
        <v>345</v>
      </c>
      <c r="C1907" s="20">
        <v>701.0</v>
      </c>
      <c r="D1907" s="20" t="s">
        <v>40</v>
      </c>
      <c r="E1907" s="20" t="s">
        <v>75</v>
      </c>
      <c r="F1907" s="20" t="s">
        <v>449</v>
      </c>
    </row>
    <row r="1908">
      <c r="A1908" s="26">
        <v>44800.6883529051</v>
      </c>
      <c r="B1908" s="20" t="s">
        <v>345</v>
      </c>
      <c r="C1908" s="20">
        <v>-202.0</v>
      </c>
      <c r="D1908" s="20" t="s">
        <v>38</v>
      </c>
      <c r="E1908" s="20" t="s">
        <v>75</v>
      </c>
      <c r="F1908" s="20" t="s">
        <v>449</v>
      </c>
    </row>
    <row r="1909">
      <c r="A1909" s="26">
        <v>44800.68858741898</v>
      </c>
      <c r="B1909" s="20" t="s">
        <v>345</v>
      </c>
      <c r="C1909" s="20">
        <v>-302.0</v>
      </c>
      <c r="D1909" s="20" t="s">
        <v>40</v>
      </c>
      <c r="E1909" s="20" t="s">
        <v>75</v>
      </c>
      <c r="F1909" s="20" t="s">
        <v>449</v>
      </c>
    </row>
    <row r="1910">
      <c r="A1910" s="26">
        <v>44800.68879396991</v>
      </c>
      <c r="B1910" s="20" t="s">
        <v>345</v>
      </c>
      <c r="C1910" s="20">
        <v>-640.0</v>
      </c>
      <c r="D1910" s="20" t="s">
        <v>36</v>
      </c>
      <c r="E1910" s="20" t="s">
        <v>75</v>
      </c>
      <c r="F1910" s="20" t="s">
        <v>449</v>
      </c>
    </row>
    <row r="1911">
      <c r="A1911" s="26">
        <v>44800.689175381944</v>
      </c>
      <c r="B1911" s="20" t="s">
        <v>345</v>
      </c>
      <c r="C1911" s="20">
        <v>-414.0</v>
      </c>
      <c r="D1911" s="20" t="s">
        <v>584</v>
      </c>
      <c r="E1911" s="20" t="s">
        <v>75</v>
      </c>
      <c r="F1911" s="20" t="s">
        <v>455</v>
      </c>
    </row>
    <row r="1912">
      <c r="A1912" s="26">
        <v>44800.68948644676</v>
      </c>
      <c r="B1912" s="20" t="s">
        <v>345</v>
      </c>
      <c r="C1912" s="20">
        <v>-996.0</v>
      </c>
      <c r="D1912" s="20" t="s">
        <v>582</v>
      </c>
      <c r="E1912" s="20" t="s">
        <v>75</v>
      </c>
      <c r="F1912" s="20" t="s">
        <v>449</v>
      </c>
    </row>
    <row r="1913">
      <c r="A1913" s="26">
        <v>44800.68973741899</v>
      </c>
      <c r="B1913" s="20" t="s">
        <v>345</v>
      </c>
      <c r="C1913" s="20">
        <v>-217.0</v>
      </c>
      <c r="D1913" s="20" t="s">
        <v>76</v>
      </c>
      <c r="E1913" s="20" t="s">
        <v>75</v>
      </c>
      <c r="F1913" s="20" t="s">
        <v>449</v>
      </c>
    </row>
    <row r="1914">
      <c r="A1914" s="26">
        <v>44800.69144310185</v>
      </c>
      <c r="B1914" s="20" t="s">
        <v>345</v>
      </c>
      <c r="C1914" s="20">
        <v>700.0</v>
      </c>
      <c r="D1914" s="20" t="s">
        <v>40</v>
      </c>
      <c r="E1914" s="20" t="s">
        <v>75</v>
      </c>
      <c r="F1914" s="20" t="s">
        <v>449</v>
      </c>
    </row>
    <row r="1915">
      <c r="A1915" s="26">
        <v>44800.69222291667</v>
      </c>
      <c r="B1915" s="20" t="s">
        <v>345</v>
      </c>
      <c r="C1915" s="20">
        <v>-160.0</v>
      </c>
      <c r="D1915" s="20" t="s">
        <v>40</v>
      </c>
      <c r="E1915" s="20" t="s">
        <v>75</v>
      </c>
      <c r="F1915" s="20" t="s">
        <v>449</v>
      </c>
    </row>
    <row r="1916">
      <c r="A1916" s="26">
        <v>44801.66771525463</v>
      </c>
      <c r="B1916" s="20" t="s">
        <v>55</v>
      </c>
      <c r="C1916" s="20">
        <v>145.0</v>
      </c>
      <c r="D1916" s="20" t="s">
        <v>585</v>
      </c>
      <c r="E1916" s="20" t="s">
        <v>65</v>
      </c>
      <c r="F1916" s="20" t="s">
        <v>455</v>
      </c>
    </row>
    <row r="1917">
      <c r="A1917" s="26">
        <v>44801.6680012963</v>
      </c>
      <c r="B1917" s="20" t="s">
        <v>55</v>
      </c>
      <c r="C1917" s="20">
        <v>269.0</v>
      </c>
      <c r="D1917" s="20" t="s">
        <v>40</v>
      </c>
      <c r="E1917" s="20" t="s">
        <v>65</v>
      </c>
      <c r="F1917" s="20" t="s">
        <v>455</v>
      </c>
    </row>
    <row r="1918">
      <c r="A1918" s="26">
        <v>44801.668336504634</v>
      </c>
      <c r="B1918" s="20" t="s">
        <v>55</v>
      </c>
      <c r="C1918" s="20">
        <v>148.0</v>
      </c>
      <c r="D1918" s="20" t="s">
        <v>40</v>
      </c>
      <c r="E1918" s="20" t="s">
        <v>65</v>
      </c>
      <c r="F1918" s="20" t="s">
        <v>455</v>
      </c>
    </row>
    <row r="1919">
      <c r="A1919" s="26">
        <v>44801.668550601855</v>
      </c>
      <c r="B1919" s="20" t="s">
        <v>55</v>
      </c>
      <c r="C1919" s="20">
        <v>36.0</v>
      </c>
      <c r="D1919" s="20" t="s">
        <v>40</v>
      </c>
      <c r="E1919" s="20" t="s">
        <v>65</v>
      </c>
      <c r="F1919" s="20" t="s">
        <v>455</v>
      </c>
    </row>
    <row r="1920">
      <c r="A1920" s="26">
        <v>44801.669883379625</v>
      </c>
      <c r="B1920" s="20" t="s">
        <v>55</v>
      </c>
      <c r="C1920" s="20">
        <v>145.0</v>
      </c>
      <c r="D1920" s="20" t="s">
        <v>524</v>
      </c>
      <c r="E1920" s="20" t="s">
        <v>81</v>
      </c>
      <c r="F1920" s="20" t="s">
        <v>449</v>
      </c>
    </row>
    <row r="1921">
      <c r="A1921" s="26">
        <v>44801.67017106482</v>
      </c>
      <c r="B1921" s="20" t="s">
        <v>55</v>
      </c>
      <c r="C1921" s="20">
        <v>67.0</v>
      </c>
      <c r="D1921" s="20" t="s">
        <v>175</v>
      </c>
      <c r="E1921" s="20" t="s">
        <v>37</v>
      </c>
      <c r="F1921" s="20" t="s">
        <v>455</v>
      </c>
    </row>
    <row r="1922">
      <c r="A1922" s="26">
        <v>44801.67061341435</v>
      </c>
      <c r="B1922" s="20" t="s">
        <v>55</v>
      </c>
      <c r="C1922" s="20">
        <v>796.0</v>
      </c>
      <c r="D1922" s="20" t="s">
        <v>586</v>
      </c>
      <c r="E1922" s="20" t="s">
        <v>81</v>
      </c>
      <c r="F1922" s="20" t="s">
        <v>449</v>
      </c>
    </row>
    <row r="1923">
      <c r="A1923" s="26">
        <v>44801.67105456018</v>
      </c>
      <c r="B1923" s="20" t="s">
        <v>55</v>
      </c>
      <c r="C1923" s="20">
        <v>299.0</v>
      </c>
      <c r="D1923" s="20" t="s">
        <v>587</v>
      </c>
      <c r="E1923" s="20" t="s">
        <v>81</v>
      </c>
      <c r="F1923" s="20" t="s">
        <v>449</v>
      </c>
    </row>
    <row r="1924">
      <c r="A1924" s="26">
        <v>44801.67168998843</v>
      </c>
      <c r="B1924" s="20" t="s">
        <v>55</v>
      </c>
      <c r="C1924" s="20">
        <v>89.0</v>
      </c>
      <c r="D1924" s="20" t="s">
        <v>588</v>
      </c>
      <c r="E1924" s="20" t="s">
        <v>81</v>
      </c>
      <c r="F1924" s="20" t="s">
        <v>449</v>
      </c>
    </row>
    <row r="1925">
      <c r="A1925" s="26">
        <v>44801.6724893287</v>
      </c>
      <c r="B1925" s="20" t="s">
        <v>55</v>
      </c>
      <c r="C1925" s="20">
        <v>181.0</v>
      </c>
      <c r="D1925" s="20" t="s">
        <v>156</v>
      </c>
      <c r="E1925" s="20" t="s">
        <v>81</v>
      </c>
      <c r="F1925" s="20" t="s">
        <v>449</v>
      </c>
    </row>
    <row r="1926">
      <c r="A1926" s="26">
        <v>44801.672983125</v>
      </c>
      <c r="B1926" s="20" t="s">
        <v>55</v>
      </c>
      <c r="C1926" s="20">
        <v>41.0</v>
      </c>
      <c r="D1926" s="20" t="s">
        <v>585</v>
      </c>
      <c r="E1926" s="20" t="s">
        <v>50</v>
      </c>
      <c r="F1926" s="20" t="s">
        <v>449</v>
      </c>
    </row>
    <row r="1927">
      <c r="A1927" s="26">
        <v>44801.67340731481</v>
      </c>
      <c r="B1927" s="20" t="s">
        <v>55</v>
      </c>
      <c r="C1927" s="20">
        <v>60.0</v>
      </c>
      <c r="D1927" s="20" t="s">
        <v>40</v>
      </c>
      <c r="E1927" s="20" t="s">
        <v>50</v>
      </c>
      <c r="F1927" s="20" t="s">
        <v>449</v>
      </c>
    </row>
    <row r="1928">
      <c r="A1928" s="26">
        <v>44804.695282326385</v>
      </c>
      <c r="B1928" s="20" t="s">
        <v>345</v>
      </c>
      <c r="C1928" s="20">
        <v>540.0</v>
      </c>
      <c r="D1928" s="20" t="s">
        <v>40</v>
      </c>
      <c r="E1928" s="20" t="s">
        <v>589</v>
      </c>
      <c r="F1928" s="20" t="s">
        <v>449</v>
      </c>
    </row>
    <row r="1929">
      <c r="A1929" s="26">
        <v>44804.69622965278</v>
      </c>
      <c r="B1929" s="20" t="s">
        <v>345</v>
      </c>
      <c r="C1929" s="20">
        <v>430.0</v>
      </c>
      <c r="D1929" s="20" t="s">
        <v>40</v>
      </c>
      <c r="E1929" s="20" t="s">
        <v>589</v>
      </c>
      <c r="F1929" s="20" t="s">
        <v>449</v>
      </c>
      <c r="G1929" s="20">
        <v>54382.0</v>
      </c>
    </row>
    <row r="1930">
      <c r="A1930" s="26">
        <v>44806.63787452546</v>
      </c>
      <c r="B1930" s="20" t="s">
        <v>126</v>
      </c>
      <c r="C1930" s="20">
        <v>198.0</v>
      </c>
      <c r="D1930" s="20" t="s">
        <v>588</v>
      </c>
      <c r="E1930" s="20" t="s">
        <v>96</v>
      </c>
      <c r="F1930" s="20" t="s">
        <v>590</v>
      </c>
    </row>
    <row r="1931">
      <c r="A1931" s="26">
        <v>44806.638179155096</v>
      </c>
      <c r="B1931" s="20" t="s">
        <v>126</v>
      </c>
      <c r="C1931" s="20">
        <v>109.0</v>
      </c>
      <c r="D1931" s="20" t="s">
        <v>76</v>
      </c>
      <c r="E1931" s="20" t="s">
        <v>96</v>
      </c>
      <c r="F1931" s="20" t="s">
        <v>590</v>
      </c>
    </row>
    <row r="1932">
      <c r="A1932" s="26">
        <v>44806.63875496528</v>
      </c>
      <c r="B1932" s="20" t="s">
        <v>126</v>
      </c>
      <c r="C1932" s="20">
        <v>71.0</v>
      </c>
      <c r="D1932" s="20" t="s">
        <v>534</v>
      </c>
      <c r="E1932" s="20" t="s">
        <v>96</v>
      </c>
      <c r="F1932" s="20" t="s">
        <v>590</v>
      </c>
    </row>
    <row r="1933">
      <c r="A1933" s="26">
        <v>44806.70634690972</v>
      </c>
      <c r="B1933" s="20" t="s">
        <v>591</v>
      </c>
      <c r="C1933" s="20">
        <v>152.0</v>
      </c>
      <c r="D1933" s="20" t="s">
        <v>587</v>
      </c>
      <c r="E1933" s="20" t="s">
        <v>234</v>
      </c>
      <c r="F1933" s="20" t="s">
        <v>455</v>
      </c>
    </row>
    <row r="1934">
      <c r="A1934" s="26">
        <v>44807.72137663195</v>
      </c>
      <c r="B1934" s="20" t="s">
        <v>345</v>
      </c>
      <c r="C1934" s="20">
        <v>67.0</v>
      </c>
      <c r="D1934" s="20" t="s">
        <v>585</v>
      </c>
      <c r="E1934" s="20" t="s">
        <v>75</v>
      </c>
      <c r="F1934" s="20" t="s">
        <v>449</v>
      </c>
    </row>
    <row r="1935">
      <c r="A1935" s="26">
        <v>44807.72164733797</v>
      </c>
      <c r="B1935" s="20" t="s">
        <v>345</v>
      </c>
      <c r="C1935" s="20">
        <v>77.0</v>
      </c>
      <c r="D1935" s="20" t="s">
        <v>588</v>
      </c>
      <c r="E1935" s="20" t="s">
        <v>75</v>
      </c>
      <c r="F1935" s="20" t="s">
        <v>449</v>
      </c>
    </row>
    <row r="1936">
      <c r="A1936" s="26">
        <v>44807.721994907406</v>
      </c>
      <c r="B1936" s="20" t="s">
        <v>345</v>
      </c>
      <c r="C1936" s="20">
        <v>275.0</v>
      </c>
      <c r="D1936" s="20" t="s">
        <v>58</v>
      </c>
      <c r="E1936" s="20" t="s">
        <v>75</v>
      </c>
      <c r="F1936" s="20" t="s">
        <v>449</v>
      </c>
    </row>
    <row r="1937">
      <c r="A1937" s="26">
        <v>44807.72265689815</v>
      </c>
      <c r="B1937" s="20" t="s">
        <v>345</v>
      </c>
      <c r="C1937" s="20">
        <v>542.0</v>
      </c>
      <c r="D1937" s="20" t="s">
        <v>76</v>
      </c>
      <c r="E1937" s="20" t="s">
        <v>75</v>
      </c>
      <c r="F1937" s="20" t="s">
        <v>449</v>
      </c>
    </row>
    <row r="1938">
      <c r="A1938" s="26">
        <v>44807.7229640625</v>
      </c>
      <c r="B1938" s="20" t="s">
        <v>345</v>
      </c>
      <c r="C1938" s="20">
        <v>69.0</v>
      </c>
      <c r="D1938" s="20" t="s">
        <v>76</v>
      </c>
      <c r="E1938" s="20" t="s">
        <v>75</v>
      </c>
      <c r="F1938" s="20" t="s">
        <v>449</v>
      </c>
    </row>
    <row r="1939">
      <c r="A1939" s="26">
        <v>44807.72364266204</v>
      </c>
      <c r="B1939" s="20" t="s">
        <v>345</v>
      </c>
      <c r="C1939" s="20">
        <v>953.0</v>
      </c>
      <c r="D1939" s="20" t="s">
        <v>40</v>
      </c>
      <c r="E1939" s="20" t="s">
        <v>75</v>
      </c>
      <c r="F1939" s="20" t="s">
        <v>449</v>
      </c>
    </row>
    <row r="1940">
      <c r="A1940" s="26">
        <v>44807.72404434028</v>
      </c>
      <c r="B1940" s="20" t="s">
        <v>345</v>
      </c>
      <c r="C1940" s="20">
        <v>955.0</v>
      </c>
      <c r="D1940" s="20" t="s">
        <v>40</v>
      </c>
      <c r="E1940" s="20" t="s">
        <v>75</v>
      </c>
      <c r="F1940" s="20" t="s">
        <v>449</v>
      </c>
    </row>
    <row r="1941">
      <c r="A1941" s="26">
        <v>44807.72424642361</v>
      </c>
      <c r="B1941" s="20" t="s">
        <v>345</v>
      </c>
      <c r="C1941" s="20">
        <v>1038.0</v>
      </c>
      <c r="D1941" s="20" t="s">
        <v>586</v>
      </c>
      <c r="E1941" s="20" t="s">
        <v>75</v>
      </c>
      <c r="F1941" s="20" t="s">
        <v>449</v>
      </c>
    </row>
    <row r="1942">
      <c r="A1942" s="26">
        <v>44807.72455803241</v>
      </c>
      <c r="B1942" s="20" t="s">
        <v>345</v>
      </c>
      <c r="C1942" s="20">
        <v>938.0</v>
      </c>
      <c r="D1942" s="20" t="s">
        <v>592</v>
      </c>
      <c r="E1942" s="20" t="s">
        <v>75</v>
      </c>
      <c r="F1942" s="20" t="s">
        <v>449</v>
      </c>
    </row>
    <row r="1943">
      <c r="A1943" s="26">
        <v>44807.72485704861</v>
      </c>
      <c r="B1943" s="20" t="s">
        <v>345</v>
      </c>
      <c r="C1943" s="20">
        <v>926.0</v>
      </c>
      <c r="D1943" s="20" t="s">
        <v>40</v>
      </c>
      <c r="E1943" s="20" t="s">
        <v>75</v>
      </c>
      <c r="F1943" s="20" t="s">
        <v>449</v>
      </c>
    </row>
    <row r="1944">
      <c r="A1944" s="26">
        <v>44807.72540009259</v>
      </c>
      <c r="B1944" s="20" t="s">
        <v>345</v>
      </c>
      <c r="C1944" s="20">
        <v>376.0</v>
      </c>
      <c r="D1944" s="20" t="s">
        <v>58</v>
      </c>
      <c r="E1944" s="20" t="s">
        <v>75</v>
      </c>
      <c r="F1944" s="20" t="s">
        <v>449</v>
      </c>
    </row>
    <row r="1945">
      <c r="A1945" s="26">
        <v>44807.72568741898</v>
      </c>
      <c r="B1945" s="20" t="s">
        <v>345</v>
      </c>
      <c r="C1945" s="20">
        <v>605.0</v>
      </c>
      <c r="D1945" s="20" t="s">
        <v>404</v>
      </c>
      <c r="E1945" s="20" t="s">
        <v>75</v>
      </c>
      <c r="F1945" s="20" t="s">
        <v>449</v>
      </c>
    </row>
    <row r="1946">
      <c r="A1946" s="26">
        <v>44807.73010163194</v>
      </c>
      <c r="B1946" s="20" t="s">
        <v>345</v>
      </c>
      <c r="C1946" s="20">
        <v>256.0</v>
      </c>
      <c r="D1946" s="20" t="s">
        <v>585</v>
      </c>
      <c r="E1946" s="20" t="s">
        <v>75</v>
      </c>
      <c r="F1946" s="20" t="s">
        <v>449</v>
      </c>
    </row>
    <row r="1947">
      <c r="A1947" s="26">
        <v>44807.73029765046</v>
      </c>
      <c r="B1947" s="20" t="s">
        <v>345</v>
      </c>
      <c r="C1947" s="20">
        <v>508.0</v>
      </c>
      <c r="D1947" s="20" t="s">
        <v>593</v>
      </c>
      <c r="E1947" s="20" t="s">
        <v>75</v>
      </c>
      <c r="F1947" s="20" t="s">
        <v>449</v>
      </c>
    </row>
    <row r="1948">
      <c r="A1948" s="26">
        <v>44807.731198043984</v>
      </c>
      <c r="B1948" s="20" t="s">
        <v>345</v>
      </c>
      <c r="C1948" s="20">
        <v>527.0</v>
      </c>
      <c r="D1948" s="20" t="s">
        <v>585</v>
      </c>
      <c r="E1948" s="20" t="s">
        <v>75</v>
      </c>
      <c r="F1948" s="20" t="s">
        <v>449</v>
      </c>
    </row>
    <row r="1949">
      <c r="A1949" s="26">
        <v>44807.73184202546</v>
      </c>
      <c r="B1949" s="20" t="s">
        <v>345</v>
      </c>
      <c r="C1949" s="20">
        <v>-99.0</v>
      </c>
      <c r="D1949" s="20" t="s">
        <v>585</v>
      </c>
      <c r="E1949" s="20" t="s">
        <v>75</v>
      </c>
      <c r="F1949" s="20" t="s">
        <v>449</v>
      </c>
    </row>
    <row r="1950">
      <c r="A1950" s="26">
        <v>44807.7321165625</v>
      </c>
      <c r="B1950" s="20" t="s">
        <v>345</v>
      </c>
      <c r="C1950" s="20">
        <v>-121.0</v>
      </c>
      <c r="D1950" s="20" t="s">
        <v>585</v>
      </c>
      <c r="E1950" s="20" t="s">
        <v>75</v>
      </c>
      <c r="F1950" s="20" t="s">
        <v>449</v>
      </c>
    </row>
    <row r="1951">
      <c r="A1951" s="26">
        <v>44807.73246482639</v>
      </c>
      <c r="B1951" s="20" t="s">
        <v>556</v>
      </c>
      <c r="C1951" s="20">
        <v>-589.0</v>
      </c>
      <c r="D1951" s="20" t="s">
        <v>586</v>
      </c>
      <c r="E1951" s="20" t="s">
        <v>75</v>
      </c>
      <c r="F1951" s="20" t="s">
        <v>449</v>
      </c>
    </row>
    <row r="1952">
      <c r="A1952" s="26">
        <v>44807.73468689815</v>
      </c>
      <c r="B1952" s="20" t="s">
        <v>345</v>
      </c>
      <c r="C1952" s="20">
        <v>-175.0</v>
      </c>
      <c r="D1952" s="20" t="s">
        <v>404</v>
      </c>
      <c r="E1952" s="20" t="s">
        <v>75</v>
      </c>
      <c r="F1952" s="20" t="s">
        <v>449</v>
      </c>
    </row>
    <row r="1953">
      <c r="A1953" s="26">
        <v>44807.734905185185</v>
      </c>
      <c r="B1953" s="20" t="s">
        <v>345</v>
      </c>
      <c r="C1953" s="20">
        <v>-33.0</v>
      </c>
      <c r="D1953" s="20" t="s">
        <v>58</v>
      </c>
      <c r="E1953" s="20" t="s">
        <v>75</v>
      </c>
      <c r="F1953" s="20" t="s">
        <v>449</v>
      </c>
    </row>
    <row r="1954">
      <c r="A1954" s="26">
        <v>44808.613411388884</v>
      </c>
      <c r="B1954" s="20" t="s">
        <v>55</v>
      </c>
      <c r="C1954" s="20">
        <v>693.0</v>
      </c>
      <c r="D1954" s="20" t="s">
        <v>40</v>
      </c>
      <c r="E1954" s="20" t="s">
        <v>37</v>
      </c>
      <c r="F1954" s="20" t="s">
        <v>455</v>
      </c>
    </row>
    <row r="1955">
      <c r="A1955" s="26">
        <v>44808.61469267361</v>
      </c>
      <c r="B1955" s="20" t="s">
        <v>55</v>
      </c>
      <c r="C1955" s="20">
        <v>356.0</v>
      </c>
      <c r="D1955" s="20" t="s">
        <v>210</v>
      </c>
      <c r="E1955" s="20" t="s">
        <v>37</v>
      </c>
      <c r="F1955" s="20" t="s">
        <v>522</v>
      </c>
    </row>
    <row r="1956">
      <c r="A1956" s="26">
        <v>44808.61516119213</v>
      </c>
      <c r="B1956" s="20" t="s">
        <v>55</v>
      </c>
      <c r="C1956" s="20">
        <v>147.0</v>
      </c>
      <c r="D1956" s="20" t="s">
        <v>175</v>
      </c>
      <c r="E1956" s="20" t="s">
        <v>37</v>
      </c>
      <c r="F1956" s="20" t="s">
        <v>453</v>
      </c>
    </row>
    <row r="1957">
      <c r="A1957" s="26">
        <v>44808.61548945602</v>
      </c>
      <c r="B1957" s="20" t="s">
        <v>55</v>
      </c>
      <c r="C1957" s="20">
        <v>121.0</v>
      </c>
      <c r="D1957" s="20" t="s">
        <v>586</v>
      </c>
      <c r="E1957" s="20" t="s">
        <v>37</v>
      </c>
      <c r="F1957" s="20" t="s">
        <v>594</v>
      </c>
    </row>
    <row r="1958">
      <c r="A1958" s="26">
        <v>44808.61613152778</v>
      </c>
      <c r="B1958" s="20" t="s">
        <v>55</v>
      </c>
      <c r="C1958" s="20">
        <v>728.0</v>
      </c>
      <c r="D1958" s="20" t="s">
        <v>586</v>
      </c>
      <c r="E1958" s="20" t="s">
        <v>37</v>
      </c>
      <c r="F1958" s="20" t="s">
        <v>472</v>
      </c>
    </row>
    <row r="1959">
      <c r="A1959" s="26">
        <v>44808.61668515047</v>
      </c>
      <c r="B1959" s="20" t="s">
        <v>55</v>
      </c>
      <c r="C1959" s="20">
        <v>321.0</v>
      </c>
      <c r="D1959" s="20" t="s">
        <v>592</v>
      </c>
      <c r="E1959" s="20" t="s">
        <v>81</v>
      </c>
      <c r="F1959" s="20" t="s">
        <v>467</v>
      </c>
    </row>
    <row r="1960">
      <c r="A1960" s="26">
        <v>44808.61706773148</v>
      </c>
      <c r="B1960" s="20" t="s">
        <v>55</v>
      </c>
      <c r="C1960" s="20">
        <v>322.0</v>
      </c>
      <c r="D1960" s="20" t="s">
        <v>498</v>
      </c>
      <c r="E1960" s="20" t="s">
        <v>81</v>
      </c>
      <c r="F1960" s="20" t="s">
        <v>595</v>
      </c>
    </row>
    <row r="1961">
      <c r="A1961" s="26">
        <v>44808.64736278935</v>
      </c>
      <c r="B1961" s="20" t="s">
        <v>411</v>
      </c>
      <c r="C1961" s="20">
        <v>670.0</v>
      </c>
      <c r="D1961" s="20" t="s">
        <v>587</v>
      </c>
      <c r="E1961" s="20" t="s">
        <v>65</v>
      </c>
      <c r="F1961" s="20" t="s">
        <v>455</v>
      </c>
    </row>
    <row r="1962">
      <c r="A1962" s="26">
        <v>44812.55818204861</v>
      </c>
      <c r="B1962" s="20" t="s">
        <v>345</v>
      </c>
      <c r="C1962" s="20">
        <v>360.0</v>
      </c>
      <c r="D1962" s="20" t="s">
        <v>40</v>
      </c>
      <c r="E1962" s="20" t="s">
        <v>589</v>
      </c>
      <c r="F1962" s="20" t="s">
        <v>455</v>
      </c>
    </row>
    <row r="1963">
      <c r="A1963" s="26">
        <v>44812.55880112269</v>
      </c>
      <c r="B1963" s="20" t="s">
        <v>345</v>
      </c>
      <c r="C1963" s="20">
        <v>412.0</v>
      </c>
      <c r="D1963" s="20" t="s">
        <v>587</v>
      </c>
      <c r="E1963" s="20" t="s">
        <v>589</v>
      </c>
      <c r="F1963" s="20" t="s">
        <v>455</v>
      </c>
    </row>
    <row r="1964">
      <c r="A1964" s="26">
        <v>44812.55971427083</v>
      </c>
      <c r="B1964" s="20" t="s">
        <v>345</v>
      </c>
      <c r="C1964" s="20">
        <v>76.0</v>
      </c>
      <c r="D1964" s="20" t="s">
        <v>76</v>
      </c>
      <c r="E1964" s="20" t="s">
        <v>589</v>
      </c>
      <c r="F1964" s="20" t="s">
        <v>455</v>
      </c>
    </row>
    <row r="1965">
      <c r="A1965" s="26">
        <v>44812.56021751158</v>
      </c>
      <c r="B1965" s="20" t="s">
        <v>345</v>
      </c>
      <c r="C1965" s="20">
        <v>211.0</v>
      </c>
      <c r="D1965" s="20" t="s">
        <v>76</v>
      </c>
      <c r="E1965" s="20" t="s">
        <v>589</v>
      </c>
      <c r="F1965" s="20" t="s">
        <v>455</v>
      </c>
    </row>
    <row r="1966">
      <c r="A1966" s="26">
        <v>44812.56137697917</v>
      </c>
      <c r="B1966" s="20" t="s">
        <v>345</v>
      </c>
      <c r="C1966" s="20">
        <v>429.0</v>
      </c>
      <c r="D1966" s="20" t="s">
        <v>524</v>
      </c>
      <c r="E1966" s="20" t="s">
        <v>589</v>
      </c>
      <c r="F1966" s="20" t="s">
        <v>455</v>
      </c>
    </row>
    <row r="1967">
      <c r="A1967" s="26">
        <v>44812.70234153935</v>
      </c>
      <c r="B1967" s="20" t="s">
        <v>345</v>
      </c>
      <c r="C1967" s="20">
        <v>819.0</v>
      </c>
      <c r="D1967" s="20" t="s">
        <v>587</v>
      </c>
      <c r="E1967" s="20" t="s">
        <v>328</v>
      </c>
      <c r="F1967" s="20" t="s">
        <v>455</v>
      </c>
    </row>
    <row r="1968">
      <c r="A1968" s="26">
        <v>44812.70348966435</v>
      </c>
      <c r="B1968" s="20" t="s">
        <v>345</v>
      </c>
      <c r="C1968" s="20">
        <v>171.0</v>
      </c>
      <c r="D1968" s="20" t="s">
        <v>40</v>
      </c>
      <c r="E1968" s="20" t="s">
        <v>385</v>
      </c>
      <c r="F1968" s="20" t="s">
        <v>455</v>
      </c>
    </row>
    <row r="1969">
      <c r="A1969" s="26">
        <v>44813.678821469905</v>
      </c>
      <c r="B1969" s="20" t="s">
        <v>345</v>
      </c>
      <c r="C1969" s="20">
        <v>234.0</v>
      </c>
      <c r="D1969" s="20" t="s">
        <v>76</v>
      </c>
      <c r="E1969" s="20" t="s">
        <v>96</v>
      </c>
      <c r="F1969" s="20" t="s">
        <v>455</v>
      </c>
    </row>
    <row r="1970">
      <c r="A1970" s="26">
        <v>44813.67938091436</v>
      </c>
      <c r="B1970" s="20" t="s">
        <v>345</v>
      </c>
      <c r="C1970" s="20">
        <v>112.0</v>
      </c>
      <c r="D1970" s="20" t="s">
        <v>588</v>
      </c>
      <c r="E1970" s="20" t="s">
        <v>96</v>
      </c>
      <c r="F1970" s="20" t="s">
        <v>455</v>
      </c>
    </row>
    <row r="1971">
      <c r="A1971" s="26">
        <v>44813.67960466435</v>
      </c>
      <c r="B1971" s="20" t="s">
        <v>345</v>
      </c>
      <c r="C1971" s="20">
        <v>106.0</v>
      </c>
      <c r="D1971" s="20" t="s">
        <v>593</v>
      </c>
      <c r="E1971" s="20" t="s">
        <v>96</v>
      </c>
      <c r="F1971" s="20" t="s">
        <v>455</v>
      </c>
    </row>
    <row r="1972">
      <c r="A1972" s="26">
        <v>44813.67987478009</v>
      </c>
      <c r="B1972" s="20" t="s">
        <v>556</v>
      </c>
      <c r="C1972" s="20">
        <v>169.0</v>
      </c>
      <c r="D1972" s="20" t="s">
        <v>588</v>
      </c>
      <c r="E1972" s="20" t="s">
        <v>96</v>
      </c>
      <c r="F1972" s="20" t="s">
        <v>455</v>
      </c>
    </row>
    <row r="1973">
      <c r="A1973" s="26">
        <v>44813.680100983795</v>
      </c>
      <c r="B1973" s="20" t="s">
        <v>345</v>
      </c>
      <c r="C1973" s="20">
        <v>508.0</v>
      </c>
      <c r="D1973" s="20" t="s">
        <v>40</v>
      </c>
      <c r="E1973" s="20" t="s">
        <v>96</v>
      </c>
      <c r="F1973" s="20" t="s">
        <v>455</v>
      </c>
    </row>
    <row r="1974">
      <c r="A1974" s="26">
        <v>44813.69756594907</v>
      </c>
      <c r="B1974" s="20" t="s">
        <v>576</v>
      </c>
      <c r="C1974" s="20">
        <v>138.0</v>
      </c>
      <c r="D1974" s="20" t="s">
        <v>587</v>
      </c>
      <c r="E1974" s="20" t="s">
        <v>234</v>
      </c>
      <c r="F1974" s="20" t="s">
        <v>455</v>
      </c>
    </row>
    <row r="1975">
      <c r="A1975" s="26">
        <v>44814.6894515625</v>
      </c>
      <c r="B1975" s="20" t="s">
        <v>345</v>
      </c>
      <c r="C1975" s="20">
        <v>250.0</v>
      </c>
      <c r="D1975" s="20" t="s">
        <v>58</v>
      </c>
      <c r="E1975" s="20" t="s">
        <v>75</v>
      </c>
      <c r="F1975" s="20" t="s">
        <v>455</v>
      </c>
    </row>
    <row r="1976">
      <c r="A1976" s="26">
        <v>44814.69035336806</v>
      </c>
      <c r="B1976" s="20" t="s">
        <v>345</v>
      </c>
      <c r="C1976" s="20">
        <v>61.0</v>
      </c>
      <c r="D1976" s="20" t="s">
        <v>593</v>
      </c>
      <c r="E1976" s="20" t="s">
        <v>75</v>
      </c>
      <c r="F1976" s="20" t="s">
        <v>455</v>
      </c>
    </row>
    <row r="1977">
      <c r="A1977" s="26">
        <v>44814.69147457176</v>
      </c>
      <c r="B1977" s="20" t="s">
        <v>345</v>
      </c>
      <c r="C1977" s="20">
        <v>1094.0</v>
      </c>
      <c r="D1977" s="20" t="s">
        <v>586</v>
      </c>
      <c r="E1977" s="20" t="s">
        <v>75</v>
      </c>
      <c r="F1977" s="20" t="s">
        <v>455</v>
      </c>
    </row>
    <row r="1978">
      <c r="A1978" s="26">
        <v>44814.691804918984</v>
      </c>
      <c r="B1978" s="20" t="s">
        <v>345</v>
      </c>
      <c r="C1978" s="20">
        <v>154.0</v>
      </c>
      <c r="D1978" s="20" t="s">
        <v>592</v>
      </c>
      <c r="E1978" s="20" t="s">
        <v>75</v>
      </c>
      <c r="F1978" s="20" t="s">
        <v>455</v>
      </c>
    </row>
    <row r="1979">
      <c r="A1979" s="26">
        <v>44814.69199883102</v>
      </c>
      <c r="B1979" s="20" t="s">
        <v>345</v>
      </c>
      <c r="C1979" s="20">
        <v>-177.0</v>
      </c>
      <c r="D1979" s="20" t="s">
        <v>592</v>
      </c>
      <c r="E1979" s="20" t="s">
        <v>75</v>
      </c>
      <c r="F1979" s="20" t="s">
        <v>455</v>
      </c>
    </row>
    <row r="1980">
      <c r="A1980" s="26">
        <v>44814.69222403935</v>
      </c>
      <c r="B1980" s="20" t="s">
        <v>345</v>
      </c>
      <c r="C1980" s="20">
        <v>-1026.0</v>
      </c>
      <c r="D1980" s="20" t="s">
        <v>40</v>
      </c>
      <c r="E1980" s="20" t="s">
        <v>75</v>
      </c>
      <c r="F1980" s="20" t="s">
        <v>455</v>
      </c>
    </row>
    <row r="1981">
      <c r="A1981" s="26">
        <v>44814.69242118056</v>
      </c>
      <c r="B1981" s="20" t="s">
        <v>345</v>
      </c>
      <c r="C1981" s="20">
        <v>-225.0</v>
      </c>
      <c r="D1981" s="20" t="s">
        <v>76</v>
      </c>
      <c r="E1981" s="20" t="s">
        <v>75</v>
      </c>
      <c r="F1981" s="20" t="s">
        <v>455</v>
      </c>
    </row>
    <row r="1982">
      <c r="A1982" s="26">
        <v>44814.69262800926</v>
      </c>
      <c r="B1982" s="20" t="s">
        <v>345</v>
      </c>
      <c r="C1982" s="20">
        <v>-271.0</v>
      </c>
      <c r="D1982" s="20" t="s">
        <v>586</v>
      </c>
      <c r="E1982" s="20" t="s">
        <v>75</v>
      </c>
      <c r="F1982" s="20" t="s">
        <v>455</v>
      </c>
    </row>
    <row r="1983">
      <c r="A1983" s="26">
        <v>44814.69306655093</v>
      </c>
      <c r="B1983" s="20" t="s">
        <v>345</v>
      </c>
      <c r="C1983" s="20">
        <v>-248.0</v>
      </c>
      <c r="D1983" s="20" t="s">
        <v>175</v>
      </c>
      <c r="E1983" s="20" t="s">
        <v>75</v>
      </c>
      <c r="F1983" s="20" t="s">
        <v>455</v>
      </c>
    </row>
    <row r="1984">
      <c r="A1984" s="26">
        <v>44814.69458393518</v>
      </c>
      <c r="B1984" s="20" t="s">
        <v>345</v>
      </c>
      <c r="C1984" s="20">
        <v>200.0</v>
      </c>
      <c r="D1984" s="20" t="s">
        <v>76</v>
      </c>
      <c r="E1984" s="20" t="s">
        <v>75</v>
      </c>
      <c r="F1984" s="20" t="s">
        <v>455</v>
      </c>
    </row>
    <row r="1985">
      <c r="A1985" s="26">
        <v>44814.69528893518</v>
      </c>
      <c r="B1985" s="20" t="s">
        <v>345</v>
      </c>
      <c r="C1985" s="20">
        <v>818.0</v>
      </c>
      <c r="D1985" s="20" t="s">
        <v>585</v>
      </c>
      <c r="E1985" s="20" t="s">
        <v>75</v>
      </c>
      <c r="F1985" s="20" t="s">
        <v>455</v>
      </c>
    </row>
    <row r="1986">
      <c r="A1986" s="26">
        <v>44814.697449074076</v>
      </c>
      <c r="B1986" s="20" t="s">
        <v>345</v>
      </c>
      <c r="C1986" s="20">
        <v>916.0</v>
      </c>
      <c r="D1986" s="20" t="s">
        <v>40</v>
      </c>
      <c r="E1986" s="20" t="s">
        <v>75</v>
      </c>
      <c r="F1986" s="20" t="s">
        <v>455</v>
      </c>
    </row>
    <row r="1987">
      <c r="A1987" s="26">
        <v>44814.69774004629</v>
      </c>
      <c r="B1987" s="20" t="s">
        <v>345</v>
      </c>
      <c r="C1987" s="20">
        <v>491.0</v>
      </c>
      <c r="D1987" s="20" t="s">
        <v>76</v>
      </c>
      <c r="E1987" s="20" t="s">
        <v>75</v>
      </c>
      <c r="F1987" s="20" t="s">
        <v>455</v>
      </c>
    </row>
    <row r="1988">
      <c r="A1988" s="26">
        <v>44814.69794896991</v>
      </c>
      <c r="B1988" s="20" t="s">
        <v>345</v>
      </c>
      <c r="C1988" s="20">
        <v>75.0</v>
      </c>
      <c r="D1988" s="20" t="s">
        <v>76</v>
      </c>
      <c r="E1988" s="20" t="s">
        <v>75</v>
      </c>
      <c r="F1988" s="20" t="s">
        <v>455</v>
      </c>
    </row>
    <row r="1989">
      <c r="A1989" s="26">
        <v>44814.6992030324</v>
      </c>
      <c r="B1989" s="20" t="s">
        <v>345</v>
      </c>
      <c r="C1989" s="20">
        <v>552.0</v>
      </c>
      <c r="D1989" s="20" t="s">
        <v>592</v>
      </c>
      <c r="E1989" s="20" t="s">
        <v>75</v>
      </c>
      <c r="F1989" s="20" t="s">
        <v>455</v>
      </c>
    </row>
    <row r="1990">
      <c r="A1990" s="26">
        <v>44814.69971166667</v>
      </c>
      <c r="B1990" s="20" t="s">
        <v>345</v>
      </c>
      <c r="C1990" s="20">
        <v>602.0</v>
      </c>
      <c r="D1990" s="20" t="s">
        <v>586</v>
      </c>
      <c r="E1990" s="20" t="s">
        <v>75</v>
      </c>
      <c r="F1990" s="20" t="s">
        <v>455</v>
      </c>
    </row>
    <row r="1991">
      <c r="A1991" s="26">
        <v>44814.69989795139</v>
      </c>
      <c r="B1991" s="20" t="s">
        <v>345</v>
      </c>
      <c r="C1991" s="20">
        <v>84.0</v>
      </c>
      <c r="D1991" s="20" t="s">
        <v>586</v>
      </c>
      <c r="E1991" s="20" t="s">
        <v>75</v>
      </c>
      <c r="F1991" s="20" t="s">
        <v>455</v>
      </c>
    </row>
    <row r="1992">
      <c r="A1992" s="26">
        <v>44814.701807210644</v>
      </c>
      <c r="B1992" s="20" t="s">
        <v>345</v>
      </c>
      <c r="C1992" s="20">
        <v>604.0</v>
      </c>
      <c r="D1992" s="20" t="s">
        <v>175</v>
      </c>
      <c r="E1992" s="20" t="s">
        <v>75</v>
      </c>
      <c r="F1992" s="20" t="s">
        <v>455</v>
      </c>
    </row>
    <row r="1993">
      <c r="A1993" s="26">
        <v>44814.70380021991</v>
      </c>
      <c r="B1993" s="20" t="s">
        <v>345</v>
      </c>
      <c r="C1993" s="20">
        <v>374.0</v>
      </c>
      <c r="D1993" s="20" t="s">
        <v>593</v>
      </c>
      <c r="E1993" s="20" t="s">
        <v>75</v>
      </c>
      <c r="F1993" s="20" t="s">
        <v>455</v>
      </c>
    </row>
    <row r="1994">
      <c r="A1994" s="26">
        <v>44814.70430939815</v>
      </c>
      <c r="B1994" s="20" t="s">
        <v>345</v>
      </c>
      <c r="C1994" s="20">
        <v>934.0</v>
      </c>
      <c r="D1994" s="20" t="s">
        <v>40</v>
      </c>
      <c r="E1994" s="20" t="s">
        <v>75</v>
      </c>
      <c r="F1994" s="20" t="s">
        <v>455</v>
      </c>
    </row>
    <row r="1995">
      <c r="A1995" s="26">
        <v>44814.705954791665</v>
      </c>
      <c r="B1995" s="20" t="s">
        <v>345</v>
      </c>
      <c r="C1995" s="20">
        <v>231.0</v>
      </c>
      <c r="D1995" s="20" t="s">
        <v>58</v>
      </c>
      <c r="E1995" s="20" t="s">
        <v>75</v>
      </c>
      <c r="F1995" s="20" t="s">
        <v>455</v>
      </c>
    </row>
    <row r="1996">
      <c r="A1996" s="26">
        <v>44814.7062134838</v>
      </c>
      <c r="B1996" s="20" t="s">
        <v>345</v>
      </c>
      <c r="C1996" s="20">
        <v>1299.0</v>
      </c>
      <c r="D1996" s="20" t="s">
        <v>586</v>
      </c>
      <c r="E1996" s="20" t="s">
        <v>75</v>
      </c>
      <c r="F1996" s="20" t="s">
        <v>455</v>
      </c>
    </row>
    <row r="1997">
      <c r="A1997" s="26">
        <v>44814.70677741898</v>
      </c>
      <c r="B1997" s="20" t="s">
        <v>345</v>
      </c>
      <c r="C1997" s="20">
        <v>199.0</v>
      </c>
      <c r="D1997" s="20" t="s">
        <v>40</v>
      </c>
      <c r="E1997" s="20" t="s">
        <v>75</v>
      </c>
      <c r="F1997" s="20" t="s">
        <v>455</v>
      </c>
    </row>
    <row r="1998">
      <c r="A1998" s="26">
        <v>44814.70745107639</v>
      </c>
      <c r="B1998" s="20" t="s">
        <v>345</v>
      </c>
      <c r="C1998" s="20">
        <v>316.0</v>
      </c>
      <c r="D1998" s="20" t="s">
        <v>40</v>
      </c>
      <c r="E1998" s="20" t="s">
        <v>75</v>
      </c>
      <c r="F1998" s="20" t="s">
        <v>455</v>
      </c>
    </row>
    <row r="1999">
      <c r="A1999" s="26">
        <v>44815.54729954861</v>
      </c>
      <c r="B1999" s="20" t="s">
        <v>553</v>
      </c>
      <c r="C1999" s="20">
        <v>190.0</v>
      </c>
      <c r="D1999" s="20" t="s">
        <v>587</v>
      </c>
      <c r="E1999" s="20" t="s">
        <v>101</v>
      </c>
      <c r="F1999" s="20" t="s">
        <v>590</v>
      </c>
    </row>
    <row r="2000">
      <c r="A2000" s="26">
        <v>44815.67826804398</v>
      </c>
      <c r="B2000" s="20" t="s">
        <v>596</v>
      </c>
      <c r="C2000" s="20">
        <v>816.0</v>
      </c>
      <c r="D2000" s="20" t="s">
        <v>587</v>
      </c>
      <c r="E2000" s="20" t="s">
        <v>100</v>
      </c>
      <c r="F2000" s="20" t="s">
        <v>449</v>
      </c>
    </row>
    <row r="2001">
      <c r="A2001" s="26">
        <v>44815.679024259254</v>
      </c>
      <c r="B2001" s="20" t="s">
        <v>596</v>
      </c>
      <c r="C2001" s="20">
        <v>1106.0</v>
      </c>
      <c r="D2001" s="20" t="s">
        <v>585</v>
      </c>
      <c r="E2001" s="20" t="s">
        <v>183</v>
      </c>
      <c r="F2001" s="20" t="s">
        <v>449</v>
      </c>
    </row>
    <row r="2002">
      <c r="A2002" s="26">
        <v>44815.68005928241</v>
      </c>
      <c r="B2002" s="20" t="s">
        <v>596</v>
      </c>
      <c r="C2002" s="20">
        <v>85.0</v>
      </c>
      <c r="D2002" s="20" t="s">
        <v>585</v>
      </c>
      <c r="E2002" s="20" t="s">
        <v>183</v>
      </c>
      <c r="F2002" s="20" t="s">
        <v>449</v>
      </c>
    </row>
    <row r="2003">
      <c r="A2003" s="26">
        <v>44815.68142570602</v>
      </c>
      <c r="B2003" s="20" t="s">
        <v>596</v>
      </c>
      <c r="C2003" s="20">
        <v>837.0</v>
      </c>
      <c r="D2003" s="20" t="s">
        <v>587</v>
      </c>
      <c r="E2003" s="20" t="s">
        <v>65</v>
      </c>
      <c r="F2003" s="20" t="s">
        <v>449</v>
      </c>
    </row>
    <row r="2004">
      <c r="A2004" s="26">
        <v>44818.67582597223</v>
      </c>
      <c r="B2004" s="20" t="s">
        <v>345</v>
      </c>
      <c r="C2004" s="20">
        <v>276.0</v>
      </c>
      <c r="D2004" s="20" t="s">
        <v>585</v>
      </c>
      <c r="E2004" s="20" t="s">
        <v>589</v>
      </c>
      <c r="F2004" s="20" t="s">
        <v>449</v>
      </c>
    </row>
    <row r="2005">
      <c r="A2005" s="26">
        <v>44818.676108761574</v>
      </c>
      <c r="B2005" s="20" t="s">
        <v>345</v>
      </c>
      <c r="C2005" s="20">
        <v>84.0</v>
      </c>
      <c r="D2005" s="20" t="s">
        <v>76</v>
      </c>
      <c r="E2005" s="20" t="s">
        <v>589</v>
      </c>
      <c r="F2005" s="20" t="s">
        <v>455</v>
      </c>
    </row>
    <row r="2006">
      <c r="A2006" s="26">
        <v>44818.67640445602</v>
      </c>
      <c r="B2006" s="20" t="s">
        <v>345</v>
      </c>
      <c r="C2006" s="20">
        <v>560.0</v>
      </c>
      <c r="D2006" s="20" t="s">
        <v>587</v>
      </c>
      <c r="E2006" s="20" t="s">
        <v>589</v>
      </c>
      <c r="F2006" s="20" t="s">
        <v>455</v>
      </c>
    </row>
    <row r="2007">
      <c r="A2007" s="26">
        <v>44818.676828020834</v>
      </c>
      <c r="B2007" s="20" t="s">
        <v>345</v>
      </c>
      <c r="C2007" s="20">
        <v>614.0</v>
      </c>
      <c r="D2007" s="20" t="s">
        <v>40</v>
      </c>
      <c r="E2007" s="20" t="s">
        <v>589</v>
      </c>
      <c r="F2007" s="20" t="s">
        <v>455</v>
      </c>
    </row>
    <row r="2008">
      <c r="A2008" s="26">
        <v>44819.85071856482</v>
      </c>
      <c r="B2008" s="20" t="s">
        <v>597</v>
      </c>
      <c r="C2008" s="20">
        <v>239.0</v>
      </c>
      <c r="D2008" s="20" t="s">
        <v>95</v>
      </c>
      <c r="E2008" s="20" t="s">
        <v>598</v>
      </c>
      <c r="F2008" s="20" t="s">
        <v>449</v>
      </c>
    </row>
    <row r="2009">
      <c r="A2009" s="26">
        <v>44819.851275243054</v>
      </c>
      <c r="B2009" s="20" t="s">
        <v>599</v>
      </c>
      <c r="C2009" s="20">
        <v>228.0</v>
      </c>
      <c r="D2009" s="20" t="s">
        <v>76</v>
      </c>
      <c r="E2009" s="20" t="s">
        <v>598</v>
      </c>
      <c r="F2009" s="20" t="s">
        <v>600</v>
      </c>
    </row>
    <row r="2010">
      <c r="A2010" s="26">
        <v>44819.85162903935</v>
      </c>
      <c r="B2010" s="20" t="s">
        <v>599</v>
      </c>
      <c r="C2010" s="20">
        <v>149.0</v>
      </c>
      <c r="D2010" s="20" t="s">
        <v>76</v>
      </c>
      <c r="E2010" s="20" t="s">
        <v>598</v>
      </c>
      <c r="F2010" s="20" t="s">
        <v>449</v>
      </c>
    </row>
    <row r="2011">
      <c r="A2011" s="26">
        <v>44819.852033993055</v>
      </c>
      <c r="B2011" s="20" t="s">
        <v>437</v>
      </c>
      <c r="C2011" s="20">
        <v>183.0</v>
      </c>
      <c r="D2011" s="20" t="s">
        <v>601</v>
      </c>
      <c r="E2011" s="20" t="s">
        <v>598</v>
      </c>
      <c r="F2011" s="20" t="s">
        <v>449</v>
      </c>
    </row>
    <row r="2012">
      <c r="A2012" s="26">
        <v>44819.853577546295</v>
      </c>
      <c r="B2012" s="20" t="s">
        <v>437</v>
      </c>
      <c r="C2012" s="20">
        <v>342.0</v>
      </c>
      <c r="D2012" s="20" t="s">
        <v>585</v>
      </c>
      <c r="E2012" s="20" t="s">
        <v>598</v>
      </c>
      <c r="F2012" s="20" t="s">
        <v>449</v>
      </c>
    </row>
    <row r="2013">
      <c r="A2013" s="26">
        <v>44819.85402626157</v>
      </c>
      <c r="B2013" s="20" t="s">
        <v>437</v>
      </c>
      <c r="C2013" s="20">
        <v>304.0</v>
      </c>
      <c r="D2013" s="20" t="s">
        <v>602</v>
      </c>
      <c r="E2013" s="20" t="s">
        <v>598</v>
      </c>
      <c r="F2013" s="20" t="s">
        <v>449</v>
      </c>
    </row>
    <row r="2014">
      <c r="A2014" s="26">
        <v>44819.85467623842</v>
      </c>
      <c r="B2014" s="20" t="s">
        <v>437</v>
      </c>
      <c r="C2014" s="20">
        <v>456.0</v>
      </c>
      <c r="D2014" s="20" t="s">
        <v>40</v>
      </c>
      <c r="E2014" s="20" t="s">
        <v>598</v>
      </c>
      <c r="F2014" s="20" t="s">
        <v>449</v>
      </c>
    </row>
    <row r="2015">
      <c r="A2015" s="26">
        <v>44820.69036083334</v>
      </c>
      <c r="B2015" s="20" t="s">
        <v>345</v>
      </c>
      <c r="C2015" s="20">
        <v>145.0</v>
      </c>
      <c r="D2015" s="20" t="s">
        <v>593</v>
      </c>
      <c r="E2015" s="20" t="s">
        <v>96</v>
      </c>
      <c r="F2015" s="20" t="s">
        <v>455</v>
      </c>
    </row>
    <row r="2016">
      <c r="A2016" s="26">
        <v>44820.69069640046</v>
      </c>
      <c r="B2016" s="20" t="s">
        <v>345</v>
      </c>
      <c r="C2016" s="20">
        <v>95.0</v>
      </c>
      <c r="D2016" s="20" t="s">
        <v>588</v>
      </c>
      <c r="E2016" s="20" t="s">
        <v>96</v>
      </c>
      <c r="F2016" s="20" t="s">
        <v>455</v>
      </c>
    </row>
    <row r="2017">
      <c r="A2017" s="26">
        <v>44820.692136620375</v>
      </c>
      <c r="B2017" s="20" t="s">
        <v>345</v>
      </c>
      <c r="C2017" s="20">
        <v>276.0</v>
      </c>
      <c r="D2017" s="20" t="s">
        <v>603</v>
      </c>
      <c r="E2017" s="20" t="s">
        <v>96</v>
      </c>
      <c r="F2017" s="20" t="s">
        <v>455</v>
      </c>
    </row>
    <row r="2018">
      <c r="A2018" s="26">
        <v>44820.69237310185</v>
      </c>
      <c r="B2018" s="20" t="s">
        <v>345</v>
      </c>
      <c r="C2018" s="20">
        <v>335.0</v>
      </c>
      <c r="D2018" s="20" t="s">
        <v>40</v>
      </c>
      <c r="E2018" s="20" t="s">
        <v>96</v>
      </c>
      <c r="F2018" s="20" t="s">
        <v>455</v>
      </c>
    </row>
    <row r="2019">
      <c r="A2019" s="26">
        <v>44820.69270958334</v>
      </c>
      <c r="B2019" s="20" t="s">
        <v>345</v>
      </c>
      <c r="C2019" s="20">
        <v>122.0</v>
      </c>
      <c r="D2019" s="20" t="s">
        <v>76</v>
      </c>
      <c r="E2019" s="20" t="s">
        <v>604</v>
      </c>
      <c r="F2019" s="20" t="s">
        <v>455</v>
      </c>
    </row>
    <row r="2020">
      <c r="A2020" s="26">
        <v>44820.69303202546</v>
      </c>
      <c r="B2020" s="20" t="s">
        <v>345</v>
      </c>
      <c r="C2020" s="20">
        <v>215.0</v>
      </c>
      <c r="D2020" s="20" t="s">
        <v>76</v>
      </c>
      <c r="E2020" s="20" t="s">
        <v>604</v>
      </c>
      <c r="F2020" s="20" t="s">
        <v>455</v>
      </c>
    </row>
    <row r="2021">
      <c r="A2021" s="26">
        <v>44820.6983377662</v>
      </c>
      <c r="B2021" s="20" t="s">
        <v>345</v>
      </c>
      <c r="C2021" s="20">
        <v>174.0</v>
      </c>
      <c r="D2021" s="20" t="s">
        <v>76</v>
      </c>
      <c r="E2021" s="20" t="s">
        <v>605</v>
      </c>
      <c r="F2021" s="20" t="s">
        <v>455</v>
      </c>
    </row>
    <row r="2022">
      <c r="A2022" s="26">
        <v>44820.70859929398</v>
      </c>
      <c r="B2022" s="20" t="s">
        <v>576</v>
      </c>
      <c r="C2022" s="20">
        <v>86.0</v>
      </c>
      <c r="D2022" s="20" t="s">
        <v>587</v>
      </c>
      <c r="E2022" s="20" t="s">
        <v>234</v>
      </c>
      <c r="F2022" s="20" t="s">
        <v>455</v>
      </c>
    </row>
    <row r="2023">
      <c r="A2023" s="26">
        <v>44821.68943652778</v>
      </c>
      <c r="B2023" s="20" t="s">
        <v>345</v>
      </c>
      <c r="C2023" s="20">
        <v>186.0</v>
      </c>
      <c r="D2023" s="20" t="s">
        <v>76</v>
      </c>
      <c r="E2023" s="20" t="s">
        <v>75</v>
      </c>
      <c r="F2023" s="20" t="s">
        <v>455</v>
      </c>
    </row>
    <row r="2024">
      <c r="A2024" s="26">
        <v>44821.689943391204</v>
      </c>
      <c r="B2024" s="20" t="s">
        <v>345</v>
      </c>
      <c r="C2024" s="20">
        <v>444.0</v>
      </c>
      <c r="D2024" s="20" t="s">
        <v>603</v>
      </c>
      <c r="E2024" s="20" t="s">
        <v>75</v>
      </c>
      <c r="F2024" s="20" t="s">
        <v>455</v>
      </c>
    </row>
    <row r="2025">
      <c r="A2025" s="26">
        <v>44821.690160972226</v>
      </c>
      <c r="B2025" s="20" t="s">
        <v>345</v>
      </c>
      <c r="C2025" s="20">
        <v>122.0</v>
      </c>
      <c r="D2025" s="20" t="s">
        <v>76</v>
      </c>
      <c r="E2025" s="20" t="s">
        <v>75</v>
      </c>
      <c r="F2025" s="20" t="s">
        <v>455</v>
      </c>
    </row>
    <row r="2026">
      <c r="A2026" s="26">
        <v>44821.69065585648</v>
      </c>
      <c r="B2026" s="20" t="s">
        <v>345</v>
      </c>
      <c r="C2026" s="20">
        <v>791.0</v>
      </c>
      <c r="D2026" s="20" t="s">
        <v>606</v>
      </c>
      <c r="E2026" s="20" t="s">
        <v>75</v>
      </c>
      <c r="F2026" s="20" t="s">
        <v>455</v>
      </c>
    </row>
    <row r="2027">
      <c r="A2027" s="26">
        <v>44821.69108068287</v>
      </c>
      <c r="B2027" s="20" t="s">
        <v>345</v>
      </c>
      <c r="C2027" s="20">
        <v>817.0</v>
      </c>
      <c r="D2027" s="20" t="s">
        <v>40</v>
      </c>
      <c r="E2027" s="20" t="s">
        <v>75</v>
      </c>
      <c r="F2027" s="20" t="s">
        <v>455</v>
      </c>
    </row>
    <row r="2028">
      <c r="A2028" s="26">
        <v>44821.69143496528</v>
      </c>
      <c r="B2028" s="20" t="s">
        <v>345</v>
      </c>
      <c r="C2028" s="20">
        <v>872.0</v>
      </c>
      <c r="D2028" s="20" t="s">
        <v>40</v>
      </c>
      <c r="E2028" s="20" t="s">
        <v>75</v>
      </c>
      <c r="F2028" s="20" t="s">
        <v>455</v>
      </c>
    </row>
    <row r="2029">
      <c r="A2029" s="26">
        <v>44821.69298423611</v>
      </c>
      <c r="B2029" s="20" t="s">
        <v>345</v>
      </c>
      <c r="C2029" s="20">
        <v>940.0</v>
      </c>
      <c r="D2029" s="20" t="s">
        <v>40</v>
      </c>
      <c r="E2029" s="20" t="s">
        <v>75</v>
      </c>
      <c r="F2029" s="20" t="s">
        <v>455</v>
      </c>
    </row>
    <row r="2030">
      <c r="A2030" s="26">
        <v>44821.69420680555</v>
      </c>
      <c r="B2030" s="20" t="s">
        <v>345</v>
      </c>
      <c r="C2030" s="20">
        <v>106.0</v>
      </c>
      <c r="D2030" s="20" t="s">
        <v>40</v>
      </c>
      <c r="E2030" s="20" t="s">
        <v>75</v>
      </c>
      <c r="F2030" s="20" t="s">
        <v>455</v>
      </c>
    </row>
    <row r="2031">
      <c r="A2031" s="26">
        <v>44821.69444503472</v>
      </c>
      <c r="B2031" s="20" t="s">
        <v>345</v>
      </c>
      <c r="C2031" s="20">
        <v>430.0</v>
      </c>
      <c r="D2031" s="20" t="s">
        <v>602</v>
      </c>
      <c r="E2031" s="20" t="s">
        <v>75</v>
      </c>
      <c r="F2031" s="20" t="s">
        <v>455</v>
      </c>
    </row>
    <row r="2032">
      <c r="A2032" s="26">
        <v>44821.69650935185</v>
      </c>
      <c r="B2032" s="20" t="s">
        <v>345</v>
      </c>
      <c r="C2032" s="20">
        <v>542.0</v>
      </c>
      <c r="D2032" s="20" t="s">
        <v>40</v>
      </c>
      <c r="E2032" s="20" t="s">
        <v>75</v>
      </c>
      <c r="F2032" s="20" t="s">
        <v>455</v>
      </c>
    </row>
    <row r="2033">
      <c r="A2033" s="26">
        <v>44821.69705047454</v>
      </c>
      <c r="B2033" s="20" t="s">
        <v>345</v>
      </c>
      <c r="C2033" s="20">
        <v>555.0</v>
      </c>
      <c r="D2033" s="20" t="s">
        <v>587</v>
      </c>
      <c r="E2033" s="20" t="s">
        <v>75</v>
      </c>
      <c r="F2033" s="20" t="s">
        <v>455</v>
      </c>
    </row>
    <row r="2034">
      <c r="A2034" s="26">
        <v>44821.69743497686</v>
      </c>
      <c r="B2034" s="20" t="s">
        <v>345</v>
      </c>
      <c r="C2034" s="20">
        <v>576.0</v>
      </c>
      <c r="D2034" s="20" t="s">
        <v>585</v>
      </c>
      <c r="E2034" s="20" t="s">
        <v>75</v>
      </c>
      <c r="F2034" s="20" t="s">
        <v>455</v>
      </c>
    </row>
    <row r="2035">
      <c r="A2035" s="26">
        <v>44821.70480291666</v>
      </c>
      <c r="B2035" s="20" t="s">
        <v>345</v>
      </c>
      <c r="C2035" s="20">
        <v>271.0</v>
      </c>
      <c r="D2035" s="20" t="s">
        <v>593</v>
      </c>
      <c r="E2035" s="20" t="s">
        <v>75</v>
      </c>
      <c r="F2035" s="20" t="s">
        <v>455</v>
      </c>
    </row>
    <row r="2036">
      <c r="A2036" s="26">
        <v>44821.70658435185</v>
      </c>
      <c r="B2036" s="20" t="s">
        <v>345</v>
      </c>
      <c r="C2036" s="20">
        <v>528.0</v>
      </c>
      <c r="D2036" s="20" t="s">
        <v>607</v>
      </c>
      <c r="E2036" s="20" t="s">
        <v>75</v>
      </c>
      <c r="F2036" s="20" t="s">
        <v>455</v>
      </c>
    </row>
    <row r="2037">
      <c r="A2037" s="26">
        <v>44821.706878171295</v>
      </c>
      <c r="B2037" s="20" t="s">
        <v>345</v>
      </c>
      <c r="C2037" s="20">
        <v>39.0</v>
      </c>
      <c r="D2037" s="20" t="s">
        <v>593</v>
      </c>
      <c r="E2037" s="20" t="s">
        <v>75</v>
      </c>
      <c r="F2037" s="20" t="s">
        <v>455</v>
      </c>
    </row>
    <row r="2038">
      <c r="A2038" s="26">
        <v>44821.707154375</v>
      </c>
      <c r="B2038" s="20" t="s">
        <v>345</v>
      </c>
      <c r="C2038" s="20">
        <v>137.0</v>
      </c>
      <c r="D2038" s="20" t="s">
        <v>76</v>
      </c>
      <c r="E2038" s="20" t="s">
        <v>75</v>
      </c>
      <c r="F2038" s="20" t="s">
        <v>455</v>
      </c>
    </row>
    <row r="2039">
      <c r="A2039" s="26">
        <v>44821.70738236111</v>
      </c>
      <c r="B2039" s="20" t="s">
        <v>345</v>
      </c>
      <c r="C2039" s="20">
        <v>217.0</v>
      </c>
      <c r="D2039" s="20" t="s">
        <v>76</v>
      </c>
      <c r="E2039" s="20" t="s">
        <v>75</v>
      </c>
      <c r="F2039" s="20" t="s">
        <v>455</v>
      </c>
    </row>
    <row r="2040">
      <c r="A2040" s="26">
        <v>44821.70779465278</v>
      </c>
      <c r="B2040" s="20" t="s">
        <v>345</v>
      </c>
      <c r="C2040" s="20">
        <v>-435.0</v>
      </c>
      <c r="D2040" s="20" t="s">
        <v>40</v>
      </c>
      <c r="E2040" s="20" t="s">
        <v>75</v>
      </c>
      <c r="F2040" s="20" t="s">
        <v>455</v>
      </c>
    </row>
    <row r="2041">
      <c r="A2041" s="26">
        <v>44821.70800712963</v>
      </c>
      <c r="B2041" s="20" t="s">
        <v>345</v>
      </c>
      <c r="C2041" s="20">
        <v>-345.0</v>
      </c>
      <c r="D2041" s="20" t="s">
        <v>40</v>
      </c>
      <c r="E2041" s="20" t="s">
        <v>75</v>
      </c>
      <c r="F2041" s="20" t="s">
        <v>455</v>
      </c>
    </row>
    <row r="2042">
      <c r="A2042" s="26">
        <v>44821.70821965278</v>
      </c>
      <c r="B2042" s="20" t="s">
        <v>345</v>
      </c>
      <c r="C2042" s="20">
        <v>-799.0</v>
      </c>
      <c r="D2042" s="20" t="s">
        <v>40</v>
      </c>
      <c r="E2042" s="20" t="s">
        <v>75</v>
      </c>
      <c r="F2042" s="20" t="s">
        <v>455</v>
      </c>
    </row>
    <row r="2043">
      <c r="A2043" s="26">
        <v>44821.70840488426</v>
      </c>
      <c r="B2043" s="20" t="s">
        <v>345</v>
      </c>
      <c r="C2043" s="20">
        <v>-107.0</v>
      </c>
      <c r="D2043" s="20" t="s">
        <v>76</v>
      </c>
      <c r="E2043" s="20" t="s">
        <v>75</v>
      </c>
      <c r="F2043" s="20" t="s">
        <v>455</v>
      </c>
    </row>
    <row r="2044">
      <c r="A2044" s="26">
        <v>44821.70866836805</v>
      </c>
      <c r="B2044" s="20" t="s">
        <v>345</v>
      </c>
      <c r="C2044" s="20">
        <v>-112.0</v>
      </c>
      <c r="D2044" s="20" t="s">
        <v>76</v>
      </c>
      <c r="E2044" s="20" t="s">
        <v>75</v>
      </c>
      <c r="F2044" s="20" t="s">
        <v>455</v>
      </c>
    </row>
    <row r="2045">
      <c r="A2045" s="26">
        <v>44821.70929221065</v>
      </c>
      <c r="B2045" s="20" t="s">
        <v>345</v>
      </c>
      <c r="C2045" s="20">
        <v>-553.0</v>
      </c>
      <c r="D2045" s="20" t="s">
        <v>603</v>
      </c>
      <c r="E2045" s="20" t="s">
        <v>75</v>
      </c>
      <c r="F2045" s="20" t="s">
        <v>455</v>
      </c>
    </row>
    <row r="2046">
      <c r="A2046" s="26">
        <v>44821.70971935186</v>
      </c>
      <c r="B2046" s="20" t="s">
        <v>345</v>
      </c>
      <c r="C2046" s="20">
        <v>-122.0</v>
      </c>
      <c r="D2046" s="20" t="s">
        <v>607</v>
      </c>
      <c r="E2046" s="20" t="s">
        <v>75</v>
      </c>
      <c r="F2046" s="20" t="s">
        <v>455</v>
      </c>
    </row>
    <row r="2047">
      <c r="A2047" s="26">
        <v>44822.64113001157</v>
      </c>
      <c r="B2047" s="20" t="s">
        <v>608</v>
      </c>
      <c r="C2047" s="20">
        <v>75.0</v>
      </c>
      <c r="E2047" s="20" t="s">
        <v>609</v>
      </c>
      <c r="F2047" s="20" t="s">
        <v>610</v>
      </c>
    </row>
    <row r="2048">
      <c r="A2048" s="26">
        <v>44822.65390680556</v>
      </c>
      <c r="B2048" s="20" t="s">
        <v>611</v>
      </c>
      <c r="C2048" s="20">
        <v>294.0</v>
      </c>
      <c r="D2048" s="20" t="s">
        <v>586</v>
      </c>
      <c r="E2048" s="20" t="s">
        <v>183</v>
      </c>
      <c r="F2048" s="20" t="s">
        <v>449</v>
      </c>
    </row>
    <row r="2049">
      <c r="A2049" s="26">
        <v>44822.658176875004</v>
      </c>
      <c r="B2049" s="20" t="s">
        <v>596</v>
      </c>
      <c r="C2049" s="20">
        <v>227.0</v>
      </c>
      <c r="D2049" s="20" t="s">
        <v>585</v>
      </c>
      <c r="E2049" s="20" t="s">
        <v>100</v>
      </c>
      <c r="F2049" s="20" t="s">
        <v>449</v>
      </c>
    </row>
    <row r="2050">
      <c r="A2050" s="26">
        <v>44822.65858420139</v>
      </c>
      <c r="B2050" s="20" t="s">
        <v>596</v>
      </c>
      <c r="C2050" s="20">
        <v>592.0</v>
      </c>
      <c r="D2050" s="20" t="s">
        <v>40</v>
      </c>
      <c r="E2050" s="20" t="s">
        <v>100</v>
      </c>
      <c r="F2050" s="20" t="s">
        <v>449</v>
      </c>
    </row>
    <row r="2051">
      <c r="A2051" s="26">
        <v>44822.6596027662</v>
      </c>
      <c r="B2051" s="20" t="s">
        <v>596</v>
      </c>
      <c r="C2051" s="20">
        <v>78.0</v>
      </c>
      <c r="D2051" s="20" t="s">
        <v>76</v>
      </c>
      <c r="E2051" s="20" t="s">
        <v>100</v>
      </c>
      <c r="F2051" s="20" t="s">
        <v>449</v>
      </c>
    </row>
    <row r="2052">
      <c r="A2052" s="26">
        <v>44822.6599715162</v>
      </c>
      <c r="B2052" s="20" t="s">
        <v>612</v>
      </c>
      <c r="C2052" s="20">
        <v>276.0</v>
      </c>
      <c r="D2052" s="20" t="s">
        <v>40</v>
      </c>
      <c r="E2052" s="20" t="s">
        <v>100</v>
      </c>
      <c r="F2052" s="20" t="s">
        <v>449</v>
      </c>
    </row>
    <row r="2053">
      <c r="A2053" s="26">
        <v>44822.66035695602</v>
      </c>
      <c r="B2053" s="20" t="s">
        <v>596</v>
      </c>
      <c r="C2053" s="20">
        <v>162.0</v>
      </c>
      <c r="D2053" s="20" t="s">
        <v>76</v>
      </c>
      <c r="E2053" s="20" t="s">
        <v>100</v>
      </c>
      <c r="F2053" s="20" t="s">
        <v>449</v>
      </c>
    </row>
    <row r="2054">
      <c r="A2054" s="26">
        <v>44822.662282731486</v>
      </c>
      <c r="B2054" s="20" t="s">
        <v>612</v>
      </c>
      <c r="C2054" s="20">
        <v>819.0</v>
      </c>
      <c r="D2054" s="20" t="s">
        <v>53</v>
      </c>
      <c r="E2054" s="20" t="s">
        <v>100</v>
      </c>
      <c r="F2054" s="20" t="s">
        <v>449</v>
      </c>
    </row>
    <row r="2055">
      <c r="A2055" s="26">
        <v>44822.66264392361</v>
      </c>
      <c r="B2055" s="20" t="s">
        <v>596</v>
      </c>
      <c r="C2055" s="20">
        <v>72.0</v>
      </c>
      <c r="D2055" s="20" t="s">
        <v>534</v>
      </c>
      <c r="E2055" s="20" t="s">
        <v>100</v>
      </c>
      <c r="F2055" s="20" t="s">
        <v>449</v>
      </c>
    </row>
    <row r="2056">
      <c r="A2056" s="26">
        <v>44822.66305751157</v>
      </c>
      <c r="B2056" s="20" t="s">
        <v>612</v>
      </c>
      <c r="C2056" s="20">
        <v>6.0</v>
      </c>
      <c r="D2056" s="20" t="s">
        <v>534</v>
      </c>
      <c r="E2056" s="20" t="s">
        <v>100</v>
      </c>
      <c r="F2056" s="20" t="s">
        <v>449</v>
      </c>
    </row>
    <row r="2057">
      <c r="A2057" s="26">
        <v>44822.66351060185</v>
      </c>
      <c r="B2057" s="20" t="s">
        <v>612</v>
      </c>
      <c r="C2057" s="20">
        <v>135.0</v>
      </c>
      <c r="D2057" s="20" t="s">
        <v>585</v>
      </c>
      <c r="E2057" s="20" t="s">
        <v>50</v>
      </c>
      <c r="F2057" s="20" t="s">
        <v>449</v>
      </c>
    </row>
    <row r="2058">
      <c r="A2058" s="26">
        <v>44822.66438637731</v>
      </c>
      <c r="B2058" s="20" t="s">
        <v>596</v>
      </c>
      <c r="C2058" s="20">
        <v>63.0</v>
      </c>
      <c r="D2058" s="20" t="s">
        <v>58</v>
      </c>
      <c r="E2058" s="20" t="s">
        <v>65</v>
      </c>
      <c r="F2058" s="20" t="s">
        <v>449</v>
      </c>
    </row>
    <row r="2059">
      <c r="A2059" s="26">
        <v>44822.667885497685</v>
      </c>
      <c r="B2059" s="20" t="s">
        <v>596</v>
      </c>
      <c r="C2059" s="20">
        <v>823.0</v>
      </c>
      <c r="D2059" s="20" t="s">
        <v>613</v>
      </c>
      <c r="E2059" s="20" t="s">
        <v>65</v>
      </c>
      <c r="F2059" s="20" t="s">
        <v>449</v>
      </c>
    </row>
    <row r="2060">
      <c r="A2060" s="28">
        <v>44824.0</v>
      </c>
      <c r="B2060" s="20" t="s">
        <v>614</v>
      </c>
      <c r="C2060" s="20">
        <v>33.0</v>
      </c>
      <c r="D2060" s="20" t="s">
        <v>603</v>
      </c>
      <c r="E2060" s="20" t="s">
        <v>615</v>
      </c>
      <c r="F2060" s="20" t="s">
        <v>449</v>
      </c>
    </row>
    <row r="2061">
      <c r="A2061" s="26">
        <v>44825.60087523148</v>
      </c>
      <c r="B2061" s="20" t="s">
        <v>163</v>
      </c>
      <c r="C2061" s="20">
        <v>22.0</v>
      </c>
      <c r="E2061" s="20" t="s">
        <v>616</v>
      </c>
      <c r="F2061" s="20" t="s">
        <v>455</v>
      </c>
    </row>
    <row r="2062">
      <c r="A2062" s="26">
        <v>44825.69571447917</v>
      </c>
      <c r="B2062" s="20" t="s">
        <v>345</v>
      </c>
      <c r="C2062" s="20">
        <v>193.0</v>
      </c>
      <c r="D2062" s="20" t="s">
        <v>76</v>
      </c>
      <c r="E2062" s="20" t="s">
        <v>598</v>
      </c>
      <c r="F2062" s="20" t="s">
        <v>455</v>
      </c>
    </row>
    <row r="2063">
      <c r="A2063" s="26">
        <v>44825.69623209491</v>
      </c>
      <c r="B2063" s="20" t="s">
        <v>345</v>
      </c>
      <c r="C2063" s="20">
        <v>161.0</v>
      </c>
      <c r="D2063" s="20" t="s">
        <v>76</v>
      </c>
      <c r="E2063" s="20" t="s">
        <v>598</v>
      </c>
      <c r="F2063" s="20" t="s">
        <v>455</v>
      </c>
    </row>
    <row r="2064">
      <c r="A2064" s="26">
        <v>44825.696711041666</v>
      </c>
      <c r="B2064" s="20" t="s">
        <v>345</v>
      </c>
      <c r="C2064" s="20">
        <v>357.0</v>
      </c>
      <c r="D2064" s="20" t="s">
        <v>603</v>
      </c>
      <c r="E2064" s="20" t="s">
        <v>598</v>
      </c>
      <c r="F2064" s="20" t="s">
        <v>455</v>
      </c>
    </row>
    <row r="2065">
      <c r="A2065" s="26">
        <v>44825.69694465278</v>
      </c>
      <c r="B2065" s="20" t="s">
        <v>345</v>
      </c>
      <c r="C2065" s="20">
        <v>499.0</v>
      </c>
      <c r="D2065" s="20" t="s">
        <v>603</v>
      </c>
      <c r="E2065" s="20" t="s">
        <v>598</v>
      </c>
      <c r="F2065" s="20" t="s">
        <v>455</v>
      </c>
    </row>
    <row r="2066">
      <c r="A2066" s="26">
        <v>44825.69736872685</v>
      </c>
      <c r="B2066" s="20" t="s">
        <v>345</v>
      </c>
      <c r="C2066" s="20">
        <v>505.0</v>
      </c>
      <c r="D2066" s="20" t="s">
        <v>603</v>
      </c>
      <c r="E2066" s="20" t="s">
        <v>598</v>
      </c>
      <c r="F2066" s="20" t="s">
        <v>455</v>
      </c>
    </row>
    <row r="2067">
      <c r="A2067" s="26">
        <v>44825.69816581019</v>
      </c>
      <c r="B2067" s="20" t="s">
        <v>345</v>
      </c>
      <c r="C2067" s="20">
        <v>112.0</v>
      </c>
      <c r="D2067" s="20" t="s">
        <v>603</v>
      </c>
      <c r="E2067" s="20" t="s">
        <v>617</v>
      </c>
      <c r="F2067" s="20" t="s">
        <v>455</v>
      </c>
    </row>
    <row r="2068">
      <c r="A2068" s="26">
        <v>44825.69872833333</v>
      </c>
      <c r="B2068" s="20" t="s">
        <v>345</v>
      </c>
      <c r="C2068" s="20">
        <v>22.0</v>
      </c>
      <c r="D2068" s="20" t="s">
        <v>603</v>
      </c>
      <c r="E2068" s="20" t="s">
        <v>617</v>
      </c>
      <c r="F2068" s="20" t="s">
        <v>455</v>
      </c>
    </row>
    <row r="2069">
      <c r="A2069" s="26">
        <v>44825.70138380787</v>
      </c>
      <c r="B2069" s="20" t="s">
        <v>345</v>
      </c>
      <c r="C2069" s="20">
        <v>116.0</v>
      </c>
      <c r="D2069" s="20" t="s">
        <v>76</v>
      </c>
      <c r="E2069" s="20" t="s">
        <v>589</v>
      </c>
      <c r="F2069" s="20" t="s">
        <v>455</v>
      </c>
    </row>
    <row r="2070">
      <c r="A2070" s="26">
        <v>44825.70183959491</v>
      </c>
      <c r="B2070" s="20" t="s">
        <v>345</v>
      </c>
      <c r="C2070" s="20">
        <v>567.0</v>
      </c>
      <c r="D2070" s="20" t="s">
        <v>36</v>
      </c>
      <c r="E2070" s="20" t="s">
        <v>589</v>
      </c>
      <c r="F2070" s="20" t="s">
        <v>455</v>
      </c>
    </row>
    <row r="2071">
      <c r="A2071" s="26">
        <v>44825.70215128472</v>
      </c>
      <c r="B2071" s="20" t="s">
        <v>345</v>
      </c>
      <c r="C2071" s="20">
        <v>298.0</v>
      </c>
      <c r="D2071" s="20" t="s">
        <v>603</v>
      </c>
      <c r="E2071" s="20" t="s">
        <v>589</v>
      </c>
      <c r="F2071" s="20" t="s">
        <v>455</v>
      </c>
    </row>
    <row r="2072">
      <c r="A2072" s="26">
        <v>44825.73837486111</v>
      </c>
      <c r="B2072" s="20" t="s">
        <v>618</v>
      </c>
      <c r="C2072" s="20">
        <v>113.0</v>
      </c>
      <c r="D2072" s="20" t="s">
        <v>619</v>
      </c>
      <c r="E2072" s="20" t="s">
        <v>620</v>
      </c>
      <c r="F2072" s="20" t="s">
        <v>455</v>
      </c>
    </row>
    <row r="2073">
      <c r="A2073" s="26">
        <v>44826.71709157407</v>
      </c>
      <c r="B2073" s="20" t="s">
        <v>163</v>
      </c>
      <c r="C2073" s="20">
        <v>164.0</v>
      </c>
      <c r="D2073" s="20" t="s">
        <v>621</v>
      </c>
      <c r="E2073" s="20" t="s">
        <v>622</v>
      </c>
      <c r="F2073" s="20" t="s">
        <v>455</v>
      </c>
    </row>
    <row r="2074">
      <c r="A2074" s="26">
        <v>44826.71858148148</v>
      </c>
      <c r="B2074" s="20" t="s">
        <v>163</v>
      </c>
      <c r="C2074" s="20">
        <v>169.0</v>
      </c>
      <c r="D2074" s="20" t="s">
        <v>40</v>
      </c>
      <c r="E2074" s="20" t="s">
        <v>328</v>
      </c>
      <c r="F2074" s="20" t="s">
        <v>449</v>
      </c>
    </row>
    <row r="2075">
      <c r="A2075" s="26">
        <v>44826.71988917824</v>
      </c>
      <c r="B2075" s="20" t="s">
        <v>163</v>
      </c>
      <c r="C2075" s="20">
        <v>100.0</v>
      </c>
      <c r="D2075" s="20" t="s">
        <v>38</v>
      </c>
      <c r="E2075" s="20" t="s">
        <v>328</v>
      </c>
      <c r="F2075" s="20" t="s">
        <v>455</v>
      </c>
    </row>
    <row r="2076">
      <c r="A2076" s="26">
        <v>44826.72086353009</v>
      </c>
      <c r="B2076" s="20" t="s">
        <v>163</v>
      </c>
      <c r="C2076" s="20">
        <v>112.0</v>
      </c>
      <c r="D2076" s="20" t="s">
        <v>587</v>
      </c>
      <c r="E2076" s="20" t="s">
        <v>328</v>
      </c>
      <c r="F2076" s="20" t="s">
        <v>455</v>
      </c>
    </row>
    <row r="2077">
      <c r="A2077" s="26">
        <v>44826.72185716435</v>
      </c>
      <c r="B2077" s="20" t="s">
        <v>163</v>
      </c>
      <c r="C2077" s="20">
        <v>41.0</v>
      </c>
      <c r="D2077" s="20" t="s">
        <v>95</v>
      </c>
      <c r="E2077" s="20" t="s">
        <v>328</v>
      </c>
      <c r="F2077" s="20" t="s">
        <v>455</v>
      </c>
    </row>
    <row r="2078">
      <c r="A2078" s="26">
        <v>44826.723347974534</v>
      </c>
      <c r="B2078" s="20" t="s">
        <v>163</v>
      </c>
      <c r="C2078" s="20">
        <v>45.0</v>
      </c>
      <c r="D2078" s="20" t="s">
        <v>601</v>
      </c>
      <c r="E2078" s="20" t="s">
        <v>328</v>
      </c>
      <c r="F2078" s="20" t="s">
        <v>455</v>
      </c>
    </row>
    <row r="2079">
      <c r="A2079" s="26">
        <v>44826.72408506944</v>
      </c>
      <c r="B2079" s="20" t="s">
        <v>163</v>
      </c>
      <c r="C2079" s="20">
        <v>237.0</v>
      </c>
      <c r="D2079" s="20" t="s">
        <v>592</v>
      </c>
      <c r="E2079" s="20" t="s">
        <v>328</v>
      </c>
      <c r="F2079" s="20" t="s">
        <v>455</v>
      </c>
    </row>
    <row r="2080">
      <c r="A2080" s="26">
        <v>44826.724656921295</v>
      </c>
      <c r="B2080" s="20" t="s">
        <v>163</v>
      </c>
      <c r="C2080" s="20">
        <v>73.0</v>
      </c>
      <c r="D2080" s="20" t="s">
        <v>601</v>
      </c>
      <c r="E2080" s="20" t="s">
        <v>616</v>
      </c>
      <c r="F2080" s="20" t="s">
        <v>455</v>
      </c>
    </row>
    <row r="2081">
      <c r="A2081" s="28">
        <v>44826.0</v>
      </c>
      <c r="B2081" s="20" t="s">
        <v>345</v>
      </c>
      <c r="C2081" s="20">
        <v>61.0</v>
      </c>
      <c r="D2081" s="20" t="s">
        <v>623</v>
      </c>
      <c r="E2081" s="20" t="s">
        <v>624</v>
      </c>
      <c r="F2081" s="20" t="s">
        <v>449</v>
      </c>
    </row>
    <row r="2082">
      <c r="A2082" s="28">
        <v>44826.0</v>
      </c>
      <c r="B2082" s="20" t="s">
        <v>345</v>
      </c>
      <c r="C2082" s="20">
        <v>60.0</v>
      </c>
      <c r="D2082" s="20" t="s">
        <v>623</v>
      </c>
      <c r="E2082" s="20" t="s">
        <v>624</v>
      </c>
      <c r="F2082" s="20" t="s">
        <v>449</v>
      </c>
    </row>
    <row r="2083">
      <c r="A2083" s="28">
        <v>44826.0</v>
      </c>
      <c r="B2083" s="20" t="s">
        <v>345</v>
      </c>
      <c r="C2083" s="20">
        <v>70.0</v>
      </c>
      <c r="D2083" s="20" t="s">
        <v>623</v>
      </c>
      <c r="E2083" s="20" t="s">
        <v>625</v>
      </c>
      <c r="F2083" s="20" t="s">
        <v>449</v>
      </c>
    </row>
    <row r="2084">
      <c r="A2084" s="28">
        <v>44827.0</v>
      </c>
      <c r="B2084" s="20" t="s">
        <v>345</v>
      </c>
      <c r="C2084" s="20">
        <v>379.0</v>
      </c>
      <c r="D2084" s="20" t="s">
        <v>603</v>
      </c>
      <c r="E2084" s="20" t="s">
        <v>626</v>
      </c>
      <c r="F2084" s="20"/>
    </row>
    <row r="2085">
      <c r="A2085" s="26">
        <v>44827.5668082176</v>
      </c>
      <c r="B2085" s="20" t="s">
        <v>627</v>
      </c>
      <c r="C2085" s="20">
        <v>154.0</v>
      </c>
      <c r="D2085" s="20" t="s">
        <v>628</v>
      </c>
      <c r="E2085" s="20" t="s">
        <v>629</v>
      </c>
      <c r="F2085" s="20" t="s">
        <v>455</v>
      </c>
    </row>
    <row r="2086">
      <c r="A2086" s="26">
        <v>44828.68487387731</v>
      </c>
      <c r="B2086" s="20" t="s">
        <v>345</v>
      </c>
      <c r="C2086" s="20">
        <v>177.0</v>
      </c>
      <c r="D2086" s="20" t="s">
        <v>593</v>
      </c>
      <c r="E2086" s="20" t="s">
        <v>75</v>
      </c>
      <c r="F2086" s="20" t="s">
        <v>455</v>
      </c>
    </row>
    <row r="2087">
      <c r="A2087" s="26">
        <v>44828.68518172453</v>
      </c>
      <c r="B2087" s="20" t="s">
        <v>345</v>
      </c>
      <c r="C2087" s="20">
        <v>267.0</v>
      </c>
      <c r="D2087" s="20" t="s">
        <v>602</v>
      </c>
      <c r="E2087" s="20" t="s">
        <v>75</v>
      </c>
      <c r="F2087" s="20" t="s">
        <v>455</v>
      </c>
    </row>
    <row r="2088">
      <c r="A2088" s="26">
        <v>44828.685391921295</v>
      </c>
      <c r="B2088" s="20" t="s">
        <v>345</v>
      </c>
      <c r="C2088" s="20">
        <v>1348.0</v>
      </c>
      <c r="D2088" s="20" t="s">
        <v>586</v>
      </c>
      <c r="E2088" s="20" t="s">
        <v>75</v>
      </c>
      <c r="F2088" s="20" t="s">
        <v>455</v>
      </c>
    </row>
    <row r="2089">
      <c r="A2089" s="26">
        <v>44828.685847581015</v>
      </c>
      <c r="B2089" s="20" t="s">
        <v>345</v>
      </c>
      <c r="C2089" s="20">
        <v>907.0</v>
      </c>
      <c r="D2089" s="20" t="s">
        <v>586</v>
      </c>
      <c r="E2089" s="20" t="s">
        <v>75</v>
      </c>
      <c r="F2089" s="20" t="s">
        <v>455</v>
      </c>
    </row>
    <row r="2090">
      <c r="A2090" s="26">
        <v>44828.68637005787</v>
      </c>
      <c r="B2090" s="20" t="s">
        <v>345</v>
      </c>
      <c r="C2090" s="20">
        <v>177.0</v>
      </c>
      <c r="D2090" s="20" t="s">
        <v>76</v>
      </c>
      <c r="E2090" s="20" t="s">
        <v>75</v>
      </c>
      <c r="F2090" s="20" t="s">
        <v>455</v>
      </c>
    </row>
    <row r="2091">
      <c r="A2091" s="26">
        <v>44828.686598506945</v>
      </c>
      <c r="B2091" s="20" t="s">
        <v>345</v>
      </c>
      <c r="C2091" s="20">
        <v>854.0</v>
      </c>
      <c r="D2091" s="20" t="s">
        <v>40</v>
      </c>
      <c r="E2091" s="20" t="s">
        <v>75</v>
      </c>
      <c r="F2091" s="20" t="s">
        <v>455</v>
      </c>
    </row>
    <row r="2092">
      <c r="A2092" s="26">
        <v>44828.68697385417</v>
      </c>
      <c r="B2092" s="20" t="s">
        <v>345</v>
      </c>
      <c r="C2092" s="20">
        <v>2197.0</v>
      </c>
      <c r="D2092" s="20" t="s">
        <v>40</v>
      </c>
      <c r="E2092" s="20" t="s">
        <v>75</v>
      </c>
      <c r="F2092" s="20" t="s">
        <v>455</v>
      </c>
    </row>
    <row r="2093">
      <c r="A2093" s="26">
        <v>44828.68721408564</v>
      </c>
      <c r="B2093" s="20" t="s">
        <v>345</v>
      </c>
      <c r="C2093" s="20">
        <v>201.0</v>
      </c>
      <c r="D2093" s="20" t="s">
        <v>40</v>
      </c>
      <c r="E2093" s="20" t="s">
        <v>75</v>
      </c>
      <c r="F2093" s="20" t="s">
        <v>455</v>
      </c>
    </row>
    <row r="2094">
      <c r="A2094" s="26">
        <v>44828.68744365741</v>
      </c>
      <c r="B2094" s="20" t="s">
        <v>345</v>
      </c>
      <c r="C2094" s="20">
        <v>187.0</v>
      </c>
      <c r="D2094" s="20" t="s">
        <v>76</v>
      </c>
      <c r="E2094" s="20" t="s">
        <v>75</v>
      </c>
      <c r="F2094" s="20" t="s">
        <v>455</v>
      </c>
    </row>
    <row r="2095">
      <c r="A2095" s="26">
        <v>44828.688372523146</v>
      </c>
      <c r="B2095" s="20" t="s">
        <v>345</v>
      </c>
      <c r="C2095" s="20">
        <v>199.0</v>
      </c>
      <c r="D2095" s="20" t="s">
        <v>76</v>
      </c>
      <c r="E2095" s="20" t="s">
        <v>75</v>
      </c>
      <c r="F2095" s="20" t="s">
        <v>455</v>
      </c>
    </row>
    <row r="2096">
      <c r="A2096" s="26">
        <v>44828.68870484954</v>
      </c>
      <c r="B2096" s="20" t="s">
        <v>345</v>
      </c>
      <c r="C2096" s="20">
        <v>83.0</v>
      </c>
      <c r="D2096" s="20" t="s">
        <v>585</v>
      </c>
      <c r="E2096" s="20" t="s">
        <v>96</v>
      </c>
      <c r="F2096" s="20" t="s">
        <v>455</v>
      </c>
    </row>
    <row r="2097">
      <c r="A2097" s="26">
        <v>44828.68954245371</v>
      </c>
      <c r="B2097" s="20" t="s">
        <v>345</v>
      </c>
      <c r="C2097" s="20">
        <v>75.0</v>
      </c>
      <c r="D2097" s="20" t="s">
        <v>603</v>
      </c>
      <c r="E2097" s="20" t="s">
        <v>96</v>
      </c>
      <c r="F2097" s="20" t="s">
        <v>455</v>
      </c>
    </row>
    <row r="2098">
      <c r="A2098" s="26">
        <v>44828.68992737269</v>
      </c>
      <c r="B2098" s="20" t="s">
        <v>345</v>
      </c>
      <c r="C2098" s="20">
        <v>538.0</v>
      </c>
      <c r="D2098" s="20" t="s">
        <v>40</v>
      </c>
      <c r="E2098" s="20" t="s">
        <v>96</v>
      </c>
      <c r="F2098" s="20" t="s">
        <v>455</v>
      </c>
    </row>
    <row r="2099">
      <c r="A2099" s="26">
        <v>44828.69032480324</v>
      </c>
      <c r="B2099" s="20" t="s">
        <v>345</v>
      </c>
      <c r="C2099" s="20">
        <v>480.0</v>
      </c>
      <c r="D2099" s="20" t="s">
        <v>40</v>
      </c>
      <c r="E2099" s="20" t="s">
        <v>96</v>
      </c>
      <c r="F2099" s="20" t="s">
        <v>455</v>
      </c>
    </row>
    <row r="2100">
      <c r="A2100" s="26">
        <v>44828.69064428241</v>
      </c>
      <c r="B2100" s="20" t="s">
        <v>345</v>
      </c>
      <c r="C2100" s="20">
        <v>158.0</v>
      </c>
      <c r="D2100" s="20" t="s">
        <v>602</v>
      </c>
      <c r="E2100" s="20" t="s">
        <v>96</v>
      </c>
      <c r="F2100" s="20" t="s">
        <v>455</v>
      </c>
    </row>
    <row r="2101">
      <c r="A2101" s="26">
        <v>44828.69278094907</v>
      </c>
      <c r="B2101" s="20" t="s">
        <v>345</v>
      </c>
      <c r="C2101" s="20">
        <v>-480.0</v>
      </c>
      <c r="D2101" s="20" t="s">
        <v>586</v>
      </c>
      <c r="E2101" s="20" t="s">
        <v>75</v>
      </c>
      <c r="F2101" s="20" t="s">
        <v>455</v>
      </c>
    </row>
    <row r="2102">
      <c r="A2102" s="26">
        <v>44828.69329581018</v>
      </c>
      <c r="B2102" s="20" t="s">
        <v>345</v>
      </c>
      <c r="C2102" s="20">
        <v>-852.0</v>
      </c>
      <c r="D2102" s="20" t="s">
        <v>40</v>
      </c>
      <c r="E2102" s="20" t="s">
        <v>75</v>
      </c>
      <c r="F2102" s="20" t="s">
        <v>455</v>
      </c>
    </row>
    <row r="2103">
      <c r="A2103" s="26">
        <v>44828.69354756945</v>
      </c>
      <c r="B2103" s="20" t="s">
        <v>345</v>
      </c>
      <c r="C2103" s="20">
        <v>-170.0</v>
      </c>
      <c r="D2103" s="20" t="s">
        <v>76</v>
      </c>
      <c r="E2103" s="20" t="s">
        <v>75</v>
      </c>
      <c r="F2103" s="20" t="s">
        <v>455</v>
      </c>
    </row>
    <row r="2104">
      <c r="A2104" s="26">
        <v>44828.69552709491</v>
      </c>
      <c r="B2104" s="20" t="s">
        <v>345</v>
      </c>
      <c r="C2104" s="20">
        <v>250.0</v>
      </c>
      <c r="D2104" s="20" t="s">
        <v>593</v>
      </c>
      <c r="E2104" s="20" t="s">
        <v>75</v>
      </c>
      <c r="F2104" s="20" t="s">
        <v>455</v>
      </c>
    </row>
    <row r="2105">
      <c r="A2105" s="28">
        <v>44829.0</v>
      </c>
      <c r="B2105" s="20" t="s">
        <v>345</v>
      </c>
      <c r="C2105" s="20">
        <v>522.0</v>
      </c>
      <c r="D2105" s="20" t="s">
        <v>585</v>
      </c>
      <c r="E2105" s="20" t="s">
        <v>65</v>
      </c>
      <c r="F2105" s="20" t="s">
        <v>449</v>
      </c>
    </row>
    <row r="2106">
      <c r="A2106" s="28">
        <v>44829.0</v>
      </c>
      <c r="B2106" s="20" t="s">
        <v>345</v>
      </c>
      <c r="C2106" s="20">
        <v>664.0</v>
      </c>
      <c r="D2106" s="20" t="s">
        <v>585</v>
      </c>
      <c r="E2106" s="20" t="s">
        <v>65</v>
      </c>
      <c r="F2106" s="20"/>
    </row>
    <row r="2107">
      <c r="A2107" s="26">
        <v>44829.51604643519</v>
      </c>
      <c r="B2107" s="20" t="s">
        <v>193</v>
      </c>
      <c r="C2107" s="20">
        <v>499.0</v>
      </c>
      <c r="D2107" s="20" t="s">
        <v>56</v>
      </c>
      <c r="E2107" s="20" t="s">
        <v>101</v>
      </c>
      <c r="F2107" s="20" t="s">
        <v>516</v>
      </c>
    </row>
    <row r="2108">
      <c r="A2108" s="26">
        <v>44829.51651971065</v>
      </c>
      <c r="B2108" s="20" t="s">
        <v>191</v>
      </c>
      <c r="C2108" s="20">
        <v>828.0</v>
      </c>
      <c r="D2108" s="20" t="s">
        <v>40</v>
      </c>
      <c r="E2108" s="20" t="s">
        <v>101</v>
      </c>
      <c r="F2108" s="20" t="s">
        <v>516</v>
      </c>
    </row>
    <row r="2109">
      <c r="A2109" s="26">
        <v>44829.51717944445</v>
      </c>
      <c r="B2109" s="20" t="s">
        <v>191</v>
      </c>
      <c r="C2109" s="20">
        <v>147.0</v>
      </c>
      <c r="D2109" s="20" t="s">
        <v>601</v>
      </c>
      <c r="E2109" s="20" t="s">
        <v>101</v>
      </c>
      <c r="F2109" s="20" t="s">
        <v>516</v>
      </c>
    </row>
    <row r="2110">
      <c r="A2110" s="26">
        <v>44829.51769143519</v>
      </c>
      <c r="B2110" s="20" t="s">
        <v>191</v>
      </c>
      <c r="C2110" s="20">
        <v>358.0</v>
      </c>
      <c r="D2110" s="20" t="s">
        <v>40</v>
      </c>
      <c r="E2110" s="20" t="s">
        <v>101</v>
      </c>
      <c r="F2110" s="20" t="s">
        <v>516</v>
      </c>
    </row>
    <row r="2111">
      <c r="A2111" s="26">
        <v>44829.53212177083</v>
      </c>
      <c r="B2111" s="20" t="s">
        <v>193</v>
      </c>
      <c r="C2111" s="20">
        <v>68.0</v>
      </c>
      <c r="D2111" s="20" t="s">
        <v>76</v>
      </c>
      <c r="E2111" s="20" t="s">
        <v>101</v>
      </c>
      <c r="F2111" s="20" t="s">
        <v>516</v>
      </c>
    </row>
    <row r="2112">
      <c r="A2112" s="26">
        <v>44829.54023373843</v>
      </c>
      <c r="B2112" s="20" t="s">
        <v>193</v>
      </c>
      <c r="C2112" s="20">
        <v>260.0</v>
      </c>
      <c r="D2112" s="20" t="s">
        <v>587</v>
      </c>
      <c r="E2112" s="20" t="s">
        <v>101</v>
      </c>
      <c r="F2112" s="20" t="s">
        <v>516</v>
      </c>
    </row>
    <row r="2113">
      <c r="A2113" s="26">
        <v>44829.5687325926</v>
      </c>
      <c r="B2113" s="20" t="s">
        <v>193</v>
      </c>
      <c r="C2113" s="20">
        <v>137.0</v>
      </c>
      <c r="D2113" s="20" t="s">
        <v>588</v>
      </c>
      <c r="E2113" s="20" t="s">
        <v>65</v>
      </c>
      <c r="F2113" s="20" t="s">
        <v>516</v>
      </c>
    </row>
    <row r="2114">
      <c r="A2114" s="28">
        <v>44829.0</v>
      </c>
      <c r="B2114" s="20" t="s">
        <v>345</v>
      </c>
      <c r="C2114" s="20">
        <v>65.0</v>
      </c>
      <c r="D2114" s="20" t="s">
        <v>603</v>
      </c>
      <c r="E2114" s="20" t="s">
        <v>630</v>
      </c>
      <c r="F2114" s="20"/>
    </row>
    <row r="2115">
      <c r="A2115" s="28">
        <v>44829.0</v>
      </c>
      <c r="B2115" s="20" t="s">
        <v>345</v>
      </c>
      <c r="C2115" s="20">
        <v>63.0</v>
      </c>
      <c r="D2115" s="20" t="s">
        <v>585</v>
      </c>
      <c r="E2115" s="20" t="s">
        <v>101</v>
      </c>
      <c r="F2115" s="20"/>
    </row>
    <row r="2116">
      <c r="A2116" s="28">
        <v>44829.0</v>
      </c>
      <c r="B2116" s="20" t="s">
        <v>345</v>
      </c>
      <c r="C2116" s="20">
        <v>168.0</v>
      </c>
      <c r="D2116" s="20" t="s">
        <v>587</v>
      </c>
      <c r="E2116" s="20" t="s">
        <v>630</v>
      </c>
      <c r="F2116" s="20"/>
    </row>
    <row r="2117">
      <c r="A2117" s="26">
        <v>44829.58320706019</v>
      </c>
      <c r="B2117" s="20" t="s">
        <v>631</v>
      </c>
      <c r="C2117" s="20">
        <v>14.0</v>
      </c>
      <c r="D2117" s="20" t="s">
        <v>632</v>
      </c>
      <c r="E2117" s="20" t="s">
        <v>630</v>
      </c>
      <c r="F2117" s="20" t="s">
        <v>533</v>
      </c>
    </row>
    <row r="2118">
      <c r="A2118" s="28">
        <v>44831.0</v>
      </c>
      <c r="B2118" s="20" t="s">
        <v>345</v>
      </c>
      <c r="C2118" s="20">
        <v>112.0</v>
      </c>
      <c r="D2118" s="20" t="s">
        <v>585</v>
      </c>
      <c r="E2118" s="20" t="s">
        <v>55</v>
      </c>
      <c r="F2118" s="20" t="s">
        <v>449</v>
      </c>
    </row>
    <row r="2119">
      <c r="A2119" s="26">
        <v>44831.708755914355</v>
      </c>
      <c r="B2119" s="20" t="s">
        <v>163</v>
      </c>
      <c r="C2119" s="20">
        <v>3.0</v>
      </c>
      <c r="D2119" s="20" t="s">
        <v>601</v>
      </c>
      <c r="E2119" s="20" t="s">
        <v>633</v>
      </c>
      <c r="F2119" s="20" t="s">
        <v>455</v>
      </c>
    </row>
    <row r="2120">
      <c r="A2120" s="28">
        <v>44833.0</v>
      </c>
      <c r="B2120" s="20" t="s">
        <v>345</v>
      </c>
      <c r="C2120" s="20">
        <v>139.0</v>
      </c>
      <c r="D2120" s="20" t="s">
        <v>76</v>
      </c>
      <c r="E2120" s="20" t="s">
        <v>212</v>
      </c>
      <c r="F2120" s="20" t="s">
        <v>449</v>
      </c>
    </row>
    <row r="2121">
      <c r="A2121" s="26">
        <v>44833.571370868056</v>
      </c>
      <c r="B2121" s="20" t="s">
        <v>163</v>
      </c>
      <c r="C2121" s="20">
        <v>254.0</v>
      </c>
      <c r="D2121" s="20" t="s">
        <v>76</v>
      </c>
      <c r="E2121" s="20" t="s">
        <v>598</v>
      </c>
      <c r="F2121" s="20" t="s">
        <v>455</v>
      </c>
    </row>
    <row r="2122">
      <c r="A2122" s="26">
        <v>44833.572469942126</v>
      </c>
      <c r="B2122" s="20" t="s">
        <v>163</v>
      </c>
      <c r="C2122" s="20">
        <v>208.0</v>
      </c>
      <c r="D2122" s="20" t="s">
        <v>76</v>
      </c>
      <c r="E2122" s="20" t="s">
        <v>598</v>
      </c>
      <c r="F2122" s="20" t="s">
        <v>455</v>
      </c>
    </row>
    <row r="2123">
      <c r="A2123" s="26">
        <v>44833.57332913195</v>
      </c>
      <c r="B2123" s="20" t="s">
        <v>163</v>
      </c>
      <c r="C2123" s="20">
        <v>198.0</v>
      </c>
      <c r="D2123" s="20" t="s">
        <v>76</v>
      </c>
      <c r="E2123" s="20" t="s">
        <v>598</v>
      </c>
      <c r="F2123" s="20" t="s">
        <v>455</v>
      </c>
    </row>
    <row r="2124">
      <c r="A2124" s="26">
        <v>44833.57419789352</v>
      </c>
      <c r="B2124" s="20" t="s">
        <v>163</v>
      </c>
      <c r="C2124" s="20">
        <v>201.0</v>
      </c>
      <c r="D2124" s="20" t="s">
        <v>76</v>
      </c>
      <c r="E2124" s="20" t="s">
        <v>598</v>
      </c>
      <c r="F2124" s="20" t="s">
        <v>455</v>
      </c>
    </row>
    <row r="2125">
      <c r="A2125" s="26">
        <v>44833.57497829861</v>
      </c>
      <c r="B2125" s="20" t="s">
        <v>163</v>
      </c>
      <c r="C2125" s="20">
        <v>182.0</v>
      </c>
      <c r="D2125" s="20" t="s">
        <v>76</v>
      </c>
      <c r="E2125" s="20" t="s">
        <v>598</v>
      </c>
      <c r="F2125" s="20" t="s">
        <v>455</v>
      </c>
    </row>
    <row r="2126">
      <c r="A2126" s="26">
        <v>44833.57542972222</v>
      </c>
      <c r="B2126" s="20" t="s">
        <v>163</v>
      </c>
      <c r="C2126" s="20">
        <v>181.0</v>
      </c>
      <c r="D2126" s="20" t="s">
        <v>76</v>
      </c>
      <c r="E2126" s="20" t="s">
        <v>598</v>
      </c>
      <c r="F2126" s="20" t="s">
        <v>455</v>
      </c>
    </row>
    <row r="2127">
      <c r="A2127" s="26">
        <v>44833.57613408565</v>
      </c>
      <c r="B2127" s="20" t="s">
        <v>163</v>
      </c>
      <c r="C2127" s="20">
        <v>210.0</v>
      </c>
      <c r="D2127" s="20" t="s">
        <v>76</v>
      </c>
      <c r="E2127" s="20" t="s">
        <v>598</v>
      </c>
      <c r="F2127" s="20" t="s">
        <v>455</v>
      </c>
    </row>
    <row r="2128">
      <c r="A2128" s="26">
        <v>44833.57671952546</v>
      </c>
      <c r="B2128" s="20" t="s">
        <v>163</v>
      </c>
      <c r="C2128" s="20">
        <v>803.0</v>
      </c>
      <c r="D2128" s="20" t="s">
        <v>40</v>
      </c>
      <c r="E2128" s="20" t="s">
        <v>598</v>
      </c>
      <c r="F2128" s="20" t="s">
        <v>455</v>
      </c>
    </row>
    <row r="2129">
      <c r="A2129" s="26">
        <v>44833.577461354165</v>
      </c>
      <c r="B2129" s="20" t="s">
        <v>163</v>
      </c>
      <c r="C2129" s="20">
        <v>89.0</v>
      </c>
      <c r="D2129" s="20" t="s">
        <v>58</v>
      </c>
      <c r="E2129" s="20" t="s">
        <v>598</v>
      </c>
      <c r="F2129" s="20" t="s">
        <v>455</v>
      </c>
    </row>
    <row r="2130">
      <c r="A2130" s="26">
        <v>44834.640207743054</v>
      </c>
      <c r="B2130" s="20" t="s">
        <v>345</v>
      </c>
      <c r="C2130" s="20">
        <v>675.0</v>
      </c>
      <c r="D2130" s="20" t="s">
        <v>40</v>
      </c>
      <c r="E2130" s="20" t="s">
        <v>96</v>
      </c>
      <c r="F2130" s="20" t="s">
        <v>455</v>
      </c>
    </row>
    <row r="2131">
      <c r="A2131" s="26">
        <v>44834.64055835648</v>
      </c>
      <c r="B2131" s="20" t="s">
        <v>345</v>
      </c>
      <c r="C2131" s="20">
        <v>58.0</v>
      </c>
      <c r="D2131" s="20" t="s">
        <v>76</v>
      </c>
      <c r="E2131" s="20" t="s">
        <v>96</v>
      </c>
      <c r="F2131" s="20" t="s">
        <v>455</v>
      </c>
    </row>
    <row r="2132">
      <c r="A2132" s="26">
        <v>44834.64089026621</v>
      </c>
      <c r="B2132" s="20" t="s">
        <v>345</v>
      </c>
      <c r="C2132" s="20">
        <v>502.0</v>
      </c>
      <c r="D2132" s="20" t="s">
        <v>585</v>
      </c>
      <c r="E2132" s="20" t="s">
        <v>96</v>
      </c>
      <c r="F2132" s="20" t="s">
        <v>455</v>
      </c>
    </row>
    <row r="2133">
      <c r="A2133" s="26">
        <v>44834.641112847225</v>
      </c>
      <c r="B2133" s="20" t="s">
        <v>345</v>
      </c>
      <c r="C2133" s="20">
        <v>653.0</v>
      </c>
      <c r="D2133" s="20" t="s">
        <v>40</v>
      </c>
      <c r="E2133" s="20" t="s">
        <v>589</v>
      </c>
      <c r="F2133" s="20" t="s">
        <v>455</v>
      </c>
    </row>
    <row r="2134">
      <c r="A2134" s="26">
        <v>44834.641391666664</v>
      </c>
      <c r="B2134" s="20" t="s">
        <v>345</v>
      </c>
      <c r="C2134" s="20">
        <v>512.0</v>
      </c>
      <c r="D2134" s="20" t="s">
        <v>585</v>
      </c>
      <c r="E2134" s="20" t="s">
        <v>589</v>
      </c>
      <c r="F2134" s="20" t="s">
        <v>455</v>
      </c>
    </row>
    <row r="2135">
      <c r="A2135" s="26">
        <v>44834.641566481485</v>
      </c>
      <c r="B2135" s="20" t="s">
        <v>345</v>
      </c>
      <c r="C2135" s="20">
        <v>50.0</v>
      </c>
      <c r="D2135" s="20" t="s">
        <v>76</v>
      </c>
      <c r="E2135" s="20" t="s">
        <v>589</v>
      </c>
      <c r="F2135" s="20" t="s">
        <v>455</v>
      </c>
    </row>
    <row r="2136">
      <c r="A2136" s="28">
        <v>44834.0</v>
      </c>
      <c r="B2136" s="20" t="s">
        <v>345</v>
      </c>
      <c r="C2136" s="20">
        <v>46.0</v>
      </c>
      <c r="D2136" s="20" t="s">
        <v>634</v>
      </c>
      <c r="E2136" s="20" t="s">
        <v>96</v>
      </c>
      <c r="F2136" s="20" t="s">
        <v>449</v>
      </c>
    </row>
    <row r="2137">
      <c r="A2137" s="26">
        <v>44834.64769706018</v>
      </c>
      <c r="B2137" s="20" t="s">
        <v>576</v>
      </c>
      <c r="C2137" s="20">
        <v>100.0</v>
      </c>
      <c r="D2137" s="20" t="s">
        <v>587</v>
      </c>
      <c r="E2137" s="20" t="s">
        <v>234</v>
      </c>
      <c r="F2137" s="20" t="s">
        <v>455</v>
      </c>
      <c r="G2137" s="20">
        <v>58902.0</v>
      </c>
    </row>
    <row r="2138">
      <c r="A2138" s="26">
        <v>44835.69011732639</v>
      </c>
      <c r="B2138" s="20" t="s">
        <v>345</v>
      </c>
      <c r="C2138" s="20">
        <v>48.0</v>
      </c>
      <c r="D2138" s="20" t="s">
        <v>58</v>
      </c>
      <c r="E2138" s="20" t="s">
        <v>75</v>
      </c>
      <c r="F2138" s="20" t="s">
        <v>455</v>
      </c>
    </row>
    <row r="2139">
      <c r="A2139" s="26">
        <v>44835.69040070602</v>
      </c>
      <c r="B2139" s="20" t="s">
        <v>345</v>
      </c>
      <c r="C2139" s="20">
        <v>71.0</v>
      </c>
      <c r="D2139" s="20" t="s">
        <v>635</v>
      </c>
      <c r="E2139" s="20" t="s">
        <v>75</v>
      </c>
      <c r="F2139" s="20" t="s">
        <v>455</v>
      </c>
    </row>
    <row r="2140">
      <c r="A2140" s="26">
        <v>44835.69120850695</v>
      </c>
      <c r="B2140" s="20" t="s">
        <v>345</v>
      </c>
      <c r="C2140" s="20">
        <v>187.0</v>
      </c>
      <c r="D2140" s="20" t="s">
        <v>40</v>
      </c>
      <c r="E2140" s="20" t="s">
        <v>75</v>
      </c>
      <c r="F2140" s="20" t="s">
        <v>455</v>
      </c>
    </row>
    <row r="2141">
      <c r="A2141" s="26">
        <v>44835.69151412037</v>
      </c>
      <c r="B2141" s="20" t="s">
        <v>345</v>
      </c>
      <c r="C2141" s="20">
        <v>358.0</v>
      </c>
      <c r="D2141" s="20" t="s">
        <v>40</v>
      </c>
      <c r="E2141" s="20" t="s">
        <v>75</v>
      </c>
      <c r="F2141" s="20" t="s">
        <v>455</v>
      </c>
    </row>
    <row r="2142">
      <c r="A2142" s="26">
        <v>44835.69178728009</v>
      </c>
      <c r="B2142" s="20" t="s">
        <v>345</v>
      </c>
      <c r="C2142" s="20">
        <v>785.0</v>
      </c>
      <c r="D2142" s="20" t="s">
        <v>40</v>
      </c>
      <c r="E2142" s="20" t="s">
        <v>75</v>
      </c>
      <c r="F2142" s="20" t="s">
        <v>455</v>
      </c>
    </row>
    <row r="2143">
      <c r="A2143" s="26">
        <v>44835.69204512732</v>
      </c>
      <c r="B2143" s="20" t="s">
        <v>345</v>
      </c>
      <c r="C2143" s="20">
        <v>536.0</v>
      </c>
      <c r="D2143" s="20" t="s">
        <v>58</v>
      </c>
      <c r="E2143" s="20" t="s">
        <v>75</v>
      </c>
      <c r="F2143" s="20" t="s">
        <v>455</v>
      </c>
    </row>
    <row r="2144">
      <c r="A2144" s="26">
        <v>44835.6923071875</v>
      </c>
      <c r="B2144" s="20" t="s">
        <v>345</v>
      </c>
      <c r="C2144" s="20">
        <v>80.0</v>
      </c>
      <c r="D2144" s="20" t="s">
        <v>76</v>
      </c>
      <c r="E2144" s="20" t="s">
        <v>75</v>
      </c>
      <c r="F2144" s="20" t="s">
        <v>455</v>
      </c>
    </row>
    <row r="2145">
      <c r="A2145" s="26">
        <v>44835.69251217593</v>
      </c>
      <c r="B2145" s="20" t="s">
        <v>345</v>
      </c>
      <c r="C2145" s="20">
        <v>115.0</v>
      </c>
      <c r="D2145" s="20" t="s">
        <v>76</v>
      </c>
      <c r="E2145" s="20" t="s">
        <v>75</v>
      </c>
      <c r="F2145" s="20" t="s">
        <v>455</v>
      </c>
    </row>
    <row r="2146">
      <c r="A2146" s="26">
        <v>44835.69274086806</v>
      </c>
      <c r="B2146" s="20" t="s">
        <v>345</v>
      </c>
      <c r="C2146" s="20">
        <v>856.0</v>
      </c>
      <c r="D2146" s="20" t="s">
        <v>534</v>
      </c>
      <c r="E2146" s="20" t="s">
        <v>75</v>
      </c>
      <c r="F2146" s="20" t="s">
        <v>455</v>
      </c>
    </row>
    <row r="2147">
      <c r="A2147" s="26">
        <v>44835.69293405092</v>
      </c>
      <c r="B2147" s="20" t="s">
        <v>345</v>
      </c>
      <c r="C2147" s="20">
        <v>115.0</v>
      </c>
      <c r="D2147" s="20" t="s">
        <v>76</v>
      </c>
      <c r="E2147" s="20" t="s">
        <v>75</v>
      </c>
      <c r="F2147" s="20" t="s">
        <v>455</v>
      </c>
    </row>
    <row r="2148">
      <c r="A2148" s="26">
        <v>44835.69333446759</v>
      </c>
      <c r="B2148" s="20" t="s">
        <v>345</v>
      </c>
      <c r="C2148" s="20">
        <v>264.0</v>
      </c>
      <c r="D2148" s="20" t="s">
        <v>588</v>
      </c>
      <c r="E2148" s="20" t="s">
        <v>75</v>
      </c>
      <c r="F2148" s="20" t="s">
        <v>455</v>
      </c>
    </row>
    <row r="2149">
      <c r="A2149" s="26">
        <v>44835.69397125</v>
      </c>
      <c r="B2149" s="20" t="s">
        <v>345</v>
      </c>
      <c r="C2149" s="20">
        <v>73.0</v>
      </c>
      <c r="D2149" s="20" t="s">
        <v>405</v>
      </c>
      <c r="E2149" s="20" t="s">
        <v>75</v>
      </c>
      <c r="F2149" s="20" t="s">
        <v>455</v>
      </c>
    </row>
    <row r="2150">
      <c r="A2150" s="26">
        <v>44835.69465469907</v>
      </c>
      <c r="B2150" s="20" t="s">
        <v>345</v>
      </c>
      <c r="C2150" s="20">
        <v>836.0</v>
      </c>
      <c r="D2150" s="20" t="s">
        <v>607</v>
      </c>
      <c r="E2150" s="20" t="s">
        <v>75</v>
      </c>
      <c r="F2150" s="20" t="s">
        <v>455</v>
      </c>
    </row>
    <row r="2151">
      <c r="A2151" s="26">
        <v>44835.69510077546</v>
      </c>
      <c r="B2151" s="20" t="s">
        <v>345</v>
      </c>
      <c r="C2151" s="20">
        <v>392.0</v>
      </c>
      <c r="D2151" s="20" t="s">
        <v>593</v>
      </c>
      <c r="E2151" s="20" t="s">
        <v>75</v>
      </c>
      <c r="F2151" s="20" t="s">
        <v>455</v>
      </c>
    </row>
    <row r="2152">
      <c r="A2152" s="26">
        <v>44835.695431597225</v>
      </c>
      <c r="B2152" s="20" t="s">
        <v>345</v>
      </c>
      <c r="C2152" s="20">
        <v>239.0</v>
      </c>
      <c r="D2152" s="20" t="s">
        <v>607</v>
      </c>
      <c r="E2152" s="20" t="s">
        <v>75</v>
      </c>
      <c r="F2152" s="20" t="s">
        <v>455</v>
      </c>
    </row>
    <row r="2153">
      <c r="A2153" s="26">
        <v>44835.69571903935</v>
      </c>
      <c r="B2153" s="20" t="s">
        <v>345</v>
      </c>
      <c r="C2153" s="20">
        <v>505.0</v>
      </c>
      <c r="D2153" s="20" t="s">
        <v>404</v>
      </c>
      <c r="E2153" s="20" t="s">
        <v>75</v>
      </c>
      <c r="F2153" s="20" t="s">
        <v>455</v>
      </c>
    </row>
    <row r="2154">
      <c r="A2154" s="26">
        <v>44835.69598834491</v>
      </c>
      <c r="B2154" s="20" t="s">
        <v>345</v>
      </c>
      <c r="C2154" s="20">
        <v>95.0</v>
      </c>
      <c r="D2154" s="20" t="s">
        <v>40</v>
      </c>
      <c r="E2154" s="20" t="s">
        <v>75</v>
      </c>
      <c r="F2154" s="20" t="s">
        <v>455</v>
      </c>
    </row>
    <row r="2155">
      <c r="A2155" s="26">
        <v>44835.69639358796</v>
      </c>
      <c r="B2155" s="20" t="s">
        <v>345</v>
      </c>
      <c r="C2155" s="20">
        <v>-158.0</v>
      </c>
      <c r="D2155" s="20" t="s">
        <v>588</v>
      </c>
      <c r="E2155" s="20" t="s">
        <v>75</v>
      </c>
      <c r="F2155" s="20" t="s">
        <v>455</v>
      </c>
    </row>
    <row r="2156">
      <c r="A2156" s="26">
        <v>44835.69662616898</v>
      </c>
      <c r="B2156" s="20" t="s">
        <v>345</v>
      </c>
      <c r="C2156" s="20">
        <v>-415.0</v>
      </c>
      <c r="D2156" s="20" t="s">
        <v>607</v>
      </c>
      <c r="E2156" s="20" t="s">
        <v>75</v>
      </c>
      <c r="F2156" s="20" t="s">
        <v>455</v>
      </c>
    </row>
    <row r="2157">
      <c r="A2157" s="26">
        <v>44835.69692652777</v>
      </c>
      <c r="B2157" s="20" t="s">
        <v>345</v>
      </c>
      <c r="C2157" s="20">
        <v>-484.0</v>
      </c>
      <c r="D2157" s="20" t="s">
        <v>58</v>
      </c>
      <c r="E2157" s="20" t="s">
        <v>75</v>
      </c>
      <c r="F2157" s="20" t="s">
        <v>455</v>
      </c>
    </row>
    <row r="2158">
      <c r="A2158" s="26">
        <v>44835.69717126158</v>
      </c>
      <c r="B2158" s="20" t="s">
        <v>345</v>
      </c>
      <c r="C2158" s="20">
        <v>-300.0</v>
      </c>
      <c r="D2158" s="20" t="s">
        <v>40</v>
      </c>
      <c r="E2158" s="20" t="s">
        <v>75</v>
      </c>
      <c r="F2158" s="20" t="s">
        <v>455</v>
      </c>
    </row>
    <row r="2159">
      <c r="A2159" s="26">
        <v>44835.6973750926</v>
      </c>
      <c r="B2159" s="20" t="s">
        <v>345</v>
      </c>
      <c r="C2159" s="20">
        <v>-16.0</v>
      </c>
      <c r="D2159" s="20" t="s">
        <v>76</v>
      </c>
      <c r="E2159" s="20" t="s">
        <v>75</v>
      </c>
      <c r="F2159" s="20" t="s">
        <v>455</v>
      </c>
    </row>
    <row r="2160">
      <c r="A2160" s="26">
        <v>44835.697610891206</v>
      </c>
      <c r="B2160" s="20" t="s">
        <v>345</v>
      </c>
      <c r="C2160" s="20">
        <v>-30.0</v>
      </c>
      <c r="D2160" s="20" t="s">
        <v>58</v>
      </c>
      <c r="E2160" s="20" t="s">
        <v>75</v>
      </c>
      <c r="F2160" s="20" t="s">
        <v>455</v>
      </c>
    </row>
    <row r="2161">
      <c r="A2161" s="26">
        <v>44835.69837298611</v>
      </c>
      <c r="B2161" s="20" t="s">
        <v>345</v>
      </c>
      <c r="C2161" s="20">
        <v>-17.0</v>
      </c>
      <c r="D2161" s="20" t="s">
        <v>405</v>
      </c>
      <c r="E2161" s="20" t="s">
        <v>75</v>
      </c>
      <c r="F2161" s="20" t="s">
        <v>455</v>
      </c>
    </row>
    <row r="2162">
      <c r="A2162" s="26">
        <v>44835.69909420139</v>
      </c>
      <c r="B2162" s="20" t="s">
        <v>345</v>
      </c>
      <c r="C2162" s="20">
        <v>-28.0</v>
      </c>
      <c r="D2162" s="20" t="s">
        <v>635</v>
      </c>
      <c r="E2162" s="20" t="s">
        <v>75</v>
      </c>
      <c r="F2162" s="20" t="s">
        <v>455</v>
      </c>
    </row>
    <row r="2163">
      <c r="A2163" s="26">
        <v>44835.70063175926</v>
      </c>
      <c r="B2163" s="20" t="s">
        <v>345</v>
      </c>
      <c r="C2163" s="20">
        <v>-97.0</v>
      </c>
      <c r="D2163" s="20" t="s">
        <v>636</v>
      </c>
      <c r="E2163" s="20" t="s">
        <v>75</v>
      </c>
      <c r="F2163" s="20" t="s">
        <v>455</v>
      </c>
    </row>
    <row r="2164">
      <c r="A2164" s="26">
        <v>44835.71590081019</v>
      </c>
      <c r="B2164" s="20" t="s">
        <v>637</v>
      </c>
      <c r="C2164" s="20">
        <v>35.0</v>
      </c>
      <c r="D2164" s="20" t="s">
        <v>638</v>
      </c>
      <c r="E2164" s="20" t="s">
        <v>455</v>
      </c>
      <c r="F2164" s="20" t="s">
        <v>455</v>
      </c>
    </row>
    <row r="2165">
      <c r="A2165" s="26">
        <v>44836.65901478009</v>
      </c>
      <c r="B2165" s="20" t="s">
        <v>596</v>
      </c>
      <c r="C2165" s="20">
        <v>324.0</v>
      </c>
      <c r="D2165" s="20" t="s">
        <v>587</v>
      </c>
      <c r="E2165" s="20" t="s">
        <v>183</v>
      </c>
      <c r="F2165" s="20" t="s">
        <v>449</v>
      </c>
    </row>
    <row r="2166">
      <c r="A2166" s="26">
        <v>44836.659895254634</v>
      </c>
      <c r="B2166" s="20" t="s">
        <v>596</v>
      </c>
      <c r="C2166" s="20">
        <v>183.0</v>
      </c>
      <c r="D2166" s="20" t="s">
        <v>587</v>
      </c>
      <c r="E2166" s="20" t="s">
        <v>100</v>
      </c>
      <c r="F2166" s="20" t="s">
        <v>449</v>
      </c>
    </row>
    <row r="2167">
      <c r="A2167" s="28">
        <v>44836.0</v>
      </c>
      <c r="B2167" s="20" t="s">
        <v>345</v>
      </c>
      <c r="C2167" s="20">
        <v>90.0</v>
      </c>
      <c r="D2167" s="20" t="s">
        <v>585</v>
      </c>
      <c r="E2167" s="20" t="s">
        <v>65</v>
      </c>
      <c r="F2167" s="20" t="s">
        <v>449</v>
      </c>
    </row>
    <row r="2168">
      <c r="A2168" s="28">
        <v>44836.0</v>
      </c>
      <c r="B2168" s="20" t="s">
        <v>345</v>
      </c>
      <c r="C2168" s="20">
        <v>330.0</v>
      </c>
      <c r="D2168" s="20" t="s">
        <v>585</v>
      </c>
      <c r="E2168" s="20" t="s">
        <v>65</v>
      </c>
      <c r="F2168" s="20" t="s">
        <v>449</v>
      </c>
    </row>
    <row r="2169">
      <c r="A2169" s="28">
        <v>44836.0</v>
      </c>
      <c r="B2169" s="20" t="s">
        <v>345</v>
      </c>
      <c r="C2169" s="20">
        <v>47.0</v>
      </c>
      <c r="D2169" s="20" t="s">
        <v>40</v>
      </c>
      <c r="E2169" s="20" t="s">
        <v>65</v>
      </c>
      <c r="F2169" s="20" t="s">
        <v>449</v>
      </c>
    </row>
    <row r="2170">
      <c r="A2170" s="28">
        <v>44836.0</v>
      </c>
      <c r="B2170" s="20" t="s">
        <v>345</v>
      </c>
      <c r="C2170" s="20">
        <v>14.0</v>
      </c>
      <c r="D2170" s="20" t="s">
        <v>40</v>
      </c>
      <c r="E2170" s="20" t="s">
        <v>65</v>
      </c>
      <c r="F2170" s="20" t="s">
        <v>449</v>
      </c>
    </row>
    <row r="2171">
      <c r="A2171" s="28">
        <v>44836.0</v>
      </c>
      <c r="B2171" s="20" t="s">
        <v>345</v>
      </c>
      <c r="C2171" s="20">
        <v>150.0</v>
      </c>
      <c r="D2171" s="20" t="s">
        <v>40</v>
      </c>
      <c r="E2171" s="20" t="s">
        <v>65</v>
      </c>
      <c r="F2171" s="20" t="s">
        <v>449</v>
      </c>
    </row>
    <row r="2172">
      <c r="A2172" s="28">
        <v>44836.0</v>
      </c>
      <c r="B2172" s="20" t="s">
        <v>345</v>
      </c>
      <c r="C2172" s="20">
        <v>139.0</v>
      </c>
      <c r="D2172" s="20" t="s">
        <v>76</v>
      </c>
      <c r="E2172" s="20" t="s">
        <v>101</v>
      </c>
      <c r="F2172" s="20" t="s">
        <v>449</v>
      </c>
    </row>
    <row r="2173">
      <c r="A2173" s="28">
        <v>44836.0</v>
      </c>
      <c r="B2173" s="20" t="s">
        <v>345</v>
      </c>
      <c r="C2173" s="20">
        <v>474.0</v>
      </c>
      <c r="D2173" s="20" t="s">
        <v>40</v>
      </c>
      <c r="E2173" s="20" t="s">
        <v>101</v>
      </c>
      <c r="F2173" s="20" t="s">
        <v>449</v>
      </c>
    </row>
    <row r="2174">
      <c r="A2174" s="28">
        <v>44836.0</v>
      </c>
      <c r="B2174" s="20" t="s">
        <v>345</v>
      </c>
      <c r="C2174" s="20">
        <v>135.0</v>
      </c>
      <c r="D2174" s="20" t="s">
        <v>634</v>
      </c>
      <c r="E2174" s="20" t="s">
        <v>101</v>
      </c>
      <c r="F2174" s="20" t="s">
        <v>449</v>
      </c>
    </row>
    <row r="2175">
      <c r="A2175" s="28">
        <v>44836.0</v>
      </c>
      <c r="B2175" s="20" t="s">
        <v>345</v>
      </c>
      <c r="C2175" s="20">
        <v>135.0</v>
      </c>
      <c r="D2175" s="20" t="s">
        <v>634</v>
      </c>
      <c r="E2175" s="20" t="s">
        <v>101</v>
      </c>
      <c r="F2175" s="20" t="s">
        <v>449</v>
      </c>
    </row>
    <row r="2176">
      <c r="A2176" s="28">
        <v>44836.0</v>
      </c>
      <c r="B2176" s="20" t="s">
        <v>345</v>
      </c>
      <c r="C2176" s="20">
        <v>73.0</v>
      </c>
      <c r="D2176" s="20" t="s">
        <v>585</v>
      </c>
      <c r="E2176" s="20" t="s">
        <v>101</v>
      </c>
      <c r="F2176" s="20" t="s">
        <v>449</v>
      </c>
    </row>
    <row r="2177">
      <c r="A2177" s="28">
        <v>44836.0</v>
      </c>
      <c r="B2177" s="20" t="s">
        <v>345</v>
      </c>
      <c r="C2177" s="20">
        <v>88.0</v>
      </c>
      <c r="D2177" s="20" t="s">
        <v>40</v>
      </c>
      <c r="E2177" s="20" t="s">
        <v>101</v>
      </c>
      <c r="F2177" s="20" t="s">
        <v>449</v>
      </c>
    </row>
    <row r="2178">
      <c r="A2178" s="28">
        <v>44836.0</v>
      </c>
      <c r="B2178" s="20" t="s">
        <v>345</v>
      </c>
      <c r="C2178" s="20">
        <v>93.0</v>
      </c>
      <c r="D2178" s="20" t="s">
        <v>40</v>
      </c>
      <c r="E2178" s="20" t="s">
        <v>101</v>
      </c>
      <c r="F2178" s="20" t="s">
        <v>449</v>
      </c>
    </row>
    <row r="2179">
      <c r="A2179" s="28">
        <v>44836.0</v>
      </c>
      <c r="B2179" s="20" t="s">
        <v>345</v>
      </c>
      <c r="C2179" s="20">
        <v>20.0</v>
      </c>
      <c r="D2179" s="20" t="s">
        <v>40</v>
      </c>
      <c r="E2179" s="20" t="s">
        <v>101</v>
      </c>
      <c r="F2179" s="20" t="s">
        <v>449</v>
      </c>
    </row>
    <row r="2180">
      <c r="A2180" s="26">
        <v>44836.67924865741</v>
      </c>
      <c r="B2180" s="20" t="s">
        <v>596</v>
      </c>
      <c r="C2180" s="20">
        <v>101.0</v>
      </c>
      <c r="D2180" s="20" t="s">
        <v>585</v>
      </c>
      <c r="E2180" s="20" t="s">
        <v>100</v>
      </c>
      <c r="F2180" s="20" t="s">
        <v>449</v>
      </c>
    </row>
    <row r="2181">
      <c r="A2181" s="26">
        <v>44836.680184756944</v>
      </c>
      <c r="B2181" s="20" t="s">
        <v>596</v>
      </c>
      <c r="C2181" s="20">
        <v>176.0</v>
      </c>
      <c r="D2181" s="20" t="s">
        <v>56</v>
      </c>
      <c r="E2181" s="20" t="s">
        <v>50</v>
      </c>
      <c r="F2181" s="20" t="s">
        <v>449</v>
      </c>
    </row>
    <row r="2182">
      <c r="A2182" s="26">
        <v>44839.82323513889</v>
      </c>
      <c r="B2182" s="20" t="s">
        <v>422</v>
      </c>
      <c r="C2182" s="20">
        <v>37.0</v>
      </c>
      <c r="D2182" s="20" t="s">
        <v>639</v>
      </c>
      <c r="E2182" s="20" t="s">
        <v>640</v>
      </c>
      <c r="F2182" s="20" t="s">
        <v>641</v>
      </c>
    </row>
    <row r="2183">
      <c r="A2183" s="26">
        <v>44840.69247663194</v>
      </c>
      <c r="B2183" s="20" t="s">
        <v>345</v>
      </c>
      <c r="C2183" s="20">
        <v>1173.0</v>
      </c>
      <c r="D2183" s="20" t="s">
        <v>634</v>
      </c>
      <c r="E2183" s="20" t="s">
        <v>642</v>
      </c>
      <c r="F2183" s="20" t="s">
        <v>455</v>
      </c>
    </row>
    <row r="2184">
      <c r="A2184" s="26">
        <v>44840.693151203704</v>
      </c>
      <c r="B2184" s="20" t="s">
        <v>345</v>
      </c>
      <c r="C2184" s="20">
        <v>97.0</v>
      </c>
      <c r="D2184" s="20" t="s">
        <v>40</v>
      </c>
      <c r="E2184" s="20" t="s">
        <v>643</v>
      </c>
      <c r="F2184" s="20" t="s">
        <v>455</v>
      </c>
    </row>
    <row r="2185">
      <c r="A2185" s="26">
        <v>44840.693446550926</v>
      </c>
      <c r="B2185" s="20" t="s">
        <v>345</v>
      </c>
      <c r="C2185" s="20">
        <v>290.0</v>
      </c>
      <c r="D2185" s="20" t="s">
        <v>585</v>
      </c>
      <c r="E2185" s="20" t="s">
        <v>643</v>
      </c>
      <c r="F2185" s="20" t="s">
        <v>455</v>
      </c>
    </row>
    <row r="2186">
      <c r="A2186" s="26">
        <v>44840.69404714121</v>
      </c>
      <c r="B2186" s="20" t="s">
        <v>345</v>
      </c>
      <c r="C2186" s="20">
        <v>135.0</v>
      </c>
      <c r="D2186" s="20" t="s">
        <v>585</v>
      </c>
      <c r="E2186" s="20" t="s">
        <v>643</v>
      </c>
      <c r="F2186" s="20" t="s">
        <v>455</v>
      </c>
    </row>
    <row r="2187">
      <c r="A2187" s="26">
        <v>44840.69528827546</v>
      </c>
      <c r="B2187" s="20" t="s">
        <v>345</v>
      </c>
      <c r="C2187" s="20">
        <v>39.0</v>
      </c>
      <c r="D2187" s="20" t="s">
        <v>602</v>
      </c>
      <c r="E2187" s="20" t="s">
        <v>643</v>
      </c>
      <c r="F2187" s="20" t="s">
        <v>455</v>
      </c>
    </row>
    <row r="2188">
      <c r="A2188" s="26">
        <v>44842.485319722226</v>
      </c>
      <c r="B2188" s="20" t="s">
        <v>345</v>
      </c>
      <c r="C2188" s="20">
        <v>436.0</v>
      </c>
      <c r="D2188" s="20" t="s">
        <v>40</v>
      </c>
      <c r="E2188" s="20" t="s">
        <v>96</v>
      </c>
      <c r="F2188" s="20" t="s">
        <v>455</v>
      </c>
    </row>
    <row r="2189">
      <c r="A2189" s="26">
        <v>44842.485535381944</v>
      </c>
      <c r="B2189" s="20" t="s">
        <v>345</v>
      </c>
      <c r="C2189" s="20">
        <v>452.0</v>
      </c>
      <c r="D2189" s="20" t="s">
        <v>40</v>
      </c>
      <c r="E2189" s="20" t="s">
        <v>589</v>
      </c>
      <c r="F2189" s="20" t="s">
        <v>455</v>
      </c>
    </row>
    <row r="2190">
      <c r="A2190" s="26">
        <v>44842.48664004629</v>
      </c>
      <c r="B2190" s="20" t="s">
        <v>345</v>
      </c>
      <c r="C2190" s="20">
        <v>59.0</v>
      </c>
      <c r="D2190" s="20" t="s">
        <v>76</v>
      </c>
      <c r="E2190" s="20" t="s">
        <v>96</v>
      </c>
      <c r="F2190" s="20" t="s">
        <v>455</v>
      </c>
    </row>
    <row r="2191">
      <c r="A2191" s="26">
        <v>44842.48692542824</v>
      </c>
      <c r="B2191" s="20" t="s">
        <v>345</v>
      </c>
      <c r="C2191" s="20">
        <v>260.0</v>
      </c>
      <c r="D2191" s="20" t="s">
        <v>585</v>
      </c>
      <c r="E2191" s="20" t="s">
        <v>96</v>
      </c>
      <c r="F2191" s="20" t="s">
        <v>455</v>
      </c>
    </row>
    <row r="2192">
      <c r="A2192" s="26">
        <v>44842.48715158565</v>
      </c>
      <c r="B2192" s="20" t="s">
        <v>345</v>
      </c>
      <c r="C2192" s="20">
        <v>158.0</v>
      </c>
      <c r="D2192" s="20" t="s">
        <v>585</v>
      </c>
      <c r="E2192" s="20" t="s">
        <v>589</v>
      </c>
      <c r="F2192" s="20" t="s">
        <v>455</v>
      </c>
    </row>
    <row r="2193">
      <c r="A2193" s="26">
        <v>44842.48736532408</v>
      </c>
      <c r="B2193" s="20" t="s">
        <v>345</v>
      </c>
      <c r="C2193" s="20">
        <v>77.0</v>
      </c>
      <c r="D2193" s="20" t="s">
        <v>76</v>
      </c>
      <c r="E2193" s="20" t="s">
        <v>589</v>
      </c>
      <c r="F2193" s="20" t="s">
        <v>455</v>
      </c>
    </row>
    <row r="2194">
      <c r="A2194" s="26">
        <v>44842.66991700231</v>
      </c>
      <c r="B2194" s="20" t="s">
        <v>345</v>
      </c>
      <c r="C2194" s="20">
        <v>362.0</v>
      </c>
      <c r="D2194" s="20" t="s">
        <v>40</v>
      </c>
      <c r="E2194" s="20" t="s">
        <v>75</v>
      </c>
      <c r="F2194" s="20" t="s">
        <v>455</v>
      </c>
    </row>
    <row r="2195">
      <c r="A2195" s="26">
        <v>44842.67035305555</v>
      </c>
      <c r="B2195" s="20" t="s">
        <v>345</v>
      </c>
      <c r="C2195" s="20">
        <v>617.0</v>
      </c>
      <c r="D2195" s="20" t="s">
        <v>40</v>
      </c>
      <c r="E2195" s="20" t="s">
        <v>75</v>
      </c>
      <c r="F2195" s="20" t="s">
        <v>455</v>
      </c>
    </row>
    <row r="2196">
      <c r="A2196" s="26">
        <v>44842.670909837965</v>
      </c>
      <c r="B2196" s="20" t="s">
        <v>345</v>
      </c>
      <c r="C2196" s="20">
        <v>527.0</v>
      </c>
      <c r="D2196" s="20" t="s">
        <v>40</v>
      </c>
      <c r="E2196" s="20" t="s">
        <v>75</v>
      </c>
      <c r="F2196" s="20" t="s">
        <v>455</v>
      </c>
    </row>
    <row r="2197">
      <c r="A2197" s="26">
        <v>44842.67113634259</v>
      </c>
      <c r="B2197" s="20" t="s">
        <v>345</v>
      </c>
      <c r="C2197" s="20">
        <v>143.0</v>
      </c>
      <c r="D2197" s="20" t="s">
        <v>76</v>
      </c>
      <c r="E2197" s="20" t="s">
        <v>75</v>
      </c>
      <c r="F2197" s="20" t="s">
        <v>455</v>
      </c>
    </row>
    <row r="2198">
      <c r="A2198" s="26">
        <v>44842.67141236112</v>
      </c>
      <c r="B2198" s="20" t="s">
        <v>345</v>
      </c>
      <c r="C2198" s="20">
        <v>119.0</v>
      </c>
      <c r="D2198" s="20" t="s">
        <v>534</v>
      </c>
      <c r="E2198" s="20" t="s">
        <v>75</v>
      </c>
      <c r="F2198" s="20" t="s">
        <v>455</v>
      </c>
    </row>
    <row r="2199">
      <c r="A2199" s="26">
        <v>44842.671643622685</v>
      </c>
      <c r="B2199" s="20" t="s">
        <v>345</v>
      </c>
      <c r="C2199" s="20">
        <v>136.0</v>
      </c>
      <c r="D2199" s="20" t="s">
        <v>76</v>
      </c>
      <c r="E2199" s="20" t="s">
        <v>75</v>
      </c>
      <c r="F2199" s="20" t="s">
        <v>455</v>
      </c>
    </row>
    <row r="2200">
      <c r="A2200" s="26">
        <v>44842.671886435186</v>
      </c>
      <c r="B2200" s="20" t="s">
        <v>345</v>
      </c>
      <c r="C2200" s="20">
        <v>34.0</v>
      </c>
      <c r="D2200" s="20" t="s">
        <v>76</v>
      </c>
      <c r="E2200" s="20" t="s">
        <v>75</v>
      </c>
      <c r="F2200" s="20" t="s">
        <v>455</v>
      </c>
    </row>
    <row r="2201">
      <c r="A2201" s="26">
        <v>44842.67225135417</v>
      </c>
      <c r="B2201" s="20" t="s">
        <v>345</v>
      </c>
      <c r="C2201" s="20">
        <v>332.0</v>
      </c>
      <c r="D2201" s="20" t="s">
        <v>588</v>
      </c>
      <c r="E2201" s="20" t="s">
        <v>75</v>
      </c>
      <c r="F2201" s="20" t="s">
        <v>455</v>
      </c>
    </row>
    <row r="2202">
      <c r="A2202" s="26">
        <v>44842.67242740741</v>
      </c>
      <c r="B2202" s="20" t="s">
        <v>345</v>
      </c>
      <c r="C2202" s="20">
        <v>599.0</v>
      </c>
      <c r="D2202" s="20" t="s">
        <v>282</v>
      </c>
      <c r="E2202" s="20" t="s">
        <v>75</v>
      </c>
      <c r="F2202" s="20" t="s">
        <v>455</v>
      </c>
    </row>
    <row r="2203">
      <c r="A2203" s="26">
        <v>44842.67260480324</v>
      </c>
      <c r="B2203" s="20" t="s">
        <v>345</v>
      </c>
      <c r="C2203" s="20">
        <v>102.0</v>
      </c>
      <c r="D2203" s="20" t="s">
        <v>40</v>
      </c>
      <c r="E2203" s="20" t="s">
        <v>75</v>
      </c>
      <c r="F2203" s="20" t="s">
        <v>455</v>
      </c>
    </row>
    <row r="2204">
      <c r="A2204" s="26">
        <v>44842.672853738426</v>
      </c>
      <c r="B2204" s="20" t="s">
        <v>345</v>
      </c>
      <c r="C2204" s="20">
        <v>227.0</v>
      </c>
      <c r="D2204" s="20" t="s">
        <v>593</v>
      </c>
      <c r="E2204" s="20" t="s">
        <v>75</v>
      </c>
      <c r="F2204" s="20" t="s">
        <v>455</v>
      </c>
    </row>
    <row r="2205">
      <c r="A2205" s="26">
        <v>44842.67360902778</v>
      </c>
      <c r="B2205" s="20" t="s">
        <v>345</v>
      </c>
      <c r="C2205" s="20">
        <v>160.0</v>
      </c>
      <c r="D2205" s="20" t="s">
        <v>588</v>
      </c>
      <c r="E2205" s="20" t="s">
        <v>75</v>
      </c>
      <c r="F2205" s="20" t="s">
        <v>455</v>
      </c>
    </row>
    <row r="2206">
      <c r="A2206" s="26">
        <v>44842.673859456016</v>
      </c>
      <c r="B2206" s="20" t="s">
        <v>345</v>
      </c>
      <c r="C2206" s="20">
        <v>324.0</v>
      </c>
      <c r="D2206" s="20" t="s">
        <v>282</v>
      </c>
      <c r="E2206" s="20" t="s">
        <v>75</v>
      </c>
      <c r="F2206" s="20" t="s">
        <v>455</v>
      </c>
    </row>
    <row r="2207">
      <c r="A2207" s="26">
        <v>44842.67405780093</v>
      </c>
      <c r="B2207" s="20" t="s">
        <v>345</v>
      </c>
      <c r="C2207" s="20">
        <v>433.0</v>
      </c>
      <c r="D2207" s="20" t="s">
        <v>58</v>
      </c>
      <c r="E2207" s="20" t="s">
        <v>75</v>
      </c>
      <c r="F2207" s="20" t="s">
        <v>455</v>
      </c>
    </row>
    <row r="2208">
      <c r="A2208" s="26">
        <v>44842.674275682875</v>
      </c>
      <c r="B2208" s="20" t="s">
        <v>345</v>
      </c>
      <c r="C2208" s="20">
        <v>739.0</v>
      </c>
      <c r="D2208" s="20" t="s">
        <v>282</v>
      </c>
      <c r="E2208" s="20" t="s">
        <v>75</v>
      </c>
      <c r="F2208" s="20" t="s">
        <v>455</v>
      </c>
    </row>
    <row r="2209">
      <c r="A2209" s="26">
        <v>44842.676532094905</v>
      </c>
      <c r="B2209" s="20" t="s">
        <v>345</v>
      </c>
      <c r="C2209" s="20">
        <v>22.0</v>
      </c>
      <c r="D2209" s="20" t="s">
        <v>593</v>
      </c>
      <c r="E2209" s="20" t="s">
        <v>75</v>
      </c>
      <c r="F2209" s="20" t="s">
        <v>455</v>
      </c>
    </row>
    <row r="2210">
      <c r="A2210" s="26">
        <v>44842.67680756944</v>
      </c>
      <c r="B2210" s="20" t="s">
        <v>345</v>
      </c>
      <c r="C2210" s="20">
        <v>58.0</v>
      </c>
      <c r="D2210" s="20" t="s">
        <v>58</v>
      </c>
      <c r="E2210" s="20" t="s">
        <v>75</v>
      </c>
      <c r="F2210" s="20" t="s">
        <v>455</v>
      </c>
    </row>
    <row r="2211">
      <c r="A2211" s="26">
        <v>44842.67707539352</v>
      </c>
      <c r="B2211" s="20" t="s">
        <v>345</v>
      </c>
      <c r="C2211" s="20">
        <v>-684.0</v>
      </c>
      <c r="D2211" s="20" t="s">
        <v>282</v>
      </c>
      <c r="E2211" s="20" t="s">
        <v>75</v>
      </c>
      <c r="F2211" s="20" t="s">
        <v>455</v>
      </c>
    </row>
    <row r="2212">
      <c r="A2212" s="26">
        <v>44842.67729082176</v>
      </c>
      <c r="B2212" s="20" t="s">
        <v>345</v>
      </c>
      <c r="C2212" s="20">
        <v>-159.0</v>
      </c>
      <c r="D2212" s="20" t="s">
        <v>40</v>
      </c>
      <c r="E2212" s="20" t="s">
        <v>75</v>
      </c>
      <c r="F2212" s="20" t="s">
        <v>455</v>
      </c>
    </row>
    <row r="2213">
      <c r="A2213" s="26">
        <v>44842.67765724537</v>
      </c>
      <c r="B2213" s="20" t="s">
        <v>345</v>
      </c>
      <c r="C2213" s="20">
        <v>-101.0</v>
      </c>
      <c r="D2213" s="20" t="s">
        <v>76</v>
      </c>
      <c r="E2213" s="20" t="s">
        <v>75</v>
      </c>
      <c r="F2213" s="20" t="s">
        <v>455</v>
      </c>
    </row>
    <row r="2214">
      <c r="A2214" s="26">
        <v>44842.677982905094</v>
      </c>
      <c r="B2214" s="20" t="s">
        <v>345</v>
      </c>
      <c r="C2214" s="20">
        <v>-245.0</v>
      </c>
      <c r="D2214" s="20" t="s">
        <v>588</v>
      </c>
      <c r="E2214" s="20" t="s">
        <v>75</v>
      </c>
      <c r="F2214" s="20" t="s">
        <v>455</v>
      </c>
    </row>
    <row r="2215">
      <c r="A2215" s="26">
        <v>44842.67819387732</v>
      </c>
      <c r="B2215" s="20" t="s">
        <v>345</v>
      </c>
      <c r="C2215" s="20">
        <v>-66.0</v>
      </c>
      <c r="D2215" s="20" t="s">
        <v>534</v>
      </c>
      <c r="E2215" s="20" t="s">
        <v>75</v>
      </c>
      <c r="F2215" s="20" t="s">
        <v>455</v>
      </c>
    </row>
    <row r="2216">
      <c r="A2216" s="26">
        <v>44842.67856342593</v>
      </c>
      <c r="B2216" s="20" t="s">
        <v>345</v>
      </c>
      <c r="C2216" s="20">
        <v>-130.0</v>
      </c>
      <c r="D2216" s="20" t="s">
        <v>58</v>
      </c>
      <c r="E2216" s="20" t="s">
        <v>75</v>
      </c>
      <c r="F2216" s="20" t="s">
        <v>455</v>
      </c>
    </row>
    <row r="2217">
      <c r="A2217" s="26">
        <v>44842.67878354166</v>
      </c>
      <c r="B2217" s="20" t="s">
        <v>345</v>
      </c>
      <c r="C2217" s="20">
        <v>-214.0</v>
      </c>
      <c r="D2217" s="20" t="s">
        <v>40</v>
      </c>
      <c r="E2217" s="20" t="s">
        <v>75</v>
      </c>
      <c r="F2217" s="20" t="s">
        <v>455</v>
      </c>
    </row>
    <row r="2218">
      <c r="A2218" s="26">
        <v>44843.530675891205</v>
      </c>
      <c r="B2218" s="20" t="s">
        <v>193</v>
      </c>
      <c r="C2218" s="20">
        <v>230.0</v>
      </c>
      <c r="D2218" s="20" t="s">
        <v>40</v>
      </c>
      <c r="E2218" s="20" t="s">
        <v>101</v>
      </c>
      <c r="F2218" s="20" t="s">
        <v>516</v>
      </c>
    </row>
    <row r="2219">
      <c r="A2219" s="26">
        <v>44843.61890574074</v>
      </c>
      <c r="B2219" s="20" t="s">
        <v>345</v>
      </c>
      <c r="C2219" s="20">
        <v>565.0</v>
      </c>
      <c r="D2219" s="20" t="s">
        <v>40</v>
      </c>
      <c r="E2219" s="20" t="s">
        <v>101</v>
      </c>
      <c r="F2219" s="20" t="s">
        <v>455</v>
      </c>
    </row>
    <row r="2220">
      <c r="A2220" s="26">
        <v>44843.61919547454</v>
      </c>
      <c r="B2220" s="20" t="s">
        <v>345</v>
      </c>
      <c r="C2220" s="20">
        <v>144.0</v>
      </c>
      <c r="D2220" s="20" t="s">
        <v>76</v>
      </c>
      <c r="E2220" s="20" t="s">
        <v>101</v>
      </c>
      <c r="F2220" s="20" t="s">
        <v>455</v>
      </c>
    </row>
    <row r="2221">
      <c r="A2221" s="26">
        <v>44843.61953722222</v>
      </c>
      <c r="B2221" s="20" t="s">
        <v>345</v>
      </c>
      <c r="C2221" s="20">
        <v>210.0</v>
      </c>
      <c r="D2221" s="20" t="s">
        <v>40</v>
      </c>
      <c r="E2221" s="20" t="s">
        <v>101</v>
      </c>
      <c r="F2221" s="20" t="s">
        <v>455</v>
      </c>
    </row>
    <row r="2222">
      <c r="A2222" s="26">
        <v>44843.61989607639</v>
      </c>
      <c r="B2222" s="20" t="s">
        <v>345</v>
      </c>
      <c r="C2222" s="20">
        <v>237.0</v>
      </c>
      <c r="D2222" s="20" t="s">
        <v>40</v>
      </c>
      <c r="E2222" s="20" t="s">
        <v>101</v>
      </c>
      <c r="F2222" s="20" t="s">
        <v>455</v>
      </c>
    </row>
    <row r="2223">
      <c r="A2223" s="26">
        <v>44843.620179722224</v>
      </c>
      <c r="B2223" s="20" t="s">
        <v>345</v>
      </c>
      <c r="C2223" s="20">
        <v>153.0</v>
      </c>
      <c r="D2223" s="20" t="s">
        <v>585</v>
      </c>
      <c r="E2223" s="20" t="s">
        <v>644</v>
      </c>
      <c r="F2223" s="20" t="s">
        <v>455</v>
      </c>
    </row>
    <row r="2224">
      <c r="A2224" s="26">
        <v>44843.620757303244</v>
      </c>
      <c r="B2224" s="20" t="s">
        <v>345</v>
      </c>
      <c r="C2224" s="20">
        <v>241.0</v>
      </c>
      <c r="D2224" s="20" t="s">
        <v>585</v>
      </c>
      <c r="E2224" s="20" t="s">
        <v>50</v>
      </c>
      <c r="F2224" s="20" t="s">
        <v>455</v>
      </c>
    </row>
    <row r="2225">
      <c r="A2225" s="26">
        <v>44843.62117921296</v>
      </c>
      <c r="B2225" s="20" t="s">
        <v>345</v>
      </c>
      <c r="C2225" s="20">
        <v>412.0</v>
      </c>
      <c r="D2225" s="20" t="s">
        <v>587</v>
      </c>
      <c r="E2225" s="20" t="s">
        <v>101</v>
      </c>
      <c r="F2225" s="20" t="s">
        <v>455</v>
      </c>
    </row>
    <row r="2226">
      <c r="A2226" s="26">
        <v>44843.62140392361</v>
      </c>
      <c r="B2226" s="20" t="s">
        <v>345</v>
      </c>
      <c r="C2226" s="20">
        <v>222.0</v>
      </c>
      <c r="D2226" s="20" t="s">
        <v>40</v>
      </c>
      <c r="E2226" s="20" t="s">
        <v>101</v>
      </c>
      <c r="F2226" s="20" t="s">
        <v>455</v>
      </c>
    </row>
    <row r="2227">
      <c r="A2227" s="26">
        <v>44848.66986260416</v>
      </c>
      <c r="B2227" s="20" t="s">
        <v>345</v>
      </c>
      <c r="C2227" s="20">
        <v>241.0</v>
      </c>
      <c r="D2227" s="20" t="s">
        <v>76</v>
      </c>
      <c r="E2227" s="20" t="s">
        <v>171</v>
      </c>
      <c r="F2227" s="20" t="s">
        <v>645</v>
      </c>
    </row>
    <row r="2228">
      <c r="A2228" s="26">
        <v>44848.670316620366</v>
      </c>
      <c r="B2228" s="20" t="s">
        <v>345</v>
      </c>
      <c r="C2228" s="20">
        <v>412.0</v>
      </c>
      <c r="D2228" s="20" t="s">
        <v>585</v>
      </c>
      <c r="E2228" s="20" t="s">
        <v>96</v>
      </c>
      <c r="F2228" s="20" t="s">
        <v>645</v>
      </c>
    </row>
    <row r="2229">
      <c r="A2229" s="26">
        <v>44848.670660821765</v>
      </c>
      <c r="B2229" s="20" t="s">
        <v>345</v>
      </c>
      <c r="C2229" s="20">
        <v>1520.0</v>
      </c>
      <c r="D2229" s="20" t="s">
        <v>40</v>
      </c>
      <c r="E2229" s="20" t="s">
        <v>171</v>
      </c>
      <c r="F2229" s="20" t="s">
        <v>645</v>
      </c>
    </row>
    <row r="2230">
      <c r="A2230" s="26">
        <v>44848.67097599537</v>
      </c>
      <c r="B2230" s="20" t="s">
        <v>345</v>
      </c>
      <c r="C2230" s="20">
        <v>269.0</v>
      </c>
      <c r="D2230" s="20" t="s">
        <v>40</v>
      </c>
      <c r="E2230" s="20" t="s">
        <v>171</v>
      </c>
      <c r="F2230" s="20" t="s">
        <v>645</v>
      </c>
    </row>
    <row r="2231">
      <c r="A2231" s="26">
        <v>44848.671321747686</v>
      </c>
      <c r="B2231" s="20" t="s">
        <v>345</v>
      </c>
      <c r="C2231" s="20">
        <v>520.0</v>
      </c>
      <c r="D2231" s="20" t="s">
        <v>40</v>
      </c>
      <c r="E2231" s="20" t="s">
        <v>96</v>
      </c>
      <c r="F2231" s="20" t="s">
        <v>645</v>
      </c>
    </row>
    <row r="2232">
      <c r="A2232" s="26">
        <v>44848.67164375</v>
      </c>
      <c r="B2232" s="20" t="s">
        <v>345</v>
      </c>
      <c r="C2232" s="20">
        <v>100.0</v>
      </c>
      <c r="D2232" s="20" t="s">
        <v>585</v>
      </c>
      <c r="E2232" s="20" t="s">
        <v>96</v>
      </c>
      <c r="F2232" s="20" t="s">
        <v>645</v>
      </c>
    </row>
    <row r="2233">
      <c r="A2233" s="26">
        <v>44848.671974259254</v>
      </c>
      <c r="B2233" s="20" t="s">
        <v>345</v>
      </c>
      <c r="C2233" s="20">
        <v>489.0</v>
      </c>
      <c r="D2233" s="20" t="s">
        <v>40</v>
      </c>
      <c r="E2233" s="20" t="s">
        <v>589</v>
      </c>
      <c r="F2233" s="20" t="s">
        <v>645</v>
      </c>
    </row>
    <row r="2234">
      <c r="A2234" s="26">
        <v>44848.67227313657</v>
      </c>
      <c r="B2234" s="20" t="s">
        <v>345</v>
      </c>
      <c r="C2234" s="20">
        <v>114.0</v>
      </c>
      <c r="D2234" s="20" t="s">
        <v>585</v>
      </c>
      <c r="E2234" s="20" t="s">
        <v>589</v>
      </c>
      <c r="F2234" s="20" t="s">
        <v>645</v>
      </c>
    </row>
    <row r="2235">
      <c r="A2235" s="26">
        <v>44848.67253460648</v>
      </c>
      <c r="B2235" s="20" t="s">
        <v>345</v>
      </c>
      <c r="C2235" s="20">
        <v>392.0</v>
      </c>
      <c r="D2235" s="20" t="s">
        <v>585</v>
      </c>
      <c r="E2235" s="20" t="s">
        <v>589</v>
      </c>
      <c r="F2235" s="20" t="s">
        <v>645</v>
      </c>
    </row>
    <row r="2236">
      <c r="A2236" s="26">
        <v>44848.679477592596</v>
      </c>
      <c r="B2236" s="20" t="s">
        <v>345</v>
      </c>
      <c r="C2236" s="20">
        <v>659.0</v>
      </c>
      <c r="D2236" s="20" t="s">
        <v>586</v>
      </c>
      <c r="E2236" s="20" t="s">
        <v>171</v>
      </c>
      <c r="F2236" s="20" t="s">
        <v>645</v>
      </c>
    </row>
    <row r="2237">
      <c r="A2237" s="26">
        <v>44848.703871238424</v>
      </c>
      <c r="B2237" s="20" t="s">
        <v>576</v>
      </c>
      <c r="C2237" s="20">
        <v>108.0</v>
      </c>
      <c r="D2237" s="20" t="s">
        <v>587</v>
      </c>
      <c r="E2237" s="20" t="s">
        <v>234</v>
      </c>
      <c r="F2237" s="20" t="s">
        <v>455</v>
      </c>
    </row>
    <row r="2238">
      <c r="A2238" s="26">
        <v>44852.58928748843</v>
      </c>
      <c r="B2238" s="20" t="s">
        <v>345</v>
      </c>
      <c r="C2238" s="20">
        <v>136.0</v>
      </c>
      <c r="D2238" s="20" t="s">
        <v>40</v>
      </c>
      <c r="E2238" s="20" t="s">
        <v>101</v>
      </c>
      <c r="F2238" s="20" t="s">
        <v>645</v>
      </c>
    </row>
    <row r="2239">
      <c r="A2239" s="26">
        <v>44852.589527442135</v>
      </c>
      <c r="B2239" s="20" t="s">
        <v>345</v>
      </c>
      <c r="C2239" s="20">
        <v>65.0</v>
      </c>
      <c r="D2239" s="20" t="s">
        <v>585</v>
      </c>
      <c r="E2239" s="20" t="s">
        <v>65</v>
      </c>
      <c r="F2239" s="20" t="s">
        <v>645</v>
      </c>
    </row>
    <row r="2240">
      <c r="A2240" s="26">
        <v>44852.58972712963</v>
      </c>
      <c r="B2240" s="20" t="s">
        <v>345</v>
      </c>
      <c r="C2240" s="20">
        <v>43.0</v>
      </c>
      <c r="D2240" s="20" t="s">
        <v>40</v>
      </c>
      <c r="E2240" s="20" t="s">
        <v>65</v>
      </c>
      <c r="F2240" s="20" t="s">
        <v>645</v>
      </c>
    </row>
    <row r="2241">
      <c r="A2241" s="26">
        <v>44852.58998532407</v>
      </c>
      <c r="B2241" s="20" t="s">
        <v>345</v>
      </c>
      <c r="C2241" s="20">
        <v>98.0</v>
      </c>
      <c r="D2241" s="20" t="s">
        <v>40</v>
      </c>
      <c r="E2241" s="20" t="s">
        <v>65</v>
      </c>
      <c r="F2241" s="20" t="s">
        <v>645</v>
      </c>
    </row>
    <row r="2242">
      <c r="A2242" s="26">
        <v>44852.5901921412</v>
      </c>
      <c r="B2242" s="20" t="s">
        <v>345</v>
      </c>
      <c r="C2242" s="20">
        <v>16.0</v>
      </c>
      <c r="D2242" s="20" t="s">
        <v>40</v>
      </c>
      <c r="E2242" s="20" t="s">
        <v>65</v>
      </c>
      <c r="F2242" s="20" t="s">
        <v>645</v>
      </c>
    </row>
    <row r="2243">
      <c r="A2243" s="26">
        <v>44852.590400138884</v>
      </c>
      <c r="B2243" s="20" t="s">
        <v>345</v>
      </c>
      <c r="C2243" s="20">
        <v>82.0</v>
      </c>
      <c r="D2243" s="20" t="s">
        <v>40</v>
      </c>
      <c r="E2243" s="20" t="s">
        <v>65</v>
      </c>
      <c r="F2243" s="20" t="s">
        <v>645</v>
      </c>
    </row>
    <row r="2244">
      <c r="A2244" s="26">
        <v>44852.60700498843</v>
      </c>
      <c r="B2244" s="20" t="s">
        <v>345</v>
      </c>
      <c r="C2244" s="20">
        <v>279.0</v>
      </c>
      <c r="D2244" s="20" t="s">
        <v>646</v>
      </c>
      <c r="E2244" s="20" t="s">
        <v>101</v>
      </c>
      <c r="F2244" s="20" t="s">
        <v>645</v>
      </c>
    </row>
    <row r="2245">
      <c r="A2245" s="26">
        <v>44852.60724020834</v>
      </c>
      <c r="B2245" s="20" t="s">
        <v>345</v>
      </c>
      <c r="C2245" s="20">
        <v>656.0</v>
      </c>
      <c r="D2245" s="20" t="s">
        <v>586</v>
      </c>
      <c r="E2245" s="20" t="s">
        <v>101</v>
      </c>
      <c r="F2245" s="20" t="s">
        <v>645</v>
      </c>
    </row>
    <row r="2246">
      <c r="A2246" s="26">
        <v>44852.607507395835</v>
      </c>
      <c r="B2246" s="20" t="s">
        <v>345</v>
      </c>
      <c r="C2246" s="20">
        <v>382.0</v>
      </c>
      <c r="D2246" s="20" t="s">
        <v>40</v>
      </c>
      <c r="E2246" s="20" t="s">
        <v>101</v>
      </c>
      <c r="F2246" s="20" t="s">
        <v>645</v>
      </c>
    </row>
    <row r="2247">
      <c r="A2247" s="26">
        <v>44852.60786289352</v>
      </c>
      <c r="B2247" s="20" t="s">
        <v>345</v>
      </c>
      <c r="C2247" s="20">
        <v>410.0</v>
      </c>
      <c r="D2247" s="20" t="s">
        <v>40</v>
      </c>
      <c r="E2247" s="20" t="s">
        <v>101</v>
      </c>
      <c r="F2247" s="20" t="s">
        <v>645</v>
      </c>
    </row>
    <row r="2248">
      <c r="A2248" s="26">
        <v>44852.608079791666</v>
      </c>
      <c r="B2248" s="20" t="s">
        <v>345</v>
      </c>
      <c r="C2248" s="20">
        <v>190.0</v>
      </c>
      <c r="D2248" s="20" t="s">
        <v>40</v>
      </c>
      <c r="E2248" s="20" t="s">
        <v>101</v>
      </c>
      <c r="F2248" s="20" t="s">
        <v>645</v>
      </c>
    </row>
    <row r="2249">
      <c r="A2249" s="26">
        <v>44852.608293136575</v>
      </c>
      <c r="B2249" s="20" t="s">
        <v>345</v>
      </c>
      <c r="C2249" s="20">
        <v>131.0</v>
      </c>
      <c r="D2249" s="20" t="s">
        <v>585</v>
      </c>
      <c r="E2249" s="20" t="s">
        <v>101</v>
      </c>
      <c r="F2249" s="20" t="s">
        <v>645</v>
      </c>
    </row>
    <row r="2250">
      <c r="A2250" s="26">
        <v>44852.60858585648</v>
      </c>
      <c r="B2250" s="20" t="s">
        <v>345</v>
      </c>
      <c r="C2250" s="20">
        <v>183.0</v>
      </c>
      <c r="D2250" s="20" t="s">
        <v>76</v>
      </c>
      <c r="E2250" s="20" t="s">
        <v>101</v>
      </c>
      <c r="F2250" s="20" t="s">
        <v>645</v>
      </c>
    </row>
    <row r="2251">
      <c r="A2251" s="26">
        <v>44852.60880983796</v>
      </c>
      <c r="B2251" s="20" t="s">
        <v>345</v>
      </c>
      <c r="C2251" s="20">
        <v>143.0</v>
      </c>
      <c r="D2251" s="20" t="s">
        <v>585</v>
      </c>
      <c r="E2251" s="20" t="s">
        <v>50</v>
      </c>
      <c r="F2251" s="20" t="s">
        <v>645</v>
      </c>
    </row>
    <row r="2252">
      <c r="A2252" s="26">
        <v>44852.60909003472</v>
      </c>
      <c r="B2252" s="20" t="s">
        <v>345</v>
      </c>
      <c r="C2252" s="20">
        <v>154.0</v>
      </c>
      <c r="D2252" s="20" t="s">
        <v>587</v>
      </c>
      <c r="E2252" s="20" t="s">
        <v>101</v>
      </c>
      <c r="F2252" s="20" t="s">
        <v>645</v>
      </c>
    </row>
    <row r="2253">
      <c r="A2253" s="26">
        <v>44852.60926528936</v>
      </c>
      <c r="B2253" s="20" t="s">
        <v>345</v>
      </c>
      <c r="C2253" s="20">
        <v>71.0</v>
      </c>
      <c r="D2253" s="20" t="s">
        <v>585</v>
      </c>
      <c r="E2253" s="20" t="s">
        <v>65</v>
      </c>
      <c r="F2253" s="20" t="s">
        <v>645</v>
      </c>
    </row>
    <row r="2254">
      <c r="A2254" s="26">
        <v>44853.59020402777</v>
      </c>
      <c r="B2254" s="20" t="s">
        <v>345</v>
      </c>
      <c r="C2254" s="20">
        <v>208.0</v>
      </c>
      <c r="D2254" s="20" t="s">
        <v>58</v>
      </c>
      <c r="E2254" s="20" t="s">
        <v>647</v>
      </c>
      <c r="F2254" s="20" t="s">
        <v>455</v>
      </c>
    </row>
    <row r="2255">
      <c r="A2255" s="26">
        <v>44855.5637421412</v>
      </c>
      <c r="B2255" s="20" t="s">
        <v>345</v>
      </c>
      <c r="C2255" s="20">
        <v>240.0</v>
      </c>
      <c r="D2255" s="20" t="s">
        <v>646</v>
      </c>
      <c r="E2255" s="20" t="s">
        <v>648</v>
      </c>
      <c r="F2255" s="20" t="s">
        <v>455</v>
      </c>
    </row>
    <row r="2256">
      <c r="A2256" s="26">
        <v>44855.56434537037</v>
      </c>
      <c r="B2256" s="20" t="s">
        <v>345</v>
      </c>
      <c r="C2256" s="20">
        <v>600.0</v>
      </c>
      <c r="D2256" s="20" t="s">
        <v>646</v>
      </c>
      <c r="E2256" s="20" t="s">
        <v>649</v>
      </c>
      <c r="F2256" s="20" t="s">
        <v>455</v>
      </c>
    </row>
    <row r="2257">
      <c r="A2257" s="26">
        <v>44855.564937627314</v>
      </c>
      <c r="B2257" s="20" t="s">
        <v>345</v>
      </c>
      <c r="C2257" s="20">
        <v>156.0</v>
      </c>
      <c r="D2257" s="20" t="s">
        <v>76</v>
      </c>
      <c r="E2257" s="20" t="s">
        <v>649</v>
      </c>
      <c r="F2257" s="20" t="s">
        <v>455</v>
      </c>
    </row>
    <row r="2258">
      <c r="A2258" s="26">
        <v>44855.5655596875</v>
      </c>
      <c r="B2258" s="20" t="s">
        <v>345</v>
      </c>
      <c r="C2258" s="20">
        <v>89.0</v>
      </c>
      <c r="D2258" s="20" t="s">
        <v>76</v>
      </c>
      <c r="E2258" s="20" t="s">
        <v>649</v>
      </c>
      <c r="F2258" s="20" t="s">
        <v>455</v>
      </c>
    </row>
    <row r="2259">
      <c r="A2259" s="26">
        <v>44855.566267766204</v>
      </c>
      <c r="B2259" s="20" t="s">
        <v>345</v>
      </c>
      <c r="C2259" s="20">
        <v>192.0</v>
      </c>
      <c r="D2259" s="20" t="s">
        <v>646</v>
      </c>
      <c r="E2259" s="20" t="s">
        <v>650</v>
      </c>
      <c r="F2259" s="20" t="s">
        <v>455</v>
      </c>
    </row>
    <row r="2260">
      <c r="A2260" s="26">
        <v>44855.56667078704</v>
      </c>
      <c r="B2260" s="20" t="s">
        <v>345</v>
      </c>
      <c r="C2260" s="20">
        <v>105.0</v>
      </c>
      <c r="D2260" s="20" t="s">
        <v>651</v>
      </c>
      <c r="E2260" s="20" t="s">
        <v>650</v>
      </c>
      <c r="F2260" s="20" t="s">
        <v>455</v>
      </c>
    </row>
    <row r="2261">
      <c r="A2261" s="26">
        <v>44855.56701296296</v>
      </c>
      <c r="B2261" s="20" t="s">
        <v>345</v>
      </c>
      <c r="C2261" s="20">
        <v>36.0</v>
      </c>
      <c r="D2261" s="20" t="s">
        <v>76</v>
      </c>
      <c r="E2261" s="20" t="s">
        <v>652</v>
      </c>
      <c r="F2261" s="20" t="s">
        <v>455</v>
      </c>
    </row>
    <row r="2262">
      <c r="A2262" s="26">
        <v>44855.5678146412</v>
      </c>
      <c r="B2262" s="20" t="s">
        <v>556</v>
      </c>
      <c r="C2262" s="20">
        <v>756.0</v>
      </c>
      <c r="D2262" s="20" t="s">
        <v>653</v>
      </c>
      <c r="E2262" s="20" t="s">
        <v>654</v>
      </c>
      <c r="F2262" s="20" t="s">
        <v>455</v>
      </c>
    </row>
    <row r="2263">
      <c r="A2263" s="26">
        <v>44855.56827474537</v>
      </c>
      <c r="B2263" s="20" t="s">
        <v>556</v>
      </c>
      <c r="C2263" s="20">
        <v>791.0</v>
      </c>
      <c r="D2263" s="20" t="s">
        <v>653</v>
      </c>
      <c r="E2263" s="20" t="s">
        <v>654</v>
      </c>
      <c r="F2263" s="20" t="s">
        <v>455</v>
      </c>
    </row>
    <row r="2264">
      <c r="A2264" s="26">
        <v>44855.56876084491</v>
      </c>
      <c r="B2264" s="20" t="s">
        <v>556</v>
      </c>
      <c r="C2264" s="20">
        <v>1414.0</v>
      </c>
      <c r="D2264" s="20" t="s">
        <v>40</v>
      </c>
      <c r="E2264" s="20" t="s">
        <v>655</v>
      </c>
      <c r="F2264" s="20" t="s">
        <v>455</v>
      </c>
    </row>
    <row r="2265">
      <c r="A2265" s="26">
        <v>44855.569200046295</v>
      </c>
      <c r="B2265" s="20" t="s">
        <v>556</v>
      </c>
      <c r="C2265" s="20">
        <v>804.0</v>
      </c>
      <c r="D2265" s="20" t="s">
        <v>653</v>
      </c>
      <c r="E2265" s="20" t="s">
        <v>655</v>
      </c>
      <c r="F2265" s="20" t="s">
        <v>455</v>
      </c>
    </row>
    <row r="2266">
      <c r="A2266" s="26">
        <v>44855.569638472225</v>
      </c>
      <c r="B2266" s="20" t="s">
        <v>556</v>
      </c>
      <c r="C2266" s="20">
        <v>781.0</v>
      </c>
      <c r="D2266" s="20" t="s">
        <v>653</v>
      </c>
      <c r="E2266" s="20" t="s">
        <v>655</v>
      </c>
      <c r="F2266" s="20" t="s">
        <v>455</v>
      </c>
    </row>
    <row r="2267">
      <c r="A2267" s="26">
        <v>44855.570063692125</v>
      </c>
      <c r="B2267" s="20" t="s">
        <v>556</v>
      </c>
      <c r="C2267" s="20">
        <v>129.0</v>
      </c>
      <c r="D2267" s="20" t="s">
        <v>40</v>
      </c>
      <c r="E2267" s="20" t="s">
        <v>655</v>
      </c>
      <c r="F2267" s="20" t="s">
        <v>455</v>
      </c>
    </row>
    <row r="2268">
      <c r="A2268" s="26">
        <v>44855.57052543982</v>
      </c>
      <c r="B2268" s="20" t="s">
        <v>556</v>
      </c>
      <c r="C2268" s="20">
        <v>1312.0</v>
      </c>
      <c r="D2268" s="20" t="s">
        <v>586</v>
      </c>
      <c r="E2268" s="20" t="s">
        <v>655</v>
      </c>
      <c r="F2268" s="20" t="s">
        <v>455</v>
      </c>
    </row>
    <row r="2269">
      <c r="A2269" s="26">
        <v>44855.67014693287</v>
      </c>
      <c r="B2269" s="20" t="s">
        <v>345</v>
      </c>
      <c r="C2269" s="20">
        <v>1309.0</v>
      </c>
      <c r="D2269" s="20" t="s">
        <v>586</v>
      </c>
      <c r="E2269" s="20" t="s">
        <v>171</v>
      </c>
      <c r="F2269" s="20" t="s">
        <v>455</v>
      </c>
    </row>
    <row r="2270">
      <c r="A2270" s="26">
        <v>44855.67052712963</v>
      </c>
      <c r="B2270" s="20" t="s">
        <v>345</v>
      </c>
      <c r="C2270" s="20">
        <v>1448.0</v>
      </c>
      <c r="D2270" s="20" t="s">
        <v>656</v>
      </c>
      <c r="E2270" s="20" t="s">
        <v>171</v>
      </c>
      <c r="F2270" s="20" t="s">
        <v>545</v>
      </c>
    </row>
    <row r="2271">
      <c r="A2271" s="26">
        <v>44855.67094225694</v>
      </c>
      <c r="B2271" s="20" t="s">
        <v>345</v>
      </c>
      <c r="C2271" s="20">
        <v>954.0</v>
      </c>
      <c r="D2271" s="20" t="s">
        <v>656</v>
      </c>
      <c r="E2271" s="20" t="s">
        <v>171</v>
      </c>
      <c r="F2271" s="20" t="s">
        <v>473</v>
      </c>
    </row>
    <row r="2272">
      <c r="A2272" s="26">
        <v>44855.6712820949</v>
      </c>
      <c r="B2272" s="20" t="s">
        <v>345</v>
      </c>
      <c r="C2272" s="20">
        <v>1498.0</v>
      </c>
      <c r="D2272" s="20" t="s">
        <v>634</v>
      </c>
      <c r="E2272" s="20" t="s">
        <v>171</v>
      </c>
      <c r="F2272" s="20" t="s">
        <v>455</v>
      </c>
    </row>
    <row r="2273">
      <c r="A2273" s="26">
        <v>44855.671754849536</v>
      </c>
      <c r="B2273" s="20" t="s">
        <v>345</v>
      </c>
      <c r="C2273" s="20">
        <v>136.0</v>
      </c>
      <c r="D2273" s="20" t="s">
        <v>76</v>
      </c>
      <c r="E2273" s="20" t="s">
        <v>96</v>
      </c>
      <c r="F2273" s="20" t="s">
        <v>455</v>
      </c>
    </row>
    <row r="2274">
      <c r="A2274" s="26">
        <v>44855.672169224534</v>
      </c>
      <c r="B2274" s="20" t="s">
        <v>345</v>
      </c>
      <c r="C2274" s="20">
        <v>1157.0</v>
      </c>
      <c r="D2274" s="20" t="s">
        <v>656</v>
      </c>
      <c r="E2274" s="20" t="s">
        <v>96</v>
      </c>
      <c r="F2274" s="20" t="s">
        <v>469</v>
      </c>
    </row>
    <row r="2275">
      <c r="A2275" s="26">
        <v>44855.6724883912</v>
      </c>
      <c r="B2275" s="20" t="s">
        <v>345</v>
      </c>
      <c r="C2275" s="20">
        <v>368.0</v>
      </c>
      <c r="D2275" s="20" t="s">
        <v>585</v>
      </c>
      <c r="E2275" s="20" t="s">
        <v>96</v>
      </c>
      <c r="F2275" s="20" t="s">
        <v>455</v>
      </c>
    </row>
    <row r="2276">
      <c r="A2276" s="26">
        <v>44855.672799699074</v>
      </c>
      <c r="B2276" s="20" t="s">
        <v>345</v>
      </c>
      <c r="C2276" s="20">
        <v>354.0</v>
      </c>
      <c r="D2276" s="20" t="s">
        <v>40</v>
      </c>
      <c r="E2276" s="20" t="s">
        <v>96</v>
      </c>
      <c r="F2276" s="20" t="s">
        <v>455</v>
      </c>
    </row>
    <row r="2277">
      <c r="A2277" s="26">
        <v>44855.673330509264</v>
      </c>
      <c r="B2277" s="20" t="s">
        <v>345</v>
      </c>
      <c r="C2277" s="20">
        <v>371.0</v>
      </c>
      <c r="D2277" s="20" t="s">
        <v>585</v>
      </c>
      <c r="E2277" s="20" t="s">
        <v>589</v>
      </c>
      <c r="F2277" s="20" t="s">
        <v>455</v>
      </c>
    </row>
    <row r="2278">
      <c r="A2278" s="26">
        <v>44855.680596516206</v>
      </c>
      <c r="B2278" s="20" t="s">
        <v>345</v>
      </c>
      <c r="C2278" s="20">
        <v>1054.0</v>
      </c>
      <c r="D2278" s="20" t="s">
        <v>656</v>
      </c>
      <c r="E2278" s="20" t="s">
        <v>589</v>
      </c>
      <c r="F2278" s="20" t="s">
        <v>455</v>
      </c>
    </row>
    <row r="2279">
      <c r="A2279" s="26">
        <v>44855.68082179398</v>
      </c>
      <c r="B2279" s="20" t="s">
        <v>345</v>
      </c>
      <c r="C2279" s="20">
        <v>149.0</v>
      </c>
      <c r="D2279" s="20" t="s">
        <v>76</v>
      </c>
      <c r="E2279" s="20" t="s">
        <v>171</v>
      </c>
      <c r="F2279" s="20" t="s">
        <v>455</v>
      </c>
    </row>
    <row r="2280">
      <c r="A2280" s="26">
        <v>44855.701146064814</v>
      </c>
      <c r="B2280" s="20" t="s">
        <v>576</v>
      </c>
      <c r="C2280" s="20">
        <v>138.0</v>
      </c>
      <c r="D2280" s="20" t="s">
        <v>587</v>
      </c>
      <c r="E2280" s="20" t="s">
        <v>234</v>
      </c>
      <c r="F2280" s="20" t="s">
        <v>455</v>
      </c>
    </row>
    <row r="2281">
      <c r="A2281" s="28">
        <v>44855.0</v>
      </c>
      <c r="B2281" s="20" t="s">
        <v>345</v>
      </c>
      <c r="C2281" s="20">
        <v>-789.0</v>
      </c>
      <c r="D2281" s="20" t="s">
        <v>653</v>
      </c>
      <c r="E2281" s="20" t="s">
        <v>654</v>
      </c>
      <c r="F2281" s="20" t="s">
        <v>449</v>
      </c>
    </row>
    <row r="2282">
      <c r="A2282" s="28">
        <v>44855.0</v>
      </c>
      <c r="B2282" s="20" t="s">
        <v>345</v>
      </c>
      <c r="C2282" s="20">
        <v>-795.0</v>
      </c>
      <c r="D2282" s="20" t="s">
        <v>653</v>
      </c>
      <c r="E2282" s="20" t="s">
        <v>654</v>
      </c>
      <c r="F2282" s="20" t="s">
        <v>449</v>
      </c>
    </row>
    <row r="2283">
      <c r="A2283" s="26">
        <v>44856.461432083335</v>
      </c>
      <c r="B2283" s="20" t="s">
        <v>173</v>
      </c>
      <c r="C2283" s="20">
        <v>546.0</v>
      </c>
      <c r="D2283" s="20" t="s">
        <v>585</v>
      </c>
      <c r="E2283" s="20" t="s">
        <v>643</v>
      </c>
      <c r="F2283" s="20" t="s">
        <v>455</v>
      </c>
    </row>
    <row r="2284">
      <c r="A2284" s="26">
        <v>44856.59222280093</v>
      </c>
      <c r="B2284" s="20" t="s">
        <v>300</v>
      </c>
      <c r="C2284" s="20">
        <v>75.0</v>
      </c>
      <c r="D2284" s="20" t="s">
        <v>593</v>
      </c>
      <c r="E2284" s="20" t="s">
        <v>75</v>
      </c>
      <c r="F2284" s="20" t="s">
        <v>657</v>
      </c>
    </row>
    <row r="2285">
      <c r="A2285" s="28">
        <v>44856.0</v>
      </c>
      <c r="B2285" s="20" t="s">
        <v>345</v>
      </c>
      <c r="C2285" s="20">
        <v>151.0</v>
      </c>
      <c r="D2285" s="20" t="s">
        <v>36</v>
      </c>
      <c r="E2285" s="20" t="s">
        <v>75</v>
      </c>
      <c r="F2285" s="20" t="s">
        <v>449</v>
      </c>
    </row>
    <row r="2286">
      <c r="A2286" s="28">
        <v>44856.0</v>
      </c>
      <c r="B2286" s="20" t="s">
        <v>345</v>
      </c>
      <c r="C2286" s="20">
        <v>191.0</v>
      </c>
      <c r="D2286" s="20" t="s">
        <v>175</v>
      </c>
      <c r="E2286" s="20" t="s">
        <v>75</v>
      </c>
      <c r="F2286" s="20" t="s">
        <v>449</v>
      </c>
    </row>
    <row r="2287">
      <c r="A2287" s="28">
        <v>44856.0</v>
      </c>
      <c r="B2287" s="20" t="s">
        <v>345</v>
      </c>
      <c r="C2287" s="20">
        <v>90.0</v>
      </c>
      <c r="D2287" s="20" t="s">
        <v>588</v>
      </c>
      <c r="E2287" s="20" t="s">
        <v>75</v>
      </c>
      <c r="F2287" s="20" t="s">
        <v>449</v>
      </c>
    </row>
    <row r="2288">
      <c r="A2288" s="28">
        <v>44856.0</v>
      </c>
      <c r="B2288" s="20" t="s">
        <v>345</v>
      </c>
      <c r="C2288" s="20">
        <v>143.0</v>
      </c>
      <c r="D2288" s="20" t="s">
        <v>76</v>
      </c>
      <c r="E2288" s="20" t="s">
        <v>75</v>
      </c>
      <c r="F2288" s="20" t="s">
        <v>449</v>
      </c>
    </row>
    <row r="2289">
      <c r="A2289" s="28">
        <v>44856.0</v>
      </c>
      <c r="B2289" s="20" t="s">
        <v>345</v>
      </c>
      <c r="C2289" s="20">
        <v>914.0</v>
      </c>
      <c r="D2289" s="20" t="s">
        <v>656</v>
      </c>
      <c r="E2289" s="20" t="s">
        <v>75</v>
      </c>
      <c r="F2289" s="20" t="s">
        <v>449</v>
      </c>
    </row>
    <row r="2290">
      <c r="A2290" s="28">
        <v>44856.0</v>
      </c>
      <c r="B2290" s="20" t="s">
        <v>345</v>
      </c>
      <c r="C2290" s="20">
        <v>241.0</v>
      </c>
      <c r="D2290" s="20" t="s">
        <v>175</v>
      </c>
      <c r="E2290" s="20" t="s">
        <v>75</v>
      </c>
      <c r="F2290" s="20" t="s">
        <v>449</v>
      </c>
    </row>
    <row r="2291">
      <c r="A2291" s="28">
        <v>44856.0</v>
      </c>
      <c r="B2291" s="20" t="s">
        <v>345</v>
      </c>
      <c r="C2291" s="20">
        <v>1395.0</v>
      </c>
      <c r="D2291" s="20" t="s">
        <v>586</v>
      </c>
      <c r="E2291" s="20" t="s">
        <v>75</v>
      </c>
      <c r="F2291" s="20" t="s">
        <v>449</v>
      </c>
    </row>
    <row r="2292">
      <c r="A2292" s="28">
        <v>44856.0</v>
      </c>
      <c r="B2292" s="20" t="s">
        <v>345</v>
      </c>
      <c r="C2292" s="20">
        <v>1312.0</v>
      </c>
      <c r="D2292" s="20" t="s">
        <v>586</v>
      </c>
      <c r="E2292" s="20" t="s">
        <v>75</v>
      </c>
      <c r="F2292" s="20" t="s">
        <v>449</v>
      </c>
    </row>
    <row r="2293">
      <c r="A2293" s="28">
        <v>44856.0</v>
      </c>
      <c r="B2293" s="20" t="s">
        <v>345</v>
      </c>
      <c r="C2293" s="20">
        <v>614.0</v>
      </c>
      <c r="D2293" s="20" t="s">
        <v>656</v>
      </c>
      <c r="E2293" s="20" t="s">
        <v>75</v>
      </c>
      <c r="F2293" s="20" t="s">
        <v>449</v>
      </c>
    </row>
    <row r="2294">
      <c r="A2294" s="28">
        <v>44856.0</v>
      </c>
      <c r="B2294" s="20" t="s">
        <v>345</v>
      </c>
      <c r="C2294" s="20">
        <v>757.0</v>
      </c>
      <c r="D2294" s="20" t="s">
        <v>40</v>
      </c>
      <c r="E2294" s="20" t="s">
        <v>75</v>
      </c>
      <c r="F2294" s="20" t="s">
        <v>449</v>
      </c>
    </row>
    <row r="2295">
      <c r="A2295" s="28">
        <v>44856.0</v>
      </c>
      <c r="B2295" s="20" t="s">
        <v>345</v>
      </c>
      <c r="C2295" s="20">
        <v>299.0</v>
      </c>
      <c r="D2295" s="20" t="s">
        <v>40</v>
      </c>
      <c r="E2295" s="20" t="s">
        <v>75</v>
      </c>
      <c r="F2295" s="20" t="s">
        <v>449</v>
      </c>
    </row>
    <row r="2296">
      <c r="A2296" s="28">
        <v>44856.0</v>
      </c>
      <c r="B2296" s="20" t="s">
        <v>345</v>
      </c>
      <c r="C2296" s="20">
        <v>781.0</v>
      </c>
      <c r="D2296" s="20" t="s">
        <v>653</v>
      </c>
      <c r="E2296" s="20" t="s">
        <v>75</v>
      </c>
      <c r="F2296" s="20" t="s">
        <v>449</v>
      </c>
    </row>
    <row r="2297">
      <c r="A2297" s="28">
        <v>44856.0</v>
      </c>
      <c r="B2297" s="20" t="s">
        <v>345</v>
      </c>
      <c r="C2297" s="20">
        <v>788.0</v>
      </c>
      <c r="D2297" s="20" t="s">
        <v>653</v>
      </c>
      <c r="E2297" s="20" t="s">
        <v>75</v>
      </c>
      <c r="F2297" s="20" t="s">
        <v>449</v>
      </c>
    </row>
    <row r="2298">
      <c r="A2298" s="28">
        <v>44856.0</v>
      </c>
      <c r="B2298" s="20" t="s">
        <v>345</v>
      </c>
      <c r="C2298" s="20">
        <v>1224.0</v>
      </c>
      <c r="D2298" s="20" t="s">
        <v>586</v>
      </c>
      <c r="E2298" s="20" t="s">
        <v>75</v>
      </c>
      <c r="F2298" s="20" t="s">
        <v>449</v>
      </c>
    </row>
    <row r="2299">
      <c r="A2299" s="28">
        <v>44856.0</v>
      </c>
      <c r="B2299" s="20" t="s">
        <v>345</v>
      </c>
      <c r="C2299" s="20">
        <v>200.0</v>
      </c>
      <c r="D2299" s="20" t="s">
        <v>40</v>
      </c>
      <c r="E2299" s="20" t="s">
        <v>75</v>
      </c>
      <c r="F2299" s="20" t="s">
        <v>449</v>
      </c>
    </row>
    <row r="2300">
      <c r="A2300" s="28">
        <v>44856.0</v>
      </c>
      <c r="B2300" s="20" t="s">
        <v>345</v>
      </c>
      <c r="C2300" s="20">
        <v>870.0</v>
      </c>
      <c r="D2300" s="20" t="s">
        <v>656</v>
      </c>
      <c r="E2300" s="20" t="s">
        <v>75</v>
      </c>
      <c r="F2300" s="20" t="s">
        <v>449</v>
      </c>
    </row>
    <row r="2301">
      <c r="A2301" s="28">
        <v>44856.0</v>
      </c>
      <c r="B2301" s="20" t="s">
        <v>345</v>
      </c>
      <c r="C2301" s="20">
        <v>312.0</v>
      </c>
      <c r="D2301" s="20" t="s">
        <v>40</v>
      </c>
      <c r="E2301" s="20" t="s">
        <v>75</v>
      </c>
      <c r="F2301" s="20" t="s">
        <v>449</v>
      </c>
    </row>
    <row r="2302">
      <c r="A2302" s="28">
        <v>44856.0</v>
      </c>
      <c r="B2302" s="20" t="s">
        <v>345</v>
      </c>
      <c r="C2302" s="20">
        <v>126.0</v>
      </c>
      <c r="D2302" s="20" t="s">
        <v>76</v>
      </c>
      <c r="E2302" s="20" t="s">
        <v>75</v>
      </c>
      <c r="F2302" s="20" t="s">
        <v>449</v>
      </c>
    </row>
    <row r="2303">
      <c r="A2303" s="28">
        <v>44856.0</v>
      </c>
      <c r="B2303" s="20" t="s">
        <v>345</v>
      </c>
      <c r="C2303" s="20">
        <v>-186.0</v>
      </c>
      <c r="D2303" s="20" t="s">
        <v>40</v>
      </c>
      <c r="E2303" s="20" t="s">
        <v>75</v>
      </c>
      <c r="F2303" s="20" t="s">
        <v>449</v>
      </c>
    </row>
    <row r="2304">
      <c r="A2304" s="28">
        <v>44856.0</v>
      </c>
      <c r="B2304" s="20" t="s">
        <v>345</v>
      </c>
      <c r="C2304" s="20">
        <v>-811.0</v>
      </c>
      <c r="D2304" s="20" t="s">
        <v>586</v>
      </c>
      <c r="E2304" s="20" t="s">
        <v>75</v>
      </c>
      <c r="F2304" s="20" t="s">
        <v>449</v>
      </c>
    </row>
    <row r="2305">
      <c r="A2305" s="28">
        <v>44856.0</v>
      </c>
      <c r="B2305" s="20" t="s">
        <v>345</v>
      </c>
      <c r="C2305" s="20">
        <v>-33.0</v>
      </c>
      <c r="D2305" s="20" t="s">
        <v>175</v>
      </c>
      <c r="E2305" s="20" t="s">
        <v>75</v>
      </c>
      <c r="F2305" s="20" t="s">
        <v>449</v>
      </c>
    </row>
    <row r="2306">
      <c r="A2306" s="28">
        <v>44856.0</v>
      </c>
      <c r="B2306" s="20" t="s">
        <v>345</v>
      </c>
      <c r="C2306" s="20">
        <v>-664.0</v>
      </c>
      <c r="D2306" s="20" t="s">
        <v>656</v>
      </c>
      <c r="E2306" s="20" t="s">
        <v>75</v>
      </c>
      <c r="F2306" s="20" t="s">
        <v>449</v>
      </c>
    </row>
    <row r="2307">
      <c r="A2307" s="28">
        <v>44856.0</v>
      </c>
      <c r="B2307" s="20" t="s">
        <v>345</v>
      </c>
      <c r="C2307" s="20">
        <v>-456.0</v>
      </c>
      <c r="D2307" s="20" t="s">
        <v>656</v>
      </c>
      <c r="E2307" s="20" t="s">
        <v>75</v>
      </c>
      <c r="F2307" s="20" t="s">
        <v>449</v>
      </c>
    </row>
    <row r="2308">
      <c r="A2308" s="28">
        <v>44856.0</v>
      </c>
      <c r="B2308" s="20" t="s">
        <v>345</v>
      </c>
      <c r="C2308" s="20">
        <v>-216.0</v>
      </c>
      <c r="D2308" s="20" t="s">
        <v>585</v>
      </c>
      <c r="E2308" s="20" t="s">
        <v>75</v>
      </c>
      <c r="F2308" s="20" t="s">
        <v>449</v>
      </c>
    </row>
    <row r="2309">
      <c r="A2309" s="28">
        <v>44856.0</v>
      </c>
      <c r="B2309" s="20" t="s">
        <v>345</v>
      </c>
      <c r="C2309" s="20">
        <v>-136.0</v>
      </c>
      <c r="D2309" s="20" t="s">
        <v>40</v>
      </c>
      <c r="E2309" s="20" t="s">
        <v>75</v>
      </c>
      <c r="F2309" s="20" t="s">
        <v>449</v>
      </c>
    </row>
    <row r="2310">
      <c r="A2310" s="28">
        <v>44856.0</v>
      </c>
      <c r="B2310" s="20" t="s">
        <v>345</v>
      </c>
      <c r="C2310" s="20">
        <v>-108.0</v>
      </c>
      <c r="D2310" s="20" t="s">
        <v>76</v>
      </c>
      <c r="E2310" s="20" t="s">
        <v>75</v>
      </c>
      <c r="F2310" s="20" t="s">
        <v>449</v>
      </c>
    </row>
    <row r="2311">
      <c r="A2311" s="26">
        <v>44857.65130084491</v>
      </c>
      <c r="B2311" s="20" t="s">
        <v>345</v>
      </c>
      <c r="C2311" s="20">
        <v>170.0</v>
      </c>
      <c r="D2311" s="20" t="s">
        <v>585</v>
      </c>
      <c r="E2311" s="20" t="s">
        <v>50</v>
      </c>
      <c r="F2311" s="20" t="s">
        <v>455</v>
      </c>
    </row>
    <row r="2312">
      <c r="A2312" s="26">
        <v>44857.65287225695</v>
      </c>
      <c r="B2312" s="20" t="s">
        <v>345</v>
      </c>
      <c r="C2312" s="20">
        <v>114.0</v>
      </c>
      <c r="D2312" s="20" t="s">
        <v>586</v>
      </c>
      <c r="E2312" s="20" t="s">
        <v>50</v>
      </c>
      <c r="F2312" s="20" t="s">
        <v>455</v>
      </c>
    </row>
    <row r="2313">
      <c r="A2313" s="26">
        <v>44857.653125717596</v>
      </c>
      <c r="B2313" s="20" t="s">
        <v>345</v>
      </c>
      <c r="C2313" s="20">
        <v>172.0</v>
      </c>
      <c r="D2313" s="20" t="s">
        <v>585</v>
      </c>
      <c r="E2313" s="20" t="s">
        <v>65</v>
      </c>
      <c r="F2313" s="20" t="s">
        <v>455</v>
      </c>
    </row>
    <row r="2314">
      <c r="A2314" s="26">
        <v>44857.653518611114</v>
      </c>
      <c r="B2314" s="20" t="s">
        <v>345</v>
      </c>
      <c r="C2314" s="20">
        <v>619.0</v>
      </c>
      <c r="D2314" s="20" t="s">
        <v>586</v>
      </c>
      <c r="E2314" s="20" t="s">
        <v>65</v>
      </c>
      <c r="F2314" s="20" t="s">
        <v>455</v>
      </c>
    </row>
    <row r="2315">
      <c r="A2315" s="26">
        <v>44857.65401534722</v>
      </c>
      <c r="B2315" s="20" t="s">
        <v>556</v>
      </c>
      <c r="C2315" s="20">
        <v>417.0</v>
      </c>
      <c r="D2315" s="20" t="s">
        <v>656</v>
      </c>
      <c r="E2315" s="20" t="s">
        <v>65</v>
      </c>
      <c r="F2315" s="20" t="s">
        <v>455</v>
      </c>
    </row>
    <row r="2316">
      <c r="A2316" s="26">
        <v>44857.654762673614</v>
      </c>
      <c r="B2316" s="20" t="s">
        <v>556</v>
      </c>
      <c r="C2316" s="20">
        <v>115.0</v>
      </c>
      <c r="D2316" s="20" t="s">
        <v>585</v>
      </c>
      <c r="E2316" s="20" t="s">
        <v>65</v>
      </c>
      <c r="F2316" s="20" t="s">
        <v>455</v>
      </c>
    </row>
    <row r="2317">
      <c r="A2317" s="26">
        <v>44857.65565929398</v>
      </c>
      <c r="B2317" s="20" t="s">
        <v>556</v>
      </c>
      <c r="C2317" s="20">
        <v>92.0</v>
      </c>
      <c r="D2317" s="20" t="s">
        <v>585</v>
      </c>
      <c r="E2317" s="20" t="s">
        <v>65</v>
      </c>
      <c r="F2317" s="20" t="s">
        <v>455</v>
      </c>
    </row>
    <row r="2318">
      <c r="A2318" s="26">
        <v>44857.65618479167</v>
      </c>
      <c r="B2318" s="20" t="s">
        <v>556</v>
      </c>
      <c r="C2318" s="20">
        <v>410.0</v>
      </c>
      <c r="D2318" s="20" t="s">
        <v>585</v>
      </c>
      <c r="E2318" s="20" t="s">
        <v>65</v>
      </c>
      <c r="F2318" s="20" t="s">
        <v>455</v>
      </c>
    </row>
    <row r="2319">
      <c r="A2319" s="26">
        <v>44860.69485341435</v>
      </c>
      <c r="B2319" s="20" t="s">
        <v>345</v>
      </c>
      <c r="C2319" s="20">
        <v>1312.0</v>
      </c>
      <c r="D2319" s="20" t="s">
        <v>586</v>
      </c>
      <c r="E2319" s="20" t="s">
        <v>598</v>
      </c>
      <c r="F2319" s="20" t="s">
        <v>455</v>
      </c>
    </row>
    <row r="2320">
      <c r="A2320" s="26">
        <v>44860.6951046412</v>
      </c>
      <c r="B2320" s="20" t="s">
        <v>345</v>
      </c>
      <c r="C2320" s="20">
        <v>1007.0</v>
      </c>
      <c r="D2320" s="20" t="s">
        <v>656</v>
      </c>
      <c r="E2320" s="20" t="s">
        <v>598</v>
      </c>
      <c r="F2320" s="20" t="s">
        <v>455</v>
      </c>
    </row>
    <row r="2321">
      <c r="A2321" s="26">
        <v>44860.69537004629</v>
      </c>
      <c r="B2321" s="20" t="s">
        <v>345</v>
      </c>
      <c r="C2321" s="20">
        <v>1008.0</v>
      </c>
      <c r="D2321" s="20" t="s">
        <v>656</v>
      </c>
      <c r="E2321" s="20" t="s">
        <v>598</v>
      </c>
      <c r="F2321" s="20" t="s">
        <v>455</v>
      </c>
    </row>
    <row r="2322">
      <c r="A2322" s="26">
        <v>44860.69561559027</v>
      </c>
      <c r="B2322" s="20" t="s">
        <v>345</v>
      </c>
      <c r="C2322" s="20">
        <v>217.0</v>
      </c>
      <c r="D2322" s="20" t="s">
        <v>76</v>
      </c>
      <c r="E2322" s="20" t="s">
        <v>598</v>
      </c>
      <c r="F2322" s="20" t="s">
        <v>455</v>
      </c>
    </row>
    <row r="2323">
      <c r="A2323" s="26">
        <v>44860.69582832176</v>
      </c>
      <c r="B2323" s="20" t="s">
        <v>345</v>
      </c>
      <c r="C2323" s="20">
        <v>212.0</v>
      </c>
      <c r="D2323" s="20" t="s">
        <v>76</v>
      </c>
      <c r="E2323" s="20" t="s">
        <v>598</v>
      </c>
      <c r="F2323" s="20" t="s">
        <v>455</v>
      </c>
    </row>
    <row r="2324">
      <c r="A2324" s="26">
        <v>44860.69610178241</v>
      </c>
      <c r="B2324" s="20" t="s">
        <v>345</v>
      </c>
      <c r="C2324" s="20">
        <v>1069.0</v>
      </c>
      <c r="D2324" s="20" t="s">
        <v>656</v>
      </c>
      <c r="E2324" s="20" t="s">
        <v>598</v>
      </c>
      <c r="F2324" s="20" t="s">
        <v>455</v>
      </c>
    </row>
    <row r="2325">
      <c r="A2325" s="26">
        <v>44861.58749304398</v>
      </c>
      <c r="B2325" s="20" t="s">
        <v>163</v>
      </c>
      <c r="C2325" s="20">
        <v>378.0</v>
      </c>
      <c r="D2325" s="20" t="s">
        <v>601</v>
      </c>
      <c r="E2325" s="20" t="s">
        <v>658</v>
      </c>
      <c r="F2325" s="20" t="s">
        <v>455</v>
      </c>
    </row>
    <row r="2326">
      <c r="A2326" s="26">
        <v>44861.58861535879</v>
      </c>
      <c r="B2326" s="20" t="s">
        <v>163</v>
      </c>
      <c r="C2326" s="20">
        <v>112.0</v>
      </c>
      <c r="D2326" s="20" t="s">
        <v>601</v>
      </c>
      <c r="E2326" s="20" t="s">
        <v>658</v>
      </c>
      <c r="F2326" s="20" t="s">
        <v>455</v>
      </c>
    </row>
    <row r="2327">
      <c r="A2327" s="26">
        <v>44861.612612013894</v>
      </c>
      <c r="B2327" s="20" t="s">
        <v>659</v>
      </c>
      <c r="C2327" s="20">
        <v>81.0</v>
      </c>
      <c r="D2327" s="20" t="s">
        <v>585</v>
      </c>
      <c r="E2327" s="20" t="s">
        <v>660</v>
      </c>
      <c r="F2327" s="20" t="s">
        <v>455</v>
      </c>
    </row>
    <row r="2328">
      <c r="A2328" s="26">
        <v>44862.588746828704</v>
      </c>
      <c r="B2328" s="20" t="s">
        <v>163</v>
      </c>
      <c r="C2328" s="20">
        <v>146.0</v>
      </c>
      <c r="D2328" s="20" t="s">
        <v>76</v>
      </c>
      <c r="E2328" s="20" t="s">
        <v>96</v>
      </c>
      <c r="F2328" s="20" t="s">
        <v>645</v>
      </c>
    </row>
    <row r="2329">
      <c r="A2329" s="26">
        <v>44862.58998858796</v>
      </c>
      <c r="B2329" s="20" t="s">
        <v>163</v>
      </c>
      <c r="C2329" s="20">
        <v>429.0</v>
      </c>
      <c r="D2329" s="20" t="s">
        <v>586</v>
      </c>
      <c r="E2329" s="20" t="s">
        <v>96</v>
      </c>
      <c r="F2329" s="20" t="s">
        <v>645</v>
      </c>
    </row>
    <row r="2330">
      <c r="A2330" s="26">
        <v>44862.59135048611</v>
      </c>
      <c r="B2330" s="20" t="s">
        <v>163</v>
      </c>
      <c r="C2330" s="20">
        <v>468.0</v>
      </c>
      <c r="D2330" s="20" t="s">
        <v>585</v>
      </c>
      <c r="E2330" s="20" t="s">
        <v>96</v>
      </c>
      <c r="F2330" s="20" t="s">
        <v>645</v>
      </c>
    </row>
    <row r="2331">
      <c r="A2331" s="26">
        <v>44862.59211827547</v>
      </c>
      <c r="B2331" s="20" t="s">
        <v>163</v>
      </c>
      <c r="C2331" s="20">
        <v>354.0</v>
      </c>
      <c r="D2331" s="20" t="s">
        <v>40</v>
      </c>
      <c r="E2331" s="20" t="s">
        <v>96</v>
      </c>
      <c r="F2331" s="20" t="s">
        <v>645</v>
      </c>
    </row>
    <row r="2332">
      <c r="A2332" s="26">
        <v>44862.59352847222</v>
      </c>
      <c r="B2332" s="20" t="s">
        <v>163</v>
      </c>
      <c r="C2332" s="20">
        <v>383.0</v>
      </c>
      <c r="D2332" s="20" t="s">
        <v>40</v>
      </c>
      <c r="E2332" s="20" t="s">
        <v>96</v>
      </c>
      <c r="F2332" s="20" t="s">
        <v>645</v>
      </c>
    </row>
    <row r="2333">
      <c r="A2333" s="26">
        <v>44862.59407548611</v>
      </c>
      <c r="B2333" s="20" t="s">
        <v>163</v>
      </c>
      <c r="C2333" s="20">
        <v>231.0</v>
      </c>
      <c r="D2333" s="20" t="s">
        <v>40</v>
      </c>
      <c r="E2333" s="20" t="s">
        <v>96</v>
      </c>
      <c r="F2333" s="20" t="s">
        <v>645</v>
      </c>
    </row>
    <row r="2334">
      <c r="A2334" s="26">
        <v>44862.59494916667</v>
      </c>
      <c r="B2334" s="20" t="s">
        <v>163</v>
      </c>
      <c r="C2334" s="20">
        <v>113.0</v>
      </c>
      <c r="D2334" s="20" t="s">
        <v>76</v>
      </c>
      <c r="E2334" s="20" t="s">
        <v>589</v>
      </c>
      <c r="F2334" s="20" t="s">
        <v>645</v>
      </c>
    </row>
    <row r="2335">
      <c r="A2335" s="26">
        <v>44862.59568761574</v>
      </c>
      <c r="B2335" s="20" t="s">
        <v>163</v>
      </c>
      <c r="C2335" s="20">
        <v>390.0</v>
      </c>
      <c r="D2335" s="20" t="s">
        <v>586</v>
      </c>
      <c r="E2335" s="20" t="s">
        <v>589</v>
      </c>
      <c r="F2335" s="20" t="s">
        <v>645</v>
      </c>
    </row>
    <row r="2336">
      <c r="A2336" s="26">
        <v>44862.59664628472</v>
      </c>
      <c r="B2336" s="20" t="s">
        <v>163</v>
      </c>
      <c r="C2336" s="20">
        <v>448.0</v>
      </c>
      <c r="D2336" s="20" t="s">
        <v>76</v>
      </c>
      <c r="E2336" s="20" t="s">
        <v>589</v>
      </c>
      <c r="F2336" s="20" t="s">
        <v>645</v>
      </c>
    </row>
    <row r="2337">
      <c r="A2337" s="26">
        <v>44862.59726318287</v>
      </c>
      <c r="B2337" s="20" t="s">
        <v>163</v>
      </c>
      <c r="C2337" s="20">
        <v>359.0</v>
      </c>
      <c r="D2337" s="20" t="s">
        <v>40</v>
      </c>
      <c r="E2337" s="20" t="s">
        <v>589</v>
      </c>
      <c r="F2337" s="20" t="s">
        <v>645</v>
      </c>
    </row>
    <row r="2338">
      <c r="A2338" s="26">
        <v>44862.598508842595</v>
      </c>
      <c r="B2338" s="20" t="s">
        <v>163</v>
      </c>
      <c r="C2338" s="20">
        <v>126.0</v>
      </c>
      <c r="D2338" s="20" t="s">
        <v>587</v>
      </c>
      <c r="E2338" s="20" t="s">
        <v>589</v>
      </c>
      <c r="F2338" s="20" t="s">
        <v>645</v>
      </c>
    </row>
    <row r="2339">
      <c r="A2339" s="26">
        <v>44862.59929994213</v>
      </c>
      <c r="B2339" s="20" t="s">
        <v>163</v>
      </c>
      <c r="C2339" s="20">
        <v>352.0</v>
      </c>
      <c r="D2339" s="20" t="s">
        <v>40</v>
      </c>
      <c r="E2339" s="20" t="s">
        <v>589</v>
      </c>
      <c r="F2339" s="20" t="s">
        <v>645</v>
      </c>
    </row>
    <row r="2340">
      <c r="A2340" s="28">
        <v>44863.0</v>
      </c>
      <c r="B2340" s="20" t="s">
        <v>345</v>
      </c>
      <c r="C2340" s="20">
        <v>556.0</v>
      </c>
      <c r="D2340" s="20" t="s">
        <v>40</v>
      </c>
      <c r="E2340" s="20" t="s">
        <v>75</v>
      </c>
      <c r="F2340" s="20" t="s">
        <v>645</v>
      </c>
    </row>
    <row r="2341">
      <c r="A2341" s="28">
        <v>44863.0</v>
      </c>
      <c r="B2341" s="20" t="s">
        <v>345</v>
      </c>
      <c r="C2341" s="20">
        <v>188.0</v>
      </c>
      <c r="D2341" s="20" t="s">
        <v>588</v>
      </c>
      <c r="E2341" s="20" t="s">
        <v>75</v>
      </c>
      <c r="F2341" s="20" t="s">
        <v>645</v>
      </c>
    </row>
    <row r="2342">
      <c r="A2342" s="28">
        <v>44863.0</v>
      </c>
      <c r="B2342" s="20" t="s">
        <v>345</v>
      </c>
      <c r="C2342" s="20">
        <v>115.0</v>
      </c>
      <c r="D2342" s="20" t="s">
        <v>175</v>
      </c>
      <c r="E2342" s="20" t="s">
        <v>75</v>
      </c>
      <c r="F2342" s="20" t="s">
        <v>645</v>
      </c>
    </row>
    <row r="2343">
      <c r="A2343" s="28">
        <v>44863.0</v>
      </c>
      <c r="B2343" s="20" t="s">
        <v>345</v>
      </c>
      <c r="C2343" s="20">
        <v>193.0</v>
      </c>
      <c r="D2343" s="20" t="s">
        <v>40</v>
      </c>
      <c r="E2343" s="20" t="s">
        <v>75</v>
      </c>
      <c r="F2343" s="20" t="s">
        <v>645</v>
      </c>
    </row>
    <row r="2344">
      <c r="A2344" s="28">
        <v>44863.0</v>
      </c>
      <c r="B2344" s="20" t="s">
        <v>345</v>
      </c>
      <c r="C2344" s="20">
        <v>750.0</v>
      </c>
      <c r="D2344" s="20" t="s">
        <v>656</v>
      </c>
      <c r="E2344" s="20" t="s">
        <v>75</v>
      </c>
      <c r="F2344" s="20" t="s">
        <v>645</v>
      </c>
    </row>
    <row r="2345">
      <c r="A2345" s="28">
        <v>44863.0</v>
      </c>
      <c r="B2345" s="20" t="s">
        <v>345</v>
      </c>
      <c r="C2345" s="20">
        <v>1012.0</v>
      </c>
      <c r="D2345" s="20" t="s">
        <v>656</v>
      </c>
      <c r="E2345" s="20" t="s">
        <v>75</v>
      </c>
      <c r="F2345" s="20" t="s">
        <v>645</v>
      </c>
    </row>
    <row r="2346">
      <c r="A2346" s="28">
        <v>44863.0</v>
      </c>
      <c r="B2346" s="20" t="s">
        <v>345</v>
      </c>
      <c r="C2346" s="20">
        <v>1263.0</v>
      </c>
      <c r="D2346" s="20" t="s">
        <v>656</v>
      </c>
      <c r="E2346" s="20" t="s">
        <v>75</v>
      </c>
      <c r="F2346" s="20" t="s">
        <v>645</v>
      </c>
    </row>
    <row r="2347">
      <c r="A2347" s="28">
        <v>44863.0</v>
      </c>
      <c r="B2347" s="20" t="s">
        <v>345</v>
      </c>
      <c r="C2347" s="20">
        <v>1405.0</v>
      </c>
      <c r="D2347" s="20" t="s">
        <v>586</v>
      </c>
      <c r="E2347" s="20" t="s">
        <v>75</v>
      </c>
      <c r="F2347" s="20" t="s">
        <v>645</v>
      </c>
    </row>
    <row r="2348">
      <c r="A2348" s="28">
        <v>44863.0</v>
      </c>
      <c r="B2348" s="20" t="s">
        <v>345</v>
      </c>
      <c r="C2348" s="20">
        <v>537.0</v>
      </c>
      <c r="D2348" s="20" t="s">
        <v>586</v>
      </c>
      <c r="E2348" s="20" t="s">
        <v>75</v>
      </c>
      <c r="F2348" s="20" t="s">
        <v>645</v>
      </c>
    </row>
    <row r="2349">
      <c r="A2349" s="26">
        <v>44863.66019730324</v>
      </c>
      <c r="B2349" s="20" t="s">
        <v>661</v>
      </c>
      <c r="C2349" s="20">
        <v>80.0</v>
      </c>
      <c r="D2349" s="20" t="s">
        <v>407</v>
      </c>
      <c r="E2349" s="20" t="s">
        <v>75</v>
      </c>
      <c r="F2349" s="20" t="s">
        <v>645</v>
      </c>
    </row>
    <row r="2350">
      <c r="A2350" s="26">
        <v>44863.661080185186</v>
      </c>
      <c r="B2350" s="20" t="s">
        <v>661</v>
      </c>
      <c r="C2350" s="20">
        <v>320.0</v>
      </c>
      <c r="D2350" s="20" t="s">
        <v>40</v>
      </c>
      <c r="E2350" s="20" t="s">
        <v>75</v>
      </c>
      <c r="F2350" s="20" t="s">
        <v>645</v>
      </c>
    </row>
    <row r="2351">
      <c r="A2351" s="26">
        <v>44863.66172137731</v>
      </c>
      <c r="B2351" s="20" t="s">
        <v>661</v>
      </c>
      <c r="C2351" s="20">
        <v>290.0</v>
      </c>
      <c r="D2351" s="20" t="s">
        <v>175</v>
      </c>
      <c r="E2351" s="20" t="s">
        <v>75</v>
      </c>
      <c r="F2351" s="20" t="s">
        <v>645</v>
      </c>
    </row>
    <row r="2352">
      <c r="A2352" s="26">
        <v>44863.66224546296</v>
      </c>
      <c r="B2352" s="20" t="s">
        <v>661</v>
      </c>
      <c r="C2352" s="20">
        <v>389.0</v>
      </c>
      <c r="D2352" s="20" t="s">
        <v>588</v>
      </c>
      <c r="E2352" s="20" t="s">
        <v>75</v>
      </c>
      <c r="F2352" s="20" t="s">
        <v>645</v>
      </c>
    </row>
    <row r="2353">
      <c r="A2353" s="26">
        <v>44863.66292930556</v>
      </c>
      <c r="B2353" s="20" t="s">
        <v>661</v>
      </c>
      <c r="C2353" s="20">
        <v>530.0</v>
      </c>
      <c r="D2353" s="20" t="s">
        <v>40</v>
      </c>
      <c r="E2353" s="20" t="s">
        <v>75</v>
      </c>
      <c r="F2353" s="20" t="s">
        <v>645</v>
      </c>
    </row>
    <row r="2354">
      <c r="A2354" s="26">
        <v>44863.66340909722</v>
      </c>
      <c r="B2354" s="20" t="s">
        <v>661</v>
      </c>
      <c r="C2354" s="20">
        <v>179.0</v>
      </c>
      <c r="D2354" s="20" t="s">
        <v>76</v>
      </c>
      <c r="E2354" s="20" t="s">
        <v>75</v>
      </c>
      <c r="F2354" s="20" t="s">
        <v>645</v>
      </c>
    </row>
    <row r="2355">
      <c r="A2355" s="26">
        <v>44863.66401086806</v>
      </c>
      <c r="B2355" s="20" t="s">
        <v>661</v>
      </c>
      <c r="C2355" s="20">
        <v>150.0</v>
      </c>
      <c r="D2355" s="20" t="s">
        <v>76</v>
      </c>
      <c r="E2355" s="20" t="s">
        <v>75</v>
      </c>
      <c r="F2355" s="20" t="s">
        <v>645</v>
      </c>
    </row>
    <row r="2356">
      <c r="A2356" s="26">
        <v>44863.66451751157</v>
      </c>
      <c r="B2356" s="20" t="s">
        <v>661</v>
      </c>
      <c r="C2356" s="20">
        <v>263.0</v>
      </c>
      <c r="D2356" s="20" t="s">
        <v>76</v>
      </c>
      <c r="E2356" s="20" t="s">
        <v>75</v>
      </c>
      <c r="F2356" s="20" t="s">
        <v>645</v>
      </c>
    </row>
    <row r="2357">
      <c r="A2357" s="26">
        <v>44863.66539422453</v>
      </c>
      <c r="B2357" s="20" t="s">
        <v>661</v>
      </c>
      <c r="C2357" s="20">
        <v>155.0</v>
      </c>
      <c r="D2357" s="20" t="s">
        <v>58</v>
      </c>
      <c r="E2357" s="20" t="s">
        <v>75</v>
      </c>
      <c r="F2357" s="20" t="s">
        <v>645</v>
      </c>
    </row>
    <row r="2358">
      <c r="A2358" s="26">
        <v>44863.66593725694</v>
      </c>
      <c r="B2358" s="20" t="s">
        <v>661</v>
      </c>
      <c r="C2358" s="20">
        <v>87.0</v>
      </c>
      <c r="D2358" s="20" t="s">
        <v>593</v>
      </c>
      <c r="E2358" s="20" t="s">
        <v>75</v>
      </c>
      <c r="F2358" s="20" t="s">
        <v>645</v>
      </c>
    </row>
    <row r="2359">
      <c r="A2359" s="26">
        <v>44863.66707115741</v>
      </c>
      <c r="B2359" s="20" t="s">
        <v>661</v>
      </c>
      <c r="C2359" s="20">
        <v>-126.0</v>
      </c>
      <c r="D2359" s="20" t="s">
        <v>76</v>
      </c>
      <c r="E2359" s="20" t="s">
        <v>75</v>
      </c>
      <c r="F2359" s="20" t="s">
        <v>645</v>
      </c>
    </row>
    <row r="2360">
      <c r="A2360" s="26">
        <v>44863.66803107639</v>
      </c>
      <c r="B2360" s="20" t="s">
        <v>661</v>
      </c>
      <c r="C2360" s="20">
        <v>-173.0</v>
      </c>
      <c r="D2360" s="20" t="s">
        <v>76</v>
      </c>
      <c r="E2360" s="20" t="s">
        <v>75</v>
      </c>
      <c r="F2360" s="20" t="s">
        <v>645</v>
      </c>
    </row>
    <row r="2361">
      <c r="A2361" s="26">
        <v>44863.66960916667</v>
      </c>
      <c r="B2361" s="20" t="s">
        <v>661</v>
      </c>
      <c r="C2361" s="20">
        <v>-646.0</v>
      </c>
      <c r="D2361" s="20" t="s">
        <v>656</v>
      </c>
      <c r="E2361" s="20" t="s">
        <v>75</v>
      </c>
      <c r="F2361" s="20" t="s">
        <v>645</v>
      </c>
    </row>
    <row r="2362">
      <c r="A2362" s="26">
        <v>44863.67019984954</v>
      </c>
      <c r="B2362" s="20" t="s">
        <v>661</v>
      </c>
      <c r="C2362" s="20">
        <v>-64.0</v>
      </c>
      <c r="D2362" s="20" t="s">
        <v>40</v>
      </c>
      <c r="E2362" s="20" t="s">
        <v>75</v>
      </c>
      <c r="F2362" s="20" t="s">
        <v>645</v>
      </c>
    </row>
    <row r="2363">
      <c r="A2363" s="26">
        <v>44863.67069403935</v>
      </c>
      <c r="B2363" s="20" t="s">
        <v>661</v>
      </c>
      <c r="C2363" s="20">
        <v>-468.0</v>
      </c>
      <c r="D2363" s="20" t="s">
        <v>40</v>
      </c>
      <c r="E2363" s="20" t="s">
        <v>75</v>
      </c>
      <c r="F2363" s="20" t="s">
        <v>645</v>
      </c>
    </row>
    <row r="2364">
      <c r="A2364" s="26">
        <v>44863.673767037035</v>
      </c>
      <c r="B2364" s="20" t="s">
        <v>661</v>
      </c>
      <c r="C2364" s="20">
        <v>-112.0</v>
      </c>
      <c r="D2364" s="20" t="s">
        <v>175</v>
      </c>
      <c r="E2364" s="20" t="s">
        <v>75</v>
      </c>
      <c r="F2364" s="20" t="s">
        <v>645</v>
      </c>
    </row>
    <row r="2365">
      <c r="A2365" s="26">
        <v>44863.69062101852</v>
      </c>
      <c r="B2365" s="20" t="s">
        <v>661</v>
      </c>
      <c r="C2365" s="20">
        <v>-49.0</v>
      </c>
      <c r="D2365" s="20" t="s">
        <v>76</v>
      </c>
      <c r="E2365" s="20" t="s">
        <v>75</v>
      </c>
      <c r="F2365" s="20" t="s">
        <v>645</v>
      </c>
    </row>
    <row r="2366">
      <c r="A2366" s="26">
        <v>44863.7030633449</v>
      </c>
      <c r="B2366" s="20" t="s">
        <v>661</v>
      </c>
      <c r="C2366" s="20">
        <v>-97.0</v>
      </c>
      <c r="D2366" s="20" t="s">
        <v>175</v>
      </c>
      <c r="E2366" s="20" t="s">
        <v>75</v>
      </c>
      <c r="F2366" s="20" t="s">
        <v>645</v>
      </c>
    </row>
    <row r="2367">
      <c r="A2367" s="26">
        <v>44863.70354928241</v>
      </c>
      <c r="B2367" s="20" t="s">
        <v>661</v>
      </c>
      <c r="C2367" s="20">
        <v>-116.0</v>
      </c>
      <c r="D2367" s="20" t="s">
        <v>662</v>
      </c>
      <c r="E2367" s="20" t="s">
        <v>75</v>
      </c>
      <c r="F2367" s="20" t="s">
        <v>645</v>
      </c>
    </row>
    <row r="2368">
      <c r="A2368" s="26">
        <v>44863.70404150463</v>
      </c>
      <c r="B2368" s="20" t="s">
        <v>661</v>
      </c>
      <c r="C2368" s="20">
        <v>-33.0</v>
      </c>
      <c r="D2368" s="20" t="s">
        <v>588</v>
      </c>
      <c r="E2368" s="20" t="s">
        <v>75</v>
      </c>
      <c r="F2368" s="20" t="s">
        <v>645</v>
      </c>
    </row>
    <row r="2369">
      <c r="A2369" s="26">
        <v>44864.63952971065</v>
      </c>
      <c r="B2369" s="20" t="s">
        <v>193</v>
      </c>
      <c r="C2369" s="20">
        <v>1147.0</v>
      </c>
      <c r="D2369" s="20" t="s">
        <v>663</v>
      </c>
      <c r="E2369" s="20" t="s">
        <v>101</v>
      </c>
      <c r="F2369" s="20" t="s">
        <v>455</v>
      </c>
    </row>
    <row r="2370">
      <c r="A2370" s="26">
        <v>44864.639944814815</v>
      </c>
      <c r="B2370" s="20" t="s">
        <v>193</v>
      </c>
      <c r="C2370" s="20">
        <v>450.0</v>
      </c>
      <c r="D2370" s="20" t="s">
        <v>638</v>
      </c>
      <c r="E2370" s="20" t="s">
        <v>101</v>
      </c>
      <c r="F2370" s="20" t="s">
        <v>455</v>
      </c>
    </row>
    <row r="2371">
      <c r="A2371" s="26">
        <v>44864.64018149306</v>
      </c>
      <c r="B2371" s="20" t="s">
        <v>193</v>
      </c>
      <c r="C2371" s="20">
        <v>43.0</v>
      </c>
      <c r="D2371" s="20" t="s">
        <v>76</v>
      </c>
      <c r="E2371" s="20" t="s">
        <v>101</v>
      </c>
      <c r="F2371" s="20" t="s">
        <v>455</v>
      </c>
    </row>
    <row r="2372">
      <c r="A2372" s="26">
        <v>44864.64039826389</v>
      </c>
      <c r="B2372" s="20" t="s">
        <v>193</v>
      </c>
      <c r="C2372" s="20">
        <v>62.0</v>
      </c>
      <c r="D2372" s="20" t="s">
        <v>76</v>
      </c>
      <c r="E2372" s="20" t="s">
        <v>101</v>
      </c>
      <c r="F2372" s="20" t="s">
        <v>455</v>
      </c>
    </row>
    <row r="2373">
      <c r="A2373" s="26">
        <v>44864.64064871528</v>
      </c>
      <c r="B2373" s="20" t="s">
        <v>193</v>
      </c>
      <c r="C2373" s="20">
        <v>53.0</v>
      </c>
      <c r="D2373" s="20" t="s">
        <v>40</v>
      </c>
      <c r="E2373" s="20" t="s">
        <v>65</v>
      </c>
      <c r="F2373" s="20" t="s">
        <v>455</v>
      </c>
    </row>
    <row r="2374">
      <c r="A2374" s="26">
        <v>44864.64128642361</v>
      </c>
      <c r="B2374" s="20" t="s">
        <v>193</v>
      </c>
      <c r="C2374" s="20">
        <v>15.0</v>
      </c>
      <c r="D2374" s="20" t="s">
        <v>585</v>
      </c>
      <c r="E2374" s="20" t="s">
        <v>65</v>
      </c>
      <c r="F2374" s="20" t="s">
        <v>455</v>
      </c>
    </row>
    <row r="2375">
      <c r="A2375" s="26">
        <v>44864.641585081015</v>
      </c>
      <c r="B2375" s="20" t="s">
        <v>193</v>
      </c>
      <c r="C2375" s="20">
        <v>334.0</v>
      </c>
      <c r="D2375" s="20" t="s">
        <v>40</v>
      </c>
      <c r="E2375" s="20" t="s">
        <v>101</v>
      </c>
      <c r="F2375" s="20" t="s">
        <v>455</v>
      </c>
    </row>
    <row r="2376">
      <c r="A2376" s="26">
        <v>44864.64183179398</v>
      </c>
      <c r="B2376" s="20" t="s">
        <v>193</v>
      </c>
      <c r="C2376" s="20">
        <v>288.0</v>
      </c>
      <c r="D2376" s="20" t="s">
        <v>40</v>
      </c>
      <c r="E2376" s="20" t="s">
        <v>65</v>
      </c>
      <c r="F2376" s="20" t="s">
        <v>455</v>
      </c>
    </row>
    <row r="2377">
      <c r="A2377" s="26">
        <v>44864.64216478009</v>
      </c>
      <c r="B2377" s="20" t="s">
        <v>193</v>
      </c>
      <c r="C2377" s="20">
        <v>399.0</v>
      </c>
      <c r="D2377" s="20" t="s">
        <v>663</v>
      </c>
      <c r="E2377" s="20" t="s">
        <v>65</v>
      </c>
      <c r="F2377" s="20" t="s">
        <v>455</v>
      </c>
    </row>
    <row r="2378">
      <c r="A2378" s="26">
        <v>44864.64245347222</v>
      </c>
      <c r="B2378" s="20" t="s">
        <v>191</v>
      </c>
      <c r="C2378" s="20">
        <v>292.0</v>
      </c>
      <c r="D2378" s="20" t="s">
        <v>40</v>
      </c>
      <c r="E2378" s="20" t="s">
        <v>65</v>
      </c>
      <c r="F2378" s="20" t="s">
        <v>455</v>
      </c>
    </row>
    <row r="2379">
      <c r="A2379" s="26">
        <v>44864.642773472224</v>
      </c>
      <c r="B2379" s="20" t="s">
        <v>191</v>
      </c>
      <c r="C2379" s="20">
        <v>64.0</v>
      </c>
      <c r="D2379" s="20" t="s">
        <v>95</v>
      </c>
      <c r="E2379" s="20" t="s">
        <v>65</v>
      </c>
      <c r="F2379" s="20" t="s">
        <v>455</v>
      </c>
    </row>
    <row r="2380">
      <c r="A2380" s="26">
        <v>44864.643107592594</v>
      </c>
      <c r="B2380" s="20" t="s">
        <v>193</v>
      </c>
      <c r="C2380" s="20">
        <v>57.0</v>
      </c>
      <c r="D2380" s="20" t="s">
        <v>664</v>
      </c>
      <c r="E2380" s="20" t="s">
        <v>65</v>
      </c>
      <c r="F2380" s="20" t="s">
        <v>455</v>
      </c>
    </row>
    <row r="2381">
      <c r="A2381" s="26">
        <v>44864.65071990741</v>
      </c>
      <c r="B2381" s="20" t="s">
        <v>193</v>
      </c>
      <c r="C2381" s="20">
        <v>128.0</v>
      </c>
      <c r="D2381" s="20" t="s">
        <v>585</v>
      </c>
      <c r="E2381" s="20" t="s">
        <v>50</v>
      </c>
      <c r="F2381" s="20" t="s">
        <v>455</v>
      </c>
      <c r="G2381" s="20">
        <v>68040.0</v>
      </c>
    </row>
    <row r="2382">
      <c r="A2382" s="26">
        <v>44868.63187525463</v>
      </c>
      <c r="B2382" s="20" t="s">
        <v>163</v>
      </c>
      <c r="C2382" s="20">
        <v>164.0</v>
      </c>
      <c r="D2382" s="20" t="s">
        <v>585</v>
      </c>
      <c r="E2382" s="20" t="s">
        <v>185</v>
      </c>
      <c r="F2382" s="20" t="s">
        <v>455</v>
      </c>
    </row>
    <row r="2383">
      <c r="A2383" s="26">
        <v>44868.63414340278</v>
      </c>
      <c r="B2383" s="20" t="s">
        <v>163</v>
      </c>
      <c r="C2383" s="20">
        <v>702.0</v>
      </c>
      <c r="D2383" s="20" t="s">
        <v>665</v>
      </c>
      <c r="E2383" s="20" t="s">
        <v>666</v>
      </c>
      <c r="F2383" s="20" t="s">
        <v>455</v>
      </c>
    </row>
    <row r="2384">
      <c r="A2384" s="26">
        <v>44868.63559582176</v>
      </c>
      <c r="B2384" s="20" t="s">
        <v>163</v>
      </c>
      <c r="C2384" s="20">
        <v>729.0</v>
      </c>
      <c r="D2384" s="20" t="s">
        <v>587</v>
      </c>
      <c r="E2384" s="20" t="s">
        <v>643</v>
      </c>
      <c r="F2384" s="20" t="s">
        <v>455</v>
      </c>
    </row>
    <row r="2385">
      <c r="A2385" s="26">
        <v>44868.63791704861</v>
      </c>
      <c r="B2385" s="20" t="s">
        <v>163</v>
      </c>
      <c r="C2385" s="20">
        <v>223.0</v>
      </c>
      <c r="D2385" s="20" t="s">
        <v>585</v>
      </c>
      <c r="E2385" s="20" t="s">
        <v>667</v>
      </c>
      <c r="F2385" s="20" t="s">
        <v>455</v>
      </c>
    </row>
    <row r="2386">
      <c r="A2386" s="26">
        <v>44868.63934480324</v>
      </c>
      <c r="B2386" s="20" t="s">
        <v>163</v>
      </c>
      <c r="C2386" s="20">
        <v>126.0</v>
      </c>
      <c r="D2386" s="20" t="s">
        <v>665</v>
      </c>
      <c r="E2386" s="20" t="s">
        <v>668</v>
      </c>
      <c r="F2386" s="20" t="s">
        <v>455</v>
      </c>
    </row>
    <row r="2387">
      <c r="A2387" s="26">
        <v>44868.64033052084</v>
      </c>
      <c r="B2387" s="20" t="s">
        <v>163</v>
      </c>
      <c r="C2387" s="20">
        <v>240.0</v>
      </c>
      <c r="D2387" s="20" t="s">
        <v>58</v>
      </c>
      <c r="E2387" s="20" t="s">
        <v>669</v>
      </c>
      <c r="F2387" s="20" t="s">
        <v>455</v>
      </c>
    </row>
    <row r="2388">
      <c r="A2388" s="26">
        <v>44869.61801658565</v>
      </c>
      <c r="B2388" s="20" t="s">
        <v>345</v>
      </c>
      <c r="C2388" s="20">
        <v>639.0</v>
      </c>
      <c r="D2388" s="20" t="s">
        <v>585</v>
      </c>
      <c r="E2388" s="20" t="s">
        <v>96</v>
      </c>
      <c r="F2388" s="20" t="s">
        <v>455</v>
      </c>
    </row>
    <row r="2389">
      <c r="A2389" s="26">
        <v>44869.61840791667</v>
      </c>
      <c r="B2389" s="20" t="s">
        <v>345</v>
      </c>
      <c r="C2389" s="20">
        <v>619.0</v>
      </c>
      <c r="D2389" s="20" t="s">
        <v>585</v>
      </c>
      <c r="E2389" s="20" t="s">
        <v>589</v>
      </c>
      <c r="F2389" s="20" t="s">
        <v>455</v>
      </c>
    </row>
    <row r="2390">
      <c r="A2390" s="26">
        <v>44869.61884496528</v>
      </c>
      <c r="B2390" s="20" t="s">
        <v>345</v>
      </c>
      <c r="C2390" s="20">
        <v>111.0</v>
      </c>
      <c r="D2390" s="20" t="s">
        <v>76</v>
      </c>
      <c r="E2390" s="20" t="s">
        <v>96</v>
      </c>
      <c r="F2390" s="20" t="s">
        <v>455</v>
      </c>
    </row>
    <row r="2391">
      <c r="A2391" s="26">
        <v>44869.619225381946</v>
      </c>
      <c r="B2391" s="20" t="s">
        <v>345</v>
      </c>
      <c r="C2391" s="20">
        <v>119.0</v>
      </c>
      <c r="D2391" s="20" t="s">
        <v>656</v>
      </c>
      <c r="E2391" s="20" t="s">
        <v>589</v>
      </c>
      <c r="F2391" s="20" t="s">
        <v>455</v>
      </c>
    </row>
    <row r="2392">
      <c r="A2392" s="26">
        <v>44869.619615613425</v>
      </c>
      <c r="B2392" s="20" t="s">
        <v>345</v>
      </c>
      <c r="C2392" s="20">
        <v>1174.0</v>
      </c>
      <c r="D2392" s="20" t="s">
        <v>656</v>
      </c>
      <c r="E2392" s="20" t="s">
        <v>589</v>
      </c>
      <c r="F2392" s="20" t="s">
        <v>455</v>
      </c>
    </row>
    <row r="2393">
      <c r="A2393" s="26">
        <v>44869.62013113426</v>
      </c>
      <c r="B2393" s="20" t="s">
        <v>345</v>
      </c>
      <c r="C2393" s="20">
        <v>1134.0</v>
      </c>
      <c r="D2393" s="20" t="s">
        <v>656</v>
      </c>
      <c r="E2393" s="20" t="s">
        <v>96</v>
      </c>
      <c r="F2393" s="20" t="s">
        <v>455</v>
      </c>
    </row>
    <row r="2394">
      <c r="A2394" s="26">
        <v>44869.62050203704</v>
      </c>
      <c r="B2394" s="20" t="s">
        <v>345</v>
      </c>
      <c r="C2394" s="20">
        <v>768.0</v>
      </c>
      <c r="D2394" s="20" t="s">
        <v>40</v>
      </c>
      <c r="E2394" s="20" t="s">
        <v>589</v>
      </c>
      <c r="F2394" s="20" t="s">
        <v>455</v>
      </c>
    </row>
    <row r="2395">
      <c r="A2395" s="26">
        <v>44869.62102298611</v>
      </c>
      <c r="B2395" s="20" t="s">
        <v>345</v>
      </c>
      <c r="C2395" s="20">
        <v>1038.0</v>
      </c>
      <c r="D2395" s="20" t="s">
        <v>656</v>
      </c>
      <c r="E2395" s="20" t="s">
        <v>171</v>
      </c>
      <c r="F2395" s="20" t="s">
        <v>455</v>
      </c>
    </row>
    <row r="2396">
      <c r="A2396" s="26">
        <v>44869.621321875005</v>
      </c>
      <c r="B2396" s="20" t="s">
        <v>345</v>
      </c>
      <c r="C2396" s="20">
        <v>860.0</v>
      </c>
      <c r="D2396" s="20" t="s">
        <v>40</v>
      </c>
      <c r="E2396" s="20" t="s">
        <v>171</v>
      </c>
      <c r="F2396" s="20" t="s">
        <v>455</v>
      </c>
    </row>
    <row r="2397">
      <c r="A2397" s="26">
        <v>44869.62163019676</v>
      </c>
      <c r="B2397" s="20" t="s">
        <v>345</v>
      </c>
      <c r="C2397" s="20">
        <v>789.0</v>
      </c>
      <c r="D2397" s="20" t="s">
        <v>40</v>
      </c>
      <c r="E2397" s="20" t="s">
        <v>96</v>
      </c>
      <c r="F2397" s="20" t="s">
        <v>455</v>
      </c>
    </row>
    <row r="2398">
      <c r="A2398" s="26">
        <v>44869.62196128472</v>
      </c>
      <c r="B2398" s="20" t="s">
        <v>345</v>
      </c>
      <c r="C2398" s="20">
        <v>1163.0</v>
      </c>
      <c r="D2398" s="20" t="s">
        <v>656</v>
      </c>
      <c r="E2398" s="20" t="s">
        <v>171</v>
      </c>
      <c r="F2398" s="20" t="s">
        <v>455</v>
      </c>
    </row>
    <row r="2399">
      <c r="A2399" s="26">
        <v>44869.62232810185</v>
      </c>
      <c r="B2399" s="20" t="s">
        <v>345</v>
      </c>
      <c r="C2399" s="20">
        <v>1502.0</v>
      </c>
      <c r="D2399" s="20" t="s">
        <v>634</v>
      </c>
      <c r="E2399" s="20" t="s">
        <v>171</v>
      </c>
      <c r="F2399" s="20" t="s">
        <v>455</v>
      </c>
    </row>
    <row r="2400">
      <c r="A2400" s="26">
        <v>44869.62263208334</v>
      </c>
      <c r="B2400" s="20" t="s">
        <v>345</v>
      </c>
      <c r="C2400" s="20">
        <v>223.0</v>
      </c>
      <c r="D2400" s="20" t="s">
        <v>76</v>
      </c>
      <c r="E2400" s="20" t="s">
        <v>171</v>
      </c>
      <c r="F2400" s="20" t="s">
        <v>455</v>
      </c>
    </row>
    <row r="2401">
      <c r="A2401" s="26">
        <v>44869.70164925926</v>
      </c>
      <c r="B2401" s="20" t="s">
        <v>591</v>
      </c>
      <c r="C2401" s="20">
        <v>153.0</v>
      </c>
      <c r="D2401" s="20" t="s">
        <v>587</v>
      </c>
      <c r="E2401" s="20" t="s">
        <v>60</v>
      </c>
      <c r="F2401" s="20" t="s">
        <v>455</v>
      </c>
    </row>
    <row r="2402">
      <c r="A2402" s="26">
        <v>44870.652747569446</v>
      </c>
      <c r="B2402" s="20" t="s">
        <v>311</v>
      </c>
      <c r="C2402" s="20">
        <v>1051.0</v>
      </c>
      <c r="D2402" s="20" t="s">
        <v>40</v>
      </c>
      <c r="E2402" s="20" t="s">
        <v>75</v>
      </c>
      <c r="F2402" s="20" t="s">
        <v>449</v>
      </c>
    </row>
    <row r="2403">
      <c r="A2403" s="26">
        <v>44870.65322540509</v>
      </c>
      <c r="B2403" s="20" t="s">
        <v>311</v>
      </c>
      <c r="C2403" s="20">
        <v>76.0</v>
      </c>
      <c r="D2403" s="20" t="s">
        <v>588</v>
      </c>
      <c r="E2403" s="20" t="s">
        <v>75</v>
      </c>
      <c r="F2403" s="20" t="s">
        <v>590</v>
      </c>
    </row>
    <row r="2404">
      <c r="A2404" s="26">
        <v>44870.65364163194</v>
      </c>
      <c r="B2404" s="20" t="s">
        <v>311</v>
      </c>
      <c r="C2404" s="20">
        <v>1052.0</v>
      </c>
      <c r="D2404" s="20" t="s">
        <v>656</v>
      </c>
      <c r="E2404" s="20" t="s">
        <v>75</v>
      </c>
      <c r="F2404" s="20" t="s">
        <v>590</v>
      </c>
    </row>
    <row r="2405">
      <c r="A2405" s="26">
        <v>44870.65401236111</v>
      </c>
      <c r="B2405" s="20" t="s">
        <v>311</v>
      </c>
      <c r="C2405" s="20">
        <v>166.0</v>
      </c>
      <c r="D2405" s="20" t="s">
        <v>76</v>
      </c>
      <c r="E2405" s="20" t="s">
        <v>75</v>
      </c>
      <c r="F2405" s="20" t="s">
        <v>590</v>
      </c>
    </row>
    <row r="2406">
      <c r="A2406" s="26">
        <v>44870.65634002315</v>
      </c>
      <c r="B2406" s="20" t="s">
        <v>614</v>
      </c>
      <c r="C2406" s="20">
        <v>1140.0</v>
      </c>
      <c r="D2406" s="20" t="s">
        <v>656</v>
      </c>
      <c r="E2406" s="20" t="s">
        <v>75</v>
      </c>
      <c r="F2406" s="20" t="s">
        <v>590</v>
      </c>
    </row>
    <row r="2407">
      <c r="A2407" s="26">
        <v>44870.65672424769</v>
      </c>
      <c r="B2407" s="20" t="s">
        <v>614</v>
      </c>
      <c r="C2407" s="20">
        <v>106.0</v>
      </c>
      <c r="D2407" s="20" t="s">
        <v>76</v>
      </c>
      <c r="E2407" s="20" t="s">
        <v>75</v>
      </c>
      <c r="F2407" s="20" t="s">
        <v>590</v>
      </c>
    </row>
    <row r="2408">
      <c r="A2408" s="26">
        <v>44870.6571152199</v>
      </c>
      <c r="B2408" s="20" t="s">
        <v>614</v>
      </c>
      <c r="C2408" s="20">
        <v>330.0</v>
      </c>
      <c r="D2408" s="20" t="s">
        <v>40</v>
      </c>
      <c r="E2408" s="20" t="s">
        <v>75</v>
      </c>
      <c r="F2408" s="20" t="s">
        <v>590</v>
      </c>
    </row>
    <row r="2409">
      <c r="A2409" s="26">
        <v>44870.65759074074</v>
      </c>
      <c r="B2409" s="20" t="s">
        <v>614</v>
      </c>
      <c r="C2409" s="20">
        <v>154.0</v>
      </c>
      <c r="D2409" s="20" t="s">
        <v>670</v>
      </c>
      <c r="E2409" s="20" t="s">
        <v>75</v>
      </c>
      <c r="F2409" s="20" t="s">
        <v>590</v>
      </c>
    </row>
    <row r="2410">
      <c r="A2410" s="26">
        <v>44870.65801717593</v>
      </c>
      <c r="B2410" s="20" t="s">
        <v>614</v>
      </c>
      <c r="C2410" s="20">
        <v>473.0</v>
      </c>
      <c r="D2410" s="20" t="s">
        <v>40</v>
      </c>
      <c r="E2410" s="20" t="s">
        <v>75</v>
      </c>
      <c r="F2410" s="20" t="s">
        <v>590</v>
      </c>
    </row>
    <row r="2411">
      <c r="A2411" s="26">
        <v>44870.65839752315</v>
      </c>
      <c r="B2411" s="20" t="s">
        <v>614</v>
      </c>
      <c r="C2411" s="20">
        <v>402.0</v>
      </c>
      <c r="D2411" s="20" t="s">
        <v>40</v>
      </c>
      <c r="E2411" s="20" t="s">
        <v>75</v>
      </c>
      <c r="F2411" s="20" t="s">
        <v>590</v>
      </c>
    </row>
    <row r="2412">
      <c r="A2412" s="26">
        <v>44870.65884019676</v>
      </c>
      <c r="B2412" s="20" t="s">
        <v>614</v>
      </c>
      <c r="C2412" s="20">
        <v>383.0</v>
      </c>
      <c r="D2412" s="20" t="s">
        <v>534</v>
      </c>
      <c r="E2412" s="20" t="s">
        <v>75</v>
      </c>
      <c r="F2412" s="20" t="s">
        <v>590</v>
      </c>
    </row>
    <row r="2413">
      <c r="A2413" s="26">
        <v>44870.65919519676</v>
      </c>
      <c r="B2413" s="20" t="s">
        <v>614</v>
      </c>
      <c r="C2413" s="20">
        <v>414.0</v>
      </c>
      <c r="D2413" s="20" t="s">
        <v>40</v>
      </c>
      <c r="E2413" s="20" t="s">
        <v>75</v>
      </c>
      <c r="F2413" s="20" t="s">
        <v>590</v>
      </c>
    </row>
    <row r="2414">
      <c r="A2414" s="26">
        <v>44870.660167152775</v>
      </c>
      <c r="B2414" s="20" t="s">
        <v>614</v>
      </c>
      <c r="C2414" s="20">
        <v>205.0</v>
      </c>
      <c r="D2414" s="20" t="s">
        <v>40</v>
      </c>
      <c r="E2414" s="20" t="s">
        <v>75</v>
      </c>
      <c r="F2414" s="20" t="s">
        <v>590</v>
      </c>
    </row>
    <row r="2415">
      <c r="A2415" s="26">
        <v>44870.66054917824</v>
      </c>
      <c r="B2415" s="20" t="s">
        <v>614</v>
      </c>
      <c r="C2415" s="20">
        <v>496.0</v>
      </c>
      <c r="D2415" s="20" t="s">
        <v>40</v>
      </c>
      <c r="E2415" s="20" t="s">
        <v>75</v>
      </c>
      <c r="F2415" s="20" t="s">
        <v>590</v>
      </c>
    </row>
    <row r="2416">
      <c r="A2416" s="26">
        <v>44870.66089878472</v>
      </c>
      <c r="B2416" s="20" t="s">
        <v>614</v>
      </c>
      <c r="C2416" s="20">
        <v>386.0</v>
      </c>
      <c r="D2416" s="20" t="s">
        <v>40</v>
      </c>
      <c r="E2416" s="20" t="s">
        <v>75</v>
      </c>
      <c r="F2416" s="20" t="s">
        <v>590</v>
      </c>
    </row>
    <row r="2417">
      <c r="A2417" s="26">
        <v>44870.66130905093</v>
      </c>
      <c r="B2417" s="20" t="s">
        <v>614</v>
      </c>
      <c r="C2417" s="20">
        <v>1446.0</v>
      </c>
      <c r="D2417" s="20" t="s">
        <v>40</v>
      </c>
      <c r="E2417" s="20" t="s">
        <v>75</v>
      </c>
      <c r="F2417" s="20" t="s">
        <v>590</v>
      </c>
    </row>
    <row r="2418">
      <c r="A2418" s="26">
        <v>44870.66163445602</v>
      </c>
      <c r="B2418" s="20" t="s">
        <v>614</v>
      </c>
      <c r="C2418" s="20">
        <v>195.0</v>
      </c>
      <c r="D2418" s="20" t="s">
        <v>593</v>
      </c>
      <c r="E2418" s="20" t="s">
        <v>75</v>
      </c>
      <c r="F2418" s="20" t="s">
        <v>590</v>
      </c>
    </row>
    <row r="2419">
      <c r="A2419" s="26">
        <v>44870.66242304398</v>
      </c>
      <c r="B2419" s="20" t="s">
        <v>614</v>
      </c>
      <c r="C2419" s="20">
        <v>-201.0</v>
      </c>
      <c r="D2419" s="20" t="s">
        <v>585</v>
      </c>
      <c r="E2419" s="20" t="s">
        <v>75</v>
      </c>
      <c r="F2419" s="20" t="s">
        <v>590</v>
      </c>
    </row>
    <row r="2420">
      <c r="A2420" s="26">
        <v>44870.66281309028</v>
      </c>
      <c r="B2420" s="20" t="s">
        <v>614</v>
      </c>
      <c r="C2420" s="20">
        <v>-516.0</v>
      </c>
      <c r="D2420" s="20" t="s">
        <v>656</v>
      </c>
      <c r="E2420" s="20" t="s">
        <v>75</v>
      </c>
      <c r="F2420" s="20" t="s">
        <v>590</v>
      </c>
    </row>
    <row r="2421">
      <c r="A2421" s="26">
        <v>44870.66320164352</v>
      </c>
      <c r="B2421" s="20" t="s">
        <v>614</v>
      </c>
      <c r="C2421" s="20">
        <v>-567.0</v>
      </c>
      <c r="D2421" s="20" t="s">
        <v>40</v>
      </c>
      <c r="E2421" s="20" t="s">
        <v>75</v>
      </c>
      <c r="F2421" s="20" t="s">
        <v>590</v>
      </c>
    </row>
    <row r="2422">
      <c r="A2422" s="26">
        <v>44870.66353384259</v>
      </c>
      <c r="B2422" s="20" t="s">
        <v>614</v>
      </c>
      <c r="C2422" s="20">
        <v>-363.0</v>
      </c>
      <c r="D2422" s="20" t="s">
        <v>585</v>
      </c>
      <c r="E2422" s="20" t="s">
        <v>75</v>
      </c>
      <c r="F2422" s="20" t="s">
        <v>590</v>
      </c>
    </row>
    <row r="2423">
      <c r="A2423" s="26">
        <v>44870.66406763889</v>
      </c>
      <c r="B2423" s="20" t="s">
        <v>614</v>
      </c>
      <c r="C2423" s="20">
        <v>-652.0</v>
      </c>
      <c r="D2423" s="20" t="s">
        <v>585</v>
      </c>
      <c r="E2423" s="20" t="s">
        <v>75</v>
      </c>
      <c r="F2423" s="20" t="s">
        <v>590</v>
      </c>
    </row>
    <row r="2424">
      <c r="A2424" s="26">
        <v>44870.66437230324</v>
      </c>
      <c r="B2424" s="20" t="s">
        <v>614</v>
      </c>
      <c r="C2424" s="20">
        <v>-198.0</v>
      </c>
      <c r="D2424" s="20" t="s">
        <v>40</v>
      </c>
      <c r="E2424" s="20" t="s">
        <v>75</v>
      </c>
      <c r="F2424" s="20" t="s">
        <v>590</v>
      </c>
    </row>
    <row r="2425">
      <c r="A2425" s="26">
        <v>44870.667902002315</v>
      </c>
      <c r="B2425" s="20" t="s">
        <v>614</v>
      </c>
      <c r="C2425" s="20">
        <v>-32.0</v>
      </c>
      <c r="D2425" s="20" t="s">
        <v>585</v>
      </c>
      <c r="E2425" s="20" t="s">
        <v>75</v>
      </c>
      <c r="F2425" s="20" t="s">
        <v>590</v>
      </c>
    </row>
    <row r="2426">
      <c r="A2426" s="26">
        <v>44871.54092591435</v>
      </c>
      <c r="B2426" s="20" t="s">
        <v>366</v>
      </c>
      <c r="C2426" s="20">
        <v>517.0</v>
      </c>
      <c r="D2426" s="20" t="s">
        <v>671</v>
      </c>
      <c r="E2426" s="20" t="s">
        <v>101</v>
      </c>
      <c r="F2426" s="20" t="s">
        <v>455</v>
      </c>
    </row>
    <row r="2427">
      <c r="A2427" s="26">
        <v>44871.54255261574</v>
      </c>
      <c r="B2427" s="20" t="s">
        <v>366</v>
      </c>
      <c r="C2427" s="20">
        <v>492.0</v>
      </c>
      <c r="D2427" s="20" t="s">
        <v>671</v>
      </c>
      <c r="E2427" s="20" t="s">
        <v>101</v>
      </c>
      <c r="F2427" s="20" t="s">
        <v>455</v>
      </c>
    </row>
    <row r="2428">
      <c r="A2428" s="26">
        <v>44871.548091550925</v>
      </c>
      <c r="B2428" s="20" t="s">
        <v>366</v>
      </c>
      <c r="C2428" s="20">
        <v>116.0</v>
      </c>
      <c r="D2428" s="20" t="s">
        <v>76</v>
      </c>
      <c r="E2428" s="20" t="s">
        <v>101</v>
      </c>
      <c r="F2428" s="20" t="s">
        <v>455</v>
      </c>
    </row>
    <row r="2429">
      <c r="A2429" s="26">
        <v>44871.54880427083</v>
      </c>
      <c r="B2429" s="20" t="s">
        <v>366</v>
      </c>
      <c r="C2429" s="20">
        <v>426.0</v>
      </c>
      <c r="D2429" s="20" t="s">
        <v>40</v>
      </c>
      <c r="E2429" s="20" t="s">
        <v>101</v>
      </c>
      <c r="F2429" s="20" t="s">
        <v>455</v>
      </c>
    </row>
    <row r="2430">
      <c r="A2430" s="26">
        <v>44871.549603506945</v>
      </c>
      <c r="B2430" s="20" t="s">
        <v>366</v>
      </c>
      <c r="C2430" s="20">
        <v>440.0</v>
      </c>
      <c r="D2430" s="20" t="s">
        <v>602</v>
      </c>
      <c r="E2430" s="20" t="s">
        <v>101</v>
      </c>
      <c r="F2430" s="20" t="s">
        <v>455</v>
      </c>
    </row>
    <row r="2431">
      <c r="A2431" s="26">
        <v>44871.62226099537</v>
      </c>
      <c r="B2431" s="20" t="s">
        <v>672</v>
      </c>
      <c r="C2431" s="20">
        <v>1163.0</v>
      </c>
      <c r="D2431" s="20" t="s">
        <v>585</v>
      </c>
      <c r="E2431" s="20" t="s">
        <v>65</v>
      </c>
      <c r="F2431" s="20" t="s">
        <v>449</v>
      </c>
    </row>
    <row r="2432">
      <c r="A2432" s="26">
        <v>44871.67748297454</v>
      </c>
      <c r="B2432" s="20" t="s">
        <v>384</v>
      </c>
      <c r="C2432" s="20">
        <v>31.0</v>
      </c>
      <c r="D2432" s="20" t="s">
        <v>662</v>
      </c>
      <c r="E2432" s="20" t="s">
        <v>673</v>
      </c>
      <c r="F2432" s="20" t="s">
        <v>121</v>
      </c>
    </row>
    <row r="2433">
      <c r="A2433" s="26">
        <v>44874.64651</v>
      </c>
      <c r="B2433" s="20" t="s">
        <v>366</v>
      </c>
      <c r="C2433" s="20">
        <v>806.0</v>
      </c>
      <c r="D2433" s="20" t="s">
        <v>40</v>
      </c>
      <c r="E2433" s="20" t="s">
        <v>598</v>
      </c>
      <c r="F2433" s="20" t="s">
        <v>590</v>
      </c>
    </row>
    <row r="2434">
      <c r="A2434" s="26">
        <v>44874.64720707176</v>
      </c>
      <c r="B2434" s="20" t="s">
        <v>366</v>
      </c>
      <c r="C2434" s="20">
        <v>1465.0</v>
      </c>
      <c r="D2434" s="20" t="s">
        <v>40</v>
      </c>
      <c r="E2434" s="20" t="s">
        <v>598</v>
      </c>
      <c r="F2434" s="20" t="s">
        <v>590</v>
      </c>
    </row>
    <row r="2435">
      <c r="A2435" s="26">
        <v>44874.64806547454</v>
      </c>
      <c r="B2435" s="20" t="s">
        <v>366</v>
      </c>
      <c r="C2435" s="20">
        <v>1039.0</v>
      </c>
      <c r="D2435" s="20" t="s">
        <v>674</v>
      </c>
      <c r="E2435" s="20" t="s">
        <v>598</v>
      </c>
      <c r="F2435" s="20" t="s">
        <v>590</v>
      </c>
    </row>
    <row r="2436">
      <c r="A2436" s="26">
        <v>44874.648849108795</v>
      </c>
      <c r="B2436" s="20" t="s">
        <v>366</v>
      </c>
      <c r="C2436" s="20">
        <v>1134.0</v>
      </c>
      <c r="D2436" s="20" t="s">
        <v>675</v>
      </c>
      <c r="E2436" s="20" t="s">
        <v>598</v>
      </c>
      <c r="F2436" s="20" t="s">
        <v>590</v>
      </c>
    </row>
    <row r="2437">
      <c r="A2437" s="26">
        <v>44874.64945111111</v>
      </c>
      <c r="B2437" s="20" t="s">
        <v>366</v>
      </c>
      <c r="C2437" s="20">
        <v>1208.0</v>
      </c>
      <c r="D2437" s="20" t="s">
        <v>646</v>
      </c>
      <c r="E2437" s="20" t="s">
        <v>598</v>
      </c>
      <c r="F2437" s="20" t="s">
        <v>590</v>
      </c>
    </row>
    <row r="2438">
      <c r="A2438" s="26">
        <v>44875.62494819444</v>
      </c>
      <c r="B2438" s="20" t="s">
        <v>327</v>
      </c>
      <c r="C2438" s="20">
        <v>350.0</v>
      </c>
      <c r="D2438" s="20" t="s">
        <v>665</v>
      </c>
      <c r="E2438" s="20" t="s">
        <v>676</v>
      </c>
      <c r="F2438" s="20" t="s">
        <v>455</v>
      </c>
    </row>
    <row r="2439">
      <c r="A2439" s="26">
        <v>44875.62636206018</v>
      </c>
      <c r="B2439" s="20" t="s">
        <v>327</v>
      </c>
      <c r="C2439" s="20">
        <v>1021.0</v>
      </c>
      <c r="D2439" s="20" t="s">
        <v>677</v>
      </c>
      <c r="E2439" s="20" t="s">
        <v>96</v>
      </c>
      <c r="F2439" s="20" t="s">
        <v>455</v>
      </c>
    </row>
    <row r="2440">
      <c r="A2440" s="26">
        <v>44875.62717482639</v>
      </c>
      <c r="B2440" s="20" t="s">
        <v>327</v>
      </c>
      <c r="C2440" s="20">
        <v>516.0</v>
      </c>
      <c r="D2440" s="20" t="s">
        <v>665</v>
      </c>
      <c r="E2440" s="20" t="s">
        <v>96</v>
      </c>
      <c r="F2440" s="20" t="s">
        <v>455</v>
      </c>
    </row>
    <row r="2441">
      <c r="A2441" s="26">
        <v>44875.6288791088</v>
      </c>
      <c r="B2441" s="20" t="s">
        <v>327</v>
      </c>
      <c r="C2441" s="20">
        <v>516.0</v>
      </c>
      <c r="D2441" s="20" t="s">
        <v>665</v>
      </c>
      <c r="E2441" s="20" t="s">
        <v>96</v>
      </c>
      <c r="F2441" s="20" t="s">
        <v>455</v>
      </c>
    </row>
    <row r="2442">
      <c r="A2442" s="26">
        <v>44875.629570335645</v>
      </c>
      <c r="B2442" s="20" t="s">
        <v>327</v>
      </c>
      <c r="C2442" s="20">
        <v>192.0</v>
      </c>
      <c r="D2442" s="20" t="s">
        <v>36</v>
      </c>
      <c r="E2442" s="20" t="s">
        <v>96</v>
      </c>
      <c r="F2442" s="20" t="s">
        <v>455</v>
      </c>
    </row>
    <row r="2443">
      <c r="A2443" s="26">
        <v>44875.63029372685</v>
      </c>
      <c r="B2443" s="20" t="s">
        <v>327</v>
      </c>
      <c r="C2443" s="20">
        <v>104.0</v>
      </c>
      <c r="D2443" s="20" t="s">
        <v>76</v>
      </c>
      <c r="E2443" s="20" t="s">
        <v>96</v>
      </c>
      <c r="F2443" s="20" t="s">
        <v>455</v>
      </c>
    </row>
    <row r="2444">
      <c r="A2444" s="26">
        <v>44875.63093737268</v>
      </c>
      <c r="B2444" s="20" t="s">
        <v>327</v>
      </c>
      <c r="C2444" s="20">
        <v>1057.0</v>
      </c>
      <c r="D2444" s="20" t="s">
        <v>40</v>
      </c>
      <c r="E2444" s="20" t="s">
        <v>96</v>
      </c>
      <c r="F2444" s="20" t="s">
        <v>455</v>
      </c>
    </row>
    <row r="2445">
      <c r="A2445" s="26">
        <v>44875.631509074075</v>
      </c>
      <c r="B2445" s="20" t="s">
        <v>327</v>
      </c>
      <c r="C2445" s="20">
        <v>190.0</v>
      </c>
      <c r="D2445" s="20" t="s">
        <v>36</v>
      </c>
      <c r="E2445" s="20" t="s">
        <v>589</v>
      </c>
      <c r="F2445" s="20" t="s">
        <v>455</v>
      </c>
    </row>
    <row r="2446">
      <c r="A2446" s="26">
        <v>44875.632074189816</v>
      </c>
      <c r="B2446" s="20" t="s">
        <v>327</v>
      </c>
      <c r="C2446" s="20">
        <v>1109.0</v>
      </c>
      <c r="D2446" s="20" t="s">
        <v>40</v>
      </c>
      <c r="E2446" s="20" t="s">
        <v>589</v>
      </c>
      <c r="F2446" s="20" t="s">
        <v>455</v>
      </c>
    </row>
    <row r="2447">
      <c r="A2447" s="26">
        <v>44875.63262297453</v>
      </c>
      <c r="B2447" s="20" t="s">
        <v>327</v>
      </c>
      <c r="C2447" s="20">
        <v>75.0</v>
      </c>
      <c r="D2447" s="20" t="s">
        <v>76</v>
      </c>
      <c r="E2447" s="20" t="s">
        <v>589</v>
      </c>
      <c r="F2447" s="20" t="s">
        <v>455</v>
      </c>
    </row>
    <row r="2448">
      <c r="A2448" s="26">
        <v>44875.63337539352</v>
      </c>
      <c r="B2448" s="20" t="s">
        <v>327</v>
      </c>
      <c r="C2448" s="20">
        <v>345.0</v>
      </c>
      <c r="D2448" s="20" t="s">
        <v>665</v>
      </c>
      <c r="E2448" s="20" t="s">
        <v>589</v>
      </c>
      <c r="F2448" s="20" t="s">
        <v>455</v>
      </c>
    </row>
    <row r="2449">
      <c r="A2449" s="26">
        <v>44875.63404923611</v>
      </c>
      <c r="B2449" s="20" t="s">
        <v>327</v>
      </c>
      <c r="C2449" s="20">
        <v>984.0</v>
      </c>
      <c r="D2449" s="20" t="s">
        <v>665</v>
      </c>
      <c r="E2449" s="20" t="s">
        <v>589</v>
      </c>
      <c r="F2449" s="20" t="s">
        <v>455</v>
      </c>
    </row>
    <row r="2450">
      <c r="A2450" s="26">
        <v>44875.63593001157</v>
      </c>
      <c r="B2450" s="20" t="s">
        <v>327</v>
      </c>
      <c r="C2450" s="20">
        <v>1236.0</v>
      </c>
      <c r="D2450" s="20" t="s">
        <v>585</v>
      </c>
      <c r="E2450" s="20" t="s">
        <v>678</v>
      </c>
      <c r="F2450" s="20" t="s">
        <v>455</v>
      </c>
    </row>
    <row r="2451">
      <c r="A2451" s="26">
        <v>44875.6670980787</v>
      </c>
      <c r="B2451" s="20" t="s">
        <v>679</v>
      </c>
      <c r="C2451" s="20">
        <v>838.0</v>
      </c>
      <c r="D2451" s="20" t="s">
        <v>656</v>
      </c>
      <c r="E2451" s="20" t="s">
        <v>75</v>
      </c>
      <c r="F2451" s="20" t="s">
        <v>590</v>
      </c>
    </row>
    <row r="2452">
      <c r="A2452" s="26">
        <v>44875.66761820602</v>
      </c>
      <c r="B2452" s="20" t="s">
        <v>679</v>
      </c>
      <c r="C2452" s="20">
        <v>1365.0</v>
      </c>
      <c r="D2452" s="20" t="s">
        <v>40</v>
      </c>
      <c r="E2452" s="20" t="s">
        <v>75</v>
      </c>
      <c r="F2452" s="20" t="s">
        <v>590</v>
      </c>
    </row>
    <row r="2453">
      <c r="A2453" s="26">
        <v>44875.66785637732</v>
      </c>
      <c r="B2453" s="20" t="s">
        <v>679</v>
      </c>
      <c r="C2453" s="20">
        <v>70.0</v>
      </c>
      <c r="D2453" s="20" t="s">
        <v>588</v>
      </c>
      <c r="E2453" s="20" t="s">
        <v>75</v>
      </c>
      <c r="F2453" s="20" t="s">
        <v>680</v>
      </c>
    </row>
    <row r="2454">
      <c r="A2454" s="26">
        <v>44875.66829663195</v>
      </c>
      <c r="B2454" s="20" t="s">
        <v>679</v>
      </c>
      <c r="C2454" s="20">
        <v>979.0</v>
      </c>
      <c r="D2454" s="20" t="s">
        <v>656</v>
      </c>
      <c r="E2454" s="20" t="s">
        <v>75</v>
      </c>
      <c r="F2454" s="20" t="s">
        <v>680</v>
      </c>
    </row>
    <row r="2455">
      <c r="A2455" s="26">
        <v>44875.66867511574</v>
      </c>
      <c r="B2455" s="20" t="s">
        <v>679</v>
      </c>
      <c r="C2455" s="20">
        <v>1080.0</v>
      </c>
      <c r="D2455" s="20" t="s">
        <v>40</v>
      </c>
      <c r="E2455" s="20" t="s">
        <v>75</v>
      </c>
      <c r="F2455" s="20" t="s">
        <v>680</v>
      </c>
    </row>
    <row r="2456">
      <c r="A2456" s="26">
        <v>44875.66896225694</v>
      </c>
      <c r="B2456" s="20" t="s">
        <v>679</v>
      </c>
      <c r="C2456" s="20">
        <v>478.0</v>
      </c>
      <c r="D2456" s="20" t="s">
        <v>404</v>
      </c>
      <c r="E2456" s="20" t="s">
        <v>75</v>
      </c>
      <c r="F2456" s="20" t="s">
        <v>590</v>
      </c>
    </row>
    <row r="2457">
      <c r="A2457" s="26">
        <v>44875.669210266205</v>
      </c>
      <c r="B2457" s="20" t="s">
        <v>679</v>
      </c>
      <c r="C2457" s="20">
        <v>60.0</v>
      </c>
      <c r="D2457" s="20" t="s">
        <v>76</v>
      </c>
      <c r="E2457" s="20" t="s">
        <v>75</v>
      </c>
      <c r="F2457" s="20" t="s">
        <v>680</v>
      </c>
    </row>
    <row r="2458">
      <c r="A2458" s="26">
        <v>44875.68837253472</v>
      </c>
      <c r="B2458" s="20" t="s">
        <v>556</v>
      </c>
      <c r="C2458" s="20">
        <v>294.0</v>
      </c>
      <c r="D2458" s="20" t="s">
        <v>40</v>
      </c>
      <c r="E2458" s="20" t="s">
        <v>75</v>
      </c>
      <c r="F2458" s="20" t="s">
        <v>455</v>
      </c>
    </row>
    <row r="2459">
      <c r="A2459" s="26">
        <v>44875.68932631944</v>
      </c>
      <c r="B2459" s="20" t="s">
        <v>345</v>
      </c>
      <c r="C2459" s="20">
        <v>-333.0</v>
      </c>
      <c r="D2459" s="20" t="s">
        <v>40</v>
      </c>
      <c r="E2459" s="20" t="s">
        <v>681</v>
      </c>
      <c r="F2459" s="20" t="s">
        <v>455</v>
      </c>
    </row>
    <row r="2460">
      <c r="A2460" s="26">
        <v>44875.68956060185</v>
      </c>
      <c r="B2460" s="20" t="s">
        <v>345</v>
      </c>
      <c r="C2460" s="20">
        <v>-294.0</v>
      </c>
      <c r="D2460" s="20" t="s">
        <v>40</v>
      </c>
      <c r="E2460" s="20" t="s">
        <v>681</v>
      </c>
      <c r="F2460" s="20" t="s">
        <v>455</v>
      </c>
    </row>
    <row r="2461">
      <c r="A2461" s="26">
        <v>44876.70218270834</v>
      </c>
      <c r="B2461" s="20" t="s">
        <v>576</v>
      </c>
      <c r="C2461" s="20">
        <v>200.0</v>
      </c>
      <c r="D2461" s="20" t="s">
        <v>587</v>
      </c>
      <c r="E2461" s="20" t="s">
        <v>60</v>
      </c>
      <c r="F2461" s="20" t="s">
        <v>455</v>
      </c>
    </row>
    <row r="2462">
      <c r="A2462" s="26">
        <v>44877.55682061343</v>
      </c>
      <c r="B2462" s="20" t="s">
        <v>366</v>
      </c>
      <c r="C2462" s="20">
        <v>429.0</v>
      </c>
      <c r="D2462" s="20" t="s">
        <v>602</v>
      </c>
      <c r="E2462" s="20" t="s">
        <v>75</v>
      </c>
      <c r="F2462" s="20" t="s">
        <v>455</v>
      </c>
    </row>
    <row r="2463">
      <c r="A2463" s="26">
        <v>44877.55861148148</v>
      </c>
      <c r="B2463" s="20" t="s">
        <v>366</v>
      </c>
      <c r="C2463" s="20">
        <v>387.0</v>
      </c>
      <c r="D2463" s="20" t="s">
        <v>602</v>
      </c>
      <c r="E2463" s="20" t="s">
        <v>75</v>
      </c>
      <c r="F2463" s="20" t="s">
        <v>455</v>
      </c>
    </row>
    <row r="2464">
      <c r="A2464" s="26">
        <v>44877.5595546875</v>
      </c>
      <c r="B2464" s="20" t="s">
        <v>366</v>
      </c>
      <c r="C2464" s="20">
        <v>416.0</v>
      </c>
      <c r="D2464" s="20" t="s">
        <v>602</v>
      </c>
      <c r="E2464" s="20" t="s">
        <v>75</v>
      </c>
      <c r="F2464" s="20" t="s">
        <v>455</v>
      </c>
    </row>
    <row r="2465">
      <c r="A2465" s="26">
        <v>44877.561709270834</v>
      </c>
      <c r="B2465" s="20" t="s">
        <v>366</v>
      </c>
      <c r="C2465" s="20">
        <v>460.0</v>
      </c>
      <c r="D2465" s="20" t="s">
        <v>40</v>
      </c>
      <c r="E2465" s="20" t="s">
        <v>75</v>
      </c>
      <c r="F2465" s="20" t="s">
        <v>455</v>
      </c>
    </row>
    <row r="2466">
      <c r="A2466" s="26">
        <v>44877.56237665509</v>
      </c>
      <c r="B2466" s="20" t="s">
        <v>366</v>
      </c>
      <c r="C2466" s="20">
        <v>481.0</v>
      </c>
      <c r="D2466" s="20" t="s">
        <v>40</v>
      </c>
      <c r="E2466" s="20" t="s">
        <v>75</v>
      </c>
      <c r="F2466" s="20" t="s">
        <v>455</v>
      </c>
    </row>
    <row r="2467">
      <c r="A2467" s="26">
        <v>44877.56277372685</v>
      </c>
      <c r="B2467" s="20" t="s">
        <v>366</v>
      </c>
      <c r="C2467" s="20">
        <v>449.0</v>
      </c>
      <c r="D2467" s="20" t="s">
        <v>40</v>
      </c>
      <c r="E2467" s="20" t="s">
        <v>75</v>
      </c>
      <c r="F2467" s="20" t="s">
        <v>455</v>
      </c>
    </row>
    <row r="2468">
      <c r="A2468" s="26">
        <v>44877.608119780096</v>
      </c>
      <c r="B2468" s="20" t="s">
        <v>55</v>
      </c>
      <c r="C2468" s="20">
        <v>53.0</v>
      </c>
      <c r="D2468" s="20" t="s">
        <v>76</v>
      </c>
      <c r="E2468" s="20" t="s">
        <v>75</v>
      </c>
      <c r="F2468" s="20" t="s">
        <v>455</v>
      </c>
    </row>
    <row r="2469">
      <c r="A2469" s="26">
        <v>44877.617373229165</v>
      </c>
      <c r="B2469" s="20" t="s">
        <v>300</v>
      </c>
      <c r="C2469" s="20">
        <v>184.0</v>
      </c>
      <c r="D2469" s="20" t="s">
        <v>593</v>
      </c>
      <c r="E2469" s="20" t="s">
        <v>75</v>
      </c>
      <c r="F2469" s="20" t="s">
        <v>682</v>
      </c>
    </row>
    <row r="2470">
      <c r="A2470" s="26">
        <v>44877.66694070602</v>
      </c>
      <c r="B2470" s="20" t="s">
        <v>366</v>
      </c>
      <c r="C2470" s="20">
        <v>-275.0</v>
      </c>
      <c r="D2470" s="20" t="s">
        <v>40</v>
      </c>
      <c r="E2470" s="20" t="s">
        <v>75</v>
      </c>
      <c r="F2470" s="20" t="s">
        <v>455</v>
      </c>
    </row>
    <row r="2471">
      <c r="A2471" s="26">
        <v>44877.66735390046</v>
      </c>
      <c r="B2471" s="20" t="s">
        <v>366</v>
      </c>
      <c r="C2471" s="20">
        <v>-180.0</v>
      </c>
      <c r="D2471" s="20" t="s">
        <v>40</v>
      </c>
      <c r="E2471" s="20" t="s">
        <v>75</v>
      </c>
      <c r="F2471" s="20" t="s">
        <v>455</v>
      </c>
    </row>
    <row r="2472">
      <c r="A2472" s="26">
        <v>44877.67093918982</v>
      </c>
      <c r="B2472" s="20" t="s">
        <v>366</v>
      </c>
      <c r="C2472" s="20">
        <v>-138.0</v>
      </c>
      <c r="D2472" s="20" t="s">
        <v>40</v>
      </c>
      <c r="E2472" s="20" t="s">
        <v>75</v>
      </c>
      <c r="F2472" s="20" t="s">
        <v>455</v>
      </c>
    </row>
    <row r="2473">
      <c r="A2473" s="26">
        <v>44877.671651006945</v>
      </c>
      <c r="B2473" s="20" t="s">
        <v>366</v>
      </c>
      <c r="C2473" s="20">
        <v>-791.0</v>
      </c>
      <c r="D2473" s="20" t="s">
        <v>40</v>
      </c>
      <c r="E2473" s="20" t="s">
        <v>75</v>
      </c>
      <c r="F2473" s="20" t="s">
        <v>455</v>
      </c>
    </row>
    <row r="2474">
      <c r="A2474" s="26">
        <v>44877.67312697916</v>
      </c>
      <c r="B2474" s="20" t="s">
        <v>366</v>
      </c>
      <c r="C2474" s="20">
        <v>-48.0</v>
      </c>
      <c r="D2474" s="20" t="s">
        <v>76</v>
      </c>
      <c r="E2474" s="20" t="s">
        <v>75</v>
      </c>
      <c r="F2474" s="20" t="s">
        <v>455</v>
      </c>
    </row>
    <row r="2475">
      <c r="A2475" s="26">
        <v>44877.673589467595</v>
      </c>
      <c r="B2475" s="20" t="s">
        <v>366</v>
      </c>
      <c r="C2475" s="20">
        <v>-70.0</v>
      </c>
      <c r="D2475" s="20" t="s">
        <v>40</v>
      </c>
      <c r="E2475" s="20" t="s">
        <v>75</v>
      </c>
      <c r="F2475" s="20" t="s">
        <v>455</v>
      </c>
    </row>
    <row r="2476">
      <c r="A2476" s="26">
        <v>44877.675032893516</v>
      </c>
      <c r="B2476" s="20" t="s">
        <v>366</v>
      </c>
      <c r="C2476" s="20">
        <v>-334.0</v>
      </c>
      <c r="D2476" s="20" t="s">
        <v>675</v>
      </c>
      <c r="E2476" s="20" t="s">
        <v>75</v>
      </c>
      <c r="F2476" s="20" t="s">
        <v>455</v>
      </c>
    </row>
    <row r="2477">
      <c r="A2477" s="26">
        <v>44877.6778175</v>
      </c>
      <c r="B2477" s="20" t="s">
        <v>366</v>
      </c>
      <c r="C2477" s="20">
        <v>-390.0</v>
      </c>
      <c r="D2477" s="20" t="s">
        <v>671</v>
      </c>
      <c r="E2477" s="20" t="s">
        <v>75</v>
      </c>
      <c r="F2477" s="20" t="s">
        <v>455</v>
      </c>
    </row>
    <row r="2478">
      <c r="A2478" s="26">
        <v>44877.680478298615</v>
      </c>
      <c r="C2478" s="20">
        <v>-146.0</v>
      </c>
      <c r="D2478" s="20" t="s">
        <v>76</v>
      </c>
      <c r="E2478" s="20" t="s">
        <v>75</v>
      </c>
      <c r="F2478" s="20" t="s">
        <v>455</v>
      </c>
    </row>
    <row r="2479">
      <c r="A2479" s="26">
        <v>44878.515730115745</v>
      </c>
      <c r="B2479" s="20" t="s">
        <v>193</v>
      </c>
      <c r="C2479" s="20">
        <v>466.0</v>
      </c>
      <c r="D2479" s="20" t="s">
        <v>665</v>
      </c>
      <c r="E2479" s="20" t="s">
        <v>101</v>
      </c>
      <c r="F2479" s="20" t="s">
        <v>516</v>
      </c>
    </row>
    <row r="2480">
      <c r="A2480" s="26">
        <v>44878.516374687504</v>
      </c>
      <c r="B2480" s="20" t="s">
        <v>191</v>
      </c>
      <c r="C2480" s="20">
        <v>48.0</v>
      </c>
      <c r="D2480" s="20" t="s">
        <v>76</v>
      </c>
      <c r="E2480" s="20" t="s">
        <v>101</v>
      </c>
      <c r="F2480" s="20" t="s">
        <v>516</v>
      </c>
    </row>
    <row r="2481">
      <c r="A2481" s="26">
        <v>44878.523037743056</v>
      </c>
      <c r="B2481" s="20" t="s">
        <v>191</v>
      </c>
      <c r="C2481" s="20">
        <v>81.0</v>
      </c>
      <c r="D2481" s="20" t="s">
        <v>40</v>
      </c>
      <c r="E2481" s="20" t="s">
        <v>101</v>
      </c>
      <c r="F2481" s="20" t="s">
        <v>516</v>
      </c>
    </row>
    <row r="2482">
      <c r="A2482" s="28">
        <v>44878.0</v>
      </c>
      <c r="B2482" s="20" t="s">
        <v>345</v>
      </c>
      <c r="C2482" s="20">
        <v>322.0</v>
      </c>
      <c r="D2482" s="20" t="s">
        <v>585</v>
      </c>
      <c r="E2482" s="20" t="s">
        <v>50</v>
      </c>
      <c r="F2482" s="20" t="s">
        <v>590</v>
      </c>
    </row>
    <row r="2483">
      <c r="A2483" s="28">
        <v>44878.0</v>
      </c>
      <c r="B2483" s="20" t="s">
        <v>345</v>
      </c>
      <c r="C2483" s="20">
        <v>160.0</v>
      </c>
      <c r="D2483" s="20" t="s">
        <v>36</v>
      </c>
      <c r="E2483" s="20" t="s">
        <v>101</v>
      </c>
      <c r="F2483" s="20" t="s">
        <v>590</v>
      </c>
    </row>
    <row r="2484">
      <c r="A2484" s="28">
        <v>44878.0</v>
      </c>
      <c r="B2484" s="20" t="s">
        <v>345</v>
      </c>
      <c r="C2484" s="20">
        <v>74.0</v>
      </c>
      <c r="D2484" s="20" t="s">
        <v>76</v>
      </c>
      <c r="E2484" s="20" t="s">
        <v>101</v>
      </c>
      <c r="F2484" s="20" t="s">
        <v>590</v>
      </c>
    </row>
    <row r="2485">
      <c r="A2485" s="28">
        <v>44878.0</v>
      </c>
      <c r="B2485" s="20" t="s">
        <v>345</v>
      </c>
      <c r="C2485" s="20">
        <v>148.0</v>
      </c>
      <c r="D2485" s="20" t="s">
        <v>36</v>
      </c>
      <c r="E2485" s="20" t="s">
        <v>101</v>
      </c>
      <c r="F2485" s="20" t="s">
        <v>590</v>
      </c>
    </row>
    <row r="2486">
      <c r="A2486" s="28">
        <v>44878.0</v>
      </c>
      <c r="B2486" s="20" t="s">
        <v>345</v>
      </c>
      <c r="C2486" s="20">
        <v>86.0</v>
      </c>
      <c r="D2486" s="20" t="s">
        <v>585</v>
      </c>
      <c r="E2486" s="20" t="s">
        <v>667</v>
      </c>
      <c r="F2486" s="20" t="s">
        <v>590</v>
      </c>
    </row>
    <row r="2487">
      <c r="A2487" s="28">
        <v>44878.0</v>
      </c>
      <c r="B2487" s="20" t="s">
        <v>345</v>
      </c>
      <c r="C2487" s="20">
        <v>42.0</v>
      </c>
      <c r="D2487" s="20" t="s">
        <v>404</v>
      </c>
      <c r="E2487" s="20" t="s">
        <v>667</v>
      </c>
      <c r="F2487" s="20" t="s">
        <v>590</v>
      </c>
    </row>
    <row r="2488">
      <c r="A2488" s="26">
        <v>44878.65516521991</v>
      </c>
      <c r="B2488" s="20" t="s">
        <v>683</v>
      </c>
      <c r="C2488" s="20">
        <v>1159.0</v>
      </c>
      <c r="D2488" s="20" t="s">
        <v>585</v>
      </c>
      <c r="E2488" s="20" t="s">
        <v>65</v>
      </c>
      <c r="F2488" s="20" t="s">
        <v>449</v>
      </c>
    </row>
    <row r="2489">
      <c r="A2489" s="26">
        <v>44880.62486859954</v>
      </c>
      <c r="B2489" s="20" t="s">
        <v>614</v>
      </c>
      <c r="C2489" s="20">
        <v>1490.0</v>
      </c>
      <c r="D2489" s="20" t="s">
        <v>684</v>
      </c>
      <c r="E2489" s="20" t="s">
        <v>229</v>
      </c>
      <c r="F2489" s="20" t="s">
        <v>590</v>
      </c>
    </row>
    <row r="2490">
      <c r="A2490" s="26">
        <v>44881.79287081018</v>
      </c>
      <c r="B2490" s="20" t="s">
        <v>345</v>
      </c>
      <c r="C2490" s="20">
        <v>300.0</v>
      </c>
      <c r="D2490" s="20" t="s">
        <v>656</v>
      </c>
      <c r="E2490" s="20" t="s">
        <v>685</v>
      </c>
      <c r="F2490" s="20" t="s">
        <v>455</v>
      </c>
    </row>
    <row r="2491">
      <c r="A2491" s="26">
        <v>44881.7931984375</v>
      </c>
      <c r="B2491" s="20" t="s">
        <v>345</v>
      </c>
      <c r="C2491" s="20">
        <v>476.0</v>
      </c>
      <c r="D2491" s="20" t="s">
        <v>656</v>
      </c>
      <c r="E2491" s="20" t="s">
        <v>685</v>
      </c>
      <c r="F2491" s="20" t="s">
        <v>455</v>
      </c>
    </row>
    <row r="2492">
      <c r="A2492" s="26">
        <v>44881.793530254625</v>
      </c>
      <c r="B2492" s="20" t="s">
        <v>345</v>
      </c>
      <c r="C2492" s="20">
        <v>50.0</v>
      </c>
      <c r="D2492" s="20" t="s">
        <v>656</v>
      </c>
      <c r="E2492" s="20" t="s">
        <v>177</v>
      </c>
      <c r="F2492" s="20" t="s">
        <v>455</v>
      </c>
    </row>
    <row r="2493">
      <c r="A2493" s="26">
        <v>44881.79374361111</v>
      </c>
      <c r="B2493" s="20" t="s">
        <v>345</v>
      </c>
      <c r="C2493" s="20">
        <v>70.0</v>
      </c>
      <c r="D2493" s="20" t="s">
        <v>656</v>
      </c>
      <c r="E2493" s="20" t="s">
        <v>177</v>
      </c>
      <c r="F2493" s="20" t="s">
        <v>455</v>
      </c>
    </row>
    <row r="2494">
      <c r="A2494" s="28">
        <v>44882.0</v>
      </c>
      <c r="B2494" s="20" t="s">
        <v>345</v>
      </c>
      <c r="C2494" s="20">
        <v>205.0</v>
      </c>
      <c r="D2494" s="20" t="s">
        <v>656</v>
      </c>
      <c r="E2494" s="20" t="s">
        <v>643</v>
      </c>
      <c r="F2494" s="20" t="s">
        <v>590</v>
      </c>
    </row>
    <row r="2495">
      <c r="A2495" s="28">
        <v>44882.0</v>
      </c>
      <c r="B2495" s="20" t="s">
        <v>345</v>
      </c>
      <c r="C2495" s="20">
        <v>144.0</v>
      </c>
      <c r="D2495" s="20" t="s">
        <v>602</v>
      </c>
      <c r="E2495" s="20" t="s">
        <v>643</v>
      </c>
      <c r="F2495" s="20" t="s">
        <v>590</v>
      </c>
    </row>
    <row r="2496">
      <c r="A2496" s="28">
        <v>44882.0</v>
      </c>
      <c r="B2496" s="20" t="s">
        <v>345</v>
      </c>
      <c r="C2496" s="20">
        <v>72.0</v>
      </c>
      <c r="D2496" s="20" t="s">
        <v>36</v>
      </c>
      <c r="E2496" s="20" t="s">
        <v>643</v>
      </c>
      <c r="F2496" s="20" t="s">
        <v>590</v>
      </c>
    </row>
    <row r="2497">
      <c r="A2497" s="26">
        <v>44882.65798305556</v>
      </c>
      <c r="B2497" s="20" t="s">
        <v>163</v>
      </c>
      <c r="C2497" s="20">
        <v>240.0</v>
      </c>
      <c r="D2497" s="20" t="s">
        <v>665</v>
      </c>
      <c r="E2497" s="20" t="s">
        <v>686</v>
      </c>
      <c r="F2497" s="20" t="s">
        <v>455</v>
      </c>
    </row>
    <row r="2498">
      <c r="A2498" s="26">
        <v>44883.61899530093</v>
      </c>
      <c r="B2498" s="20" t="s">
        <v>366</v>
      </c>
      <c r="C2498" s="20">
        <v>1212.0</v>
      </c>
      <c r="D2498" s="20" t="s">
        <v>671</v>
      </c>
      <c r="E2498" s="20" t="s">
        <v>589</v>
      </c>
      <c r="F2498" s="20" t="s">
        <v>455</v>
      </c>
    </row>
    <row r="2499">
      <c r="A2499" s="26">
        <v>44883.620070324076</v>
      </c>
      <c r="B2499" s="20" t="s">
        <v>366</v>
      </c>
      <c r="C2499" s="20">
        <v>1244.0</v>
      </c>
      <c r="D2499" s="20" t="s">
        <v>671</v>
      </c>
      <c r="E2499" s="20" t="s">
        <v>96</v>
      </c>
      <c r="F2499" s="20" t="s">
        <v>590</v>
      </c>
    </row>
    <row r="2500">
      <c r="A2500" s="26">
        <v>44883.62088631945</v>
      </c>
      <c r="B2500" s="20" t="s">
        <v>366</v>
      </c>
      <c r="C2500" s="20">
        <v>340.0</v>
      </c>
      <c r="D2500" s="20" t="s">
        <v>40</v>
      </c>
      <c r="E2500" s="20" t="s">
        <v>96</v>
      </c>
      <c r="F2500" s="20" t="s">
        <v>455</v>
      </c>
    </row>
    <row r="2501">
      <c r="A2501" s="26">
        <v>44883.621435775465</v>
      </c>
      <c r="B2501" s="20" t="s">
        <v>366</v>
      </c>
      <c r="C2501" s="20">
        <v>268.0</v>
      </c>
      <c r="D2501" s="20" t="s">
        <v>40</v>
      </c>
      <c r="E2501" s="20" t="s">
        <v>589</v>
      </c>
      <c r="F2501" s="20" t="s">
        <v>455</v>
      </c>
    </row>
    <row r="2502">
      <c r="A2502" s="26">
        <v>44883.622127939816</v>
      </c>
      <c r="B2502" s="20" t="s">
        <v>366</v>
      </c>
      <c r="C2502" s="20">
        <v>390.0</v>
      </c>
      <c r="D2502" s="20" t="s">
        <v>602</v>
      </c>
      <c r="E2502" s="20" t="s">
        <v>589</v>
      </c>
      <c r="F2502" s="20" t="s">
        <v>455</v>
      </c>
    </row>
    <row r="2503">
      <c r="A2503" s="26">
        <v>44883.622795243056</v>
      </c>
      <c r="B2503" s="20" t="s">
        <v>366</v>
      </c>
      <c r="C2503" s="20">
        <v>440.0</v>
      </c>
      <c r="D2503" s="20" t="s">
        <v>602</v>
      </c>
      <c r="E2503" s="20" t="s">
        <v>96</v>
      </c>
      <c r="F2503" s="20" t="s">
        <v>455</v>
      </c>
    </row>
    <row r="2504">
      <c r="A2504" s="26">
        <v>44883.6245477662</v>
      </c>
      <c r="B2504" s="20" t="s">
        <v>366</v>
      </c>
      <c r="C2504" s="20">
        <v>1151.0</v>
      </c>
      <c r="D2504" s="20" t="s">
        <v>671</v>
      </c>
      <c r="E2504" s="20" t="s">
        <v>171</v>
      </c>
      <c r="F2504" s="20" t="s">
        <v>455</v>
      </c>
    </row>
    <row r="2505">
      <c r="A2505" s="26">
        <v>44883.6253334375</v>
      </c>
      <c r="B2505" s="20" t="s">
        <v>366</v>
      </c>
      <c r="C2505" s="20">
        <v>936.0</v>
      </c>
      <c r="D2505" s="20" t="s">
        <v>687</v>
      </c>
      <c r="E2505" s="20" t="s">
        <v>171</v>
      </c>
      <c r="F2505" s="20" t="s">
        <v>455</v>
      </c>
    </row>
    <row r="2506">
      <c r="A2506" s="26">
        <v>44883.62588453703</v>
      </c>
      <c r="B2506" s="20" t="s">
        <v>366</v>
      </c>
      <c r="C2506" s="20">
        <v>291.0</v>
      </c>
      <c r="D2506" s="20" t="s">
        <v>602</v>
      </c>
      <c r="E2506" s="20" t="s">
        <v>171</v>
      </c>
      <c r="F2506" s="20" t="s">
        <v>455</v>
      </c>
    </row>
    <row r="2507">
      <c r="A2507" s="26">
        <v>44883.70423130787</v>
      </c>
      <c r="B2507" s="20" t="s">
        <v>576</v>
      </c>
      <c r="C2507" s="20">
        <v>164.0</v>
      </c>
      <c r="D2507" s="20" t="s">
        <v>587</v>
      </c>
      <c r="E2507" s="20" t="s">
        <v>60</v>
      </c>
      <c r="F2507" s="20" t="s">
        <v>455</v>
      </c>
    </row>
    <row r="2508">
      <c r="A2508" s="28">
        <v>44884.0</v>
      </c>
      <c r="B2508" s="20" t="s">
        <v>345</v>
      </c>
      <c r="C2508" s="20">
        <v>491.0</v>
      </c>
      <c r="D2508" s="20" t="s">
        <v>40</v>
      </c>
      <c r="E2508" s="20" t="s">
        <v>75</v>
      </c>
      <c r="F2508" s="20" t="s">
        <v>590</v>
      </c>
    </row>
    <row r="2509">
      <c r="A2509" s="28">
        <v>44884.0</v>
      </c>
      <c r="B2509" s="20" t="s">
        <v>345</v>
      </c>
      <c r="C2509" s="20">
        <v>695.0</v>
      </c>
      <c r="D2509" s="20" t="s">
        <v>40</v>
      </c>
      <c r="E2509" s="20" t="s">
        <v>75</v>
      </c>
      <c r="F2509" s="20" t="s">
        <v>590</v>
      </c>
    </row>
    <row r="2510">
      <c r="A2510" s="28">
        <v>44884.0</v>
      </c>
      <c r="B2510" s="20" t="s">
        <v>345</v>
      </c>
      <c r="C2510" s="20">
        <v>876.0</v>
      </c>
      <c r="D2510" s="20" t="s">
        <v>602</v>
      </c>
      <c r="E2510" s="20" t="s">
        <v>75</v>
      </c>
      <c r="F2510" s="20" t="s">
        <v>590</v>
      </c>
    </row>
    <row r="2511">
      <c r="A2511" s="26">
        <v>44884.7019325463</v>
      </c>
      <c r="B2511" s="20" t="s">
        <v>345</v>
      </c>
      <c r="C2511" s="20">
        <v>1460.0</v>
      </c>
      <c r="D2511" s="20" t="s">
        <v>40</v>
      </c>
      <c r="E2511" s="20" t="s">
        <v>75</v>
      </c>
      <c r="F2511" s="20" t="s">
        <v>455</v>
      </c>
    </row>
    <row r="2512">
      <c r="A2512" s="26">
        <v>44884.70270357639</v>
      </c>
      <c r="B2512" s="20" t="s">
        <v>345</v>
      </c>
      <c r="C2512" s="20">
        <v>1234.0</v>
      </c>
      <c r="D2512" s="20" t="s">
        <v>656</v>
      </c>
      <c r="E2512" s="20" t="s">
        <v>75</v>
      </c>
      <c r="F2512" s="20" t="s">
        <v>455</v>
      </c>
    </row>
    <row r="2513">
      <c r="A2513" s="26">
        <v>44884.70292038194</v>
      </c>
      <c r="B2513" s="20" t="s">
        <v>345</v>
      </c>
      <c r="C2513" s="20">
        <v>964.0</v>
      </c>
      <c r="D2513" s="20" t="s">
        <v>656</v>
      </c>
      <c r="E2513" s="20" t="s">
        <v>75</v>
      </c>
      <c r="F2513" s="20" t="s">
        <v>455</v>
      </c>
    </row>
    <row r="2514">
      <c r="A2514" s="26">
        <v>44884.70319460648</v>
      </c>
      <c r="B2514" s="20" t="s">
        <v>345</v>
      </c>
      <c r="C2514" s="20">
        <v>87.0</v>
      </c>
      <c r="D2514" s="20" t="s">
        <v>588</v>
      </c>
      <c r="E2514" s="20" t="s">
        <v>75</v>
      </c>
      <c r="F2514" s="20" t="s">
        <v>455</v>
      </c>
    </row>
    <row r="2515">
      <c r="A2515" s="26">
        <v>44884.70338057871</v>
      </c>
      <c r="B2515" s="20" t="s">
        <v>345</v>
      </c>
      <c r="C2515" s="20">
        <v>171.0</v>
      </c>
      <c r="D2515" s="20" t="s">
        <v>40</v>
      </c>
      <c r="E2515" s="20" t="s">
        <v>75</v>
      </c>
      <c r="F2515" s="20" t="s">
        <v>455</v>
      </c>
    </row>
    <row r="2516">
      <c r="A2516" s="26">
        <v>44884.71498001157</v>
      </c>
      <c r="B2516" s="20" t="s">
        <v>345</v>
      </c>
      <c r="C2516" s="20">
        <v>307.0</v>
      </c>
      <c r="D2516" s="20" t="s">
        <v>40</v>
      </c>
      <c r="E2516" s="20" t="s">
        <v>75</v>
      </c>
      <c r="F2516" s="20" t="s">
        <v>455</v>
      </c>
    </row>
    <row r="2517">
      <c r="A2517" s="26">
        <v>44884.71568188658</v>
      </c>
      <c r="B2517" s="20" t="s">
        <v>345</v>
      </c>
      <c r="C2517" s="20">
        <v>620.0</v>
      </c>
      <c r="D2517" s="20" t="s">
        <v>40</v>
      </c>
      <c r="E2517" s="20" t="s">
        <v>75</v>
      </c>
      <c r="F2517" s="20" t="s">
        <v>455</v>
      </c>
    </row>
    <row r="2518">
      <c r="A2518" s="26">
        <v>44884.71594734954</v>
      </c>
      <c r="B2518" s="20" t="s">
        <v>345</v>
      </c>
      <c r="C2518" s="20">
        <v>108.0</v>
      </c>
      <c r="D2518" s="20" t="s">
        <v>76</v>
      </c>
      <c r="E2518" s="20" t="s">
        <v>75</v>
      </c>
      <c r="F2518" s="20" t="s">
        <v>455</v>
      </c>
    </row>
    <row r="2519">
      <c r="A2519" s="26">
        <v>44884.71615673611</v>
      </c>
      <c r="B2519" s="20" t="s">
        <v>345</v>
      </c>
      <c r="C2519" s="20">
        <v>219.0</v>
      </c>
      <c r="D2519" s="20" t="s">
        <v>76</v>
      </c>
      <c r="E2519" s="20" t="s">
        <v>75</v>
      </c>
      <c r="F2519" s="20" t="s">
        <v>455</v>
      </c>
    </row>
    <row r="2520">
      <c r="A2520" s="26">
        <v>44884.716409155095</v>
      </c>
      <c r="B2520" s="20" t="s">
        <v>345</v>
      </c>
      <c r="C2520" s="20">
        <v>1486.0</v>
      </c>
      <c r="D2520" s="20" t="s">
        <v>586</v>
      </c>
      <c r="E2520" s="20" t="s">
        <v>75</v>
      </c>
      <c r="F2520" s="20" t="s">
        <v>455</v>
      </c>
    </row>
    <row r="2521">
      <c r="A2521" s="26">
        <v>44884.716667835644</v>
      </c>
      <c r="B2521" s="20" t="s">
        <v>345</v>
      </c>
      <c r="C2521" s="20">
        <v>1023.0</v>
      </c>
      <c r="D2521" s="20" t="s">
        <v>586</v>
      </c>
      <c r="E2521" s="20" t="s">
        <v>75</v>
      </c>
      <c r="F2521" s="20" t="s">
        <v>455</v>
      </c>
    </row>
    <row r="2522">
      <c r="A2522" s="26">
        <v>44884.71693232639</v>
      </c>
      <c r="B2522" s="20" t="s">
        <v>345</v>
      </c>
      <c r="C2522" s="20">
        <v>241.0</v>
      </c>
      <c r="D2522" s="20" t="s">
        <v>593</v>
      </c>
      <c r="E2522" s="20" t="s">
        <v>75</v>
      </c>
      <c r="F2522" s="20" t="s">
        <v>455</v>
      </c>
    </row>
    <row r="2523">
      <c r="A2523" s="26">
        <v>44884.71715943287</v>
      </c>
      <c r="B2523" s="20" t="s">
        <v>345</v>
      </c>
      <c r="C2523" s="20">
        <v>37.0</v>
      </c>
      <c r="D2523" s="20" t="s">
        <v>593</v>
      </c>
      <c r="E2523" s="20" t="s">
        <v>75</v>
      </c>
      <c r="F2523" s="20" t="s">
        <v>455</v>
      </c>
    </row>
    <row r="2524">
      <c r="A2524" s="26">
        <v>44884.71737810185</v>
      </c>
      <c r="B2524" s="20" t="s">
        <v>345</v>
      </c>
      <c r="C2524" s="20">
        <v>165.0</v>
      </c>
      <c r="D2524" s="20" t="s">
        <v>156</v>
      </c>
      <c r="E2524" s="20" t="s">
        <v>75</v>
      </c>
      <c r="F2524" s="20" t="s">
        <v>455</v>
      </c>
    </row>
    <row r="2525">
      <c r="A2525" s="26">
        <v>44884.71757599537</v>
      </c>
      <c r="B2525" s="20" t="s">
        <v>345</v>
      </c>
      <c r="C2525" s="20">
        <v>262.0</v>
      </c>
      <c r="D2525" s="20" t="s">
        <v>602</v>
      </c>
      <c r="E2525" s="20" t="s">
        <v>75</v>
      </c>
      <c r="F2525" s="20" t="s">
        <v>455</v>
      </c>
    </row>
    <row r="2526">
      <c r="A2526" s="26">
        <v>44884.71790055555</v>
      </c>
      <c r="B2526" s="20" t="s">
        <v>345</v>
      </c>
      <c r="C2526" s="20">
        <v>127.0</v>
      </c>
      <c r="D2526" s="20" t="s">
        <v>40</v>
      </c>
      <c r="E2526" s="20" t="s">
        <v>75</v>
      </c>
      <c r="F2526" s="20" t="s">
        <v>455</v>
      </c>
    </row>
    <row r="2527">
      <c r="A2527" s="28">
        <v>44884.0</v>
      </c>
      <c r="B2527" s="20" t="s">
        <v>345</v>
      </c>
      <c r="C2527" s="20">
        <v>-120.0</v>
      </c>
      <c r="D2527" s="20" t="s">
        <v>40</v>
      </c>
      <c r="E2527" s="20" t="s">
        <v>75</v>
      </c>
      <c r="F2527" s="20" t="s">
        <v>590</v>
      </c>
    </row>
    <row r="2528">
      <c r="A2528" s="26">
        <v>44884.71810244213</v>
      </c>
      <c r="B2528" s="20" t="s">
        <v>345</v>
      </c>
      <c r="C2528" s="20">
        <v>-162.0</v>
      </c>
      <c r="D2528" s="20" t="s">
        <v>40</v>
      </c>
      <c r="E2528" s="20" t="s">
        <v>75</v>
      </c>
      <c r="F2528" s="20" t="s">
        <v>455</v>
      </c>
    </row>
    <row r="2529">
      <c r="A2529" s="26">
        <v>44884.71830822917</v>
      </c>
      <c r="B2529" s="20" t="s">
        <v>345</v>
      </c>
      <c r="C2529" s="20">
        <v>-451.0</v>
      </c>
      <c r="D2529" s="20" t="s">
        <v>40</v>
      </c>
      <c r="E2529" s="20" t="s">
        <v>75</v>
      </c>
      <c r="F2529" s="20" t="s">
        <v>455</v>
      </c>
    </row>
    <row r="2530">
      <c r="A2530" s="26">
        <v>44884.718533148145</v>
      </c>
      <c r="B2530" s="20" t="s">
        <v>345</v>
      </c>
      <c r="C2530" s="20">
        <v>-627.0</v>
      </c>
      <c r="D2530" s="20" t="s">
        <v>656</v>
      </c>
      <c r="E2530" s="20" t="s">
        <v>75</v>
      </c>
      <c r="F2530" s="20" t="s">
        <v>455</v>
      </c>
    </row>
    <row r="2531">
      <c r="A2531" s="26">
        <v>44884.718751203705</v>
      </c>
      <c r="B2531" s="20" t="s">
        <v>345</v>
      </c>
      <c r="C2531" s="20">
        <v>-540.0</v>
      </c>
      <c r="D2531" s="20" t="s">
        <v>656</v>
      </c>
      <c r="E2531" s="20" t="s">
        <v>75</v>
      </c>
      <c r="F2531" s="20" t="s">
        <v>455</v>
      </c>
    </row>
    <row r="2532">
      <c r="A2532" s="26">
        <v>44884.71894276621</v>
      </c>
      <c r="B2532" s="20" t="s">
        <v>345</v>
      </c>
      <c r="C2532" s="20">
        <v>-50.0</v>
      </c>
      <c r="D2532" s="20" t="s">
        <v>76</v>
      </c>
      <c r="E2532" s="20" t="s">
        <v>75</v>
      </c>
      <c r="F2532" s="20" t="s">
        <v>455</v>
      </c>
    </row>
    <row r="2533">
      <c r="A2533" s="26">
        <v>44884.71913660879</v>
      </c>
      <c r="B2533" s="20" t="s">
        <v>345</v>
      </c>
      <c r="C2533" s="20">
        <v>-615.0</v>
      </c>
      <c r="D2533" s="20" t="s">
        <v>586</v>
      </c>
      <c r="E2533" s="20" t="s">
        <v>75</v>
      </c>
      <c r="F2533" s="20" t="s">
        <v>455</v>
      </c>
    </row>
    <row r="2534">
      <c r="A2534" s="26">
        <v>44885.55254266204</v>
      </c>
      <c r="B2534" s="20" t="s">
        <v>345</v>
      </c>
      <c r="C2534" s="20">
        <v>540.0</v>
      </c>
      <c r="D2534" s="20" t="s">
        <v>656</v>
      </c>
      <c r="E2534" s="20" t="s">
        <v>101</v>
      </c>
      <c r="F2534" s="20" t="s">
        <v>455</v>
      </c>
    </row>
    <row r="2535">
      <c r="A2535" s="26">
        <v>44885.552870590276</v>
      </c>
      <c r="B2535" s="20" t="s">
        <v>345</v>
      </c>
      <c r="C2535" s="20">
        <v>627.0</v>
      </c>
      <c r="D2535" s="20" t="s">
        <v>656</v>
      </c>
      <c r="E2535" s="20" t="s">
        <v>101</v>
      </c>
      <c r="F2535" s="20" t="s">
        <v>455</v>
      </c>
    </row>
    <row r="2536">
      <c r="A2536" s="26">
        <v>44885.55310425926</v>
      </c>
      <c r="B2536" s="20" t="s">
        <v>345</v>
      </c>
      <c r="C2536" s="20">
        <v>545.0</v>
      </c>
      <c r="D2536" s="20" t="s">
        <v>40</v>
      </c>
      <c r="E2536" s="20" t="s">
        <v>101</v>
      </c>
      <c r="F2536" s="20" t="s">
        <v>455</v>
      </c>
    </row>
    <row r="2537">
      <c r="A2537" s="26">
        <v>44885.5665693287</v>
      </c>
      <c r="B2537" s="20" t="s">
        <v>345</v>
      </c>
      <c r="C2537" s="20">
        <v>470.0</v>
      </c>
      <c r="D2537" s="20" t="s">
        <v>587</v>
      </c>
      <c r="E2537" s="20" t="s">
        <v>101</v>
      </c>
      <c r="F2537" s="20" t="s">
        <v>455</v>
      </c>
    </row>
    <row r="2538">
      <c r="A2538" s="26">
        <v>44885.56944721065</v>
      </c>
      <c r="B2538" s="20" t="s">
        <v>345</v>
      </c>
      <c r="C2538" s="20">
        <v>205.0</v>
      </c>
      <c r="D2538" s="20" t="s">
        <v>587</v>
      </c>
      <c r="E2538" s="20" t="s">
        <v>50</v>
      </c>
      <c r="F2538" s="20" t="s">
        <v>455</v>
      </c>
    </row>
    <row r="2539">
      <c r="A2539" s="28">
        <v>44885.0</v>
      </c>
      <c r="B2539" s="20" t="s">
        <v>345</v>
      </c>
      <c r="C2539" s="20">
        <v>130.0</v>
      </c>
      <c r="D2539" s="20" t="s">
        <v>40</v>
      </c>
      <c r="E2539" s="20" t="s">
        <v>101</v>
      </c>
      <c r="F2539" s="20" t="s">
        <v>590</v>
      </c>
    </row>
    <row r="2540">
      <c r="A2540" s="26">
        <v>44885.61622115741</v>
      </c>
      <c r="B2540" s="20" t="s">
        <v>683</v>
      </c>
      <c r="C2540" s="20">
        <v>1080.0</v>
      </c>
      <c r="D2540" s="20" t="s">
        <v>585</v>
      </c>
      <c r="E2540" s="20" t="s">
        <v>65</v>
      </c>
      <c r="F2540" s="20" t="s">
        <v>449</v>
      </c>
    </row>
    <row r="2541">
      <c r="A2541" s="26">
        <v>44887.6824772338</v>
      </c>
      <c r="B2541" s="20" t="s">
        <v>345</v>
      </c>
      <c r="C2541" s="20">
        <v>752.0</v>
      </c>
      <c r="D2541" s="20" t="s">
        <v>653</v>
      </c>
      <c r="E2541" s="20" t="s">
        <v>654</v>
      </c>
      <c r="F2541" s="20" t="s">
        <v>455</v>
      </c>
    </row>
    <row r="2542">
      <c r="A2542" s="26">
        <v>44887.684043472225</v>
      </c>
      <c r="B2542" s="20" t="s">
        <v>345</v>
      </c>
      <c r="C2542" s="20">
        <v>698.0</v>
      </c>
      <c r="D2542" s="20" t="s">
        <v>653</v>
      </c>
      <c r="E2542" s="20" t="s">
        <v>654</v>
      </c>
      <c r="F2542" s="20" t="s">
        <v>455</v>
      </c>
    </row>
    <row r="2543">
      <c r="A2543" s="26">
        <v>44887.717587534724</v>
      </c>
      <c r="B2543" s="20" t="s">
        <v>345</v>
      </c>
      <c r="C2543" s="20">
        <v>1310.0</v>
      </c>
      <c r="D2543" s="20" t="s">
        <v>656</v>
      </c>
      <c r="E2543" s="20" t="s">
        <v>598</v>
      </c>
      <c r="F2543" s="20" t="s">
        <v>455</v>
      </c>
    </row>
    <row r="2544">
      <c r="A2544" s="26">
        <v>44887.71787905092</v>
      </c>
      <c r="B2544" s="20" t="s">
        <v>345</v>
      </c>
      <c r="C2544" s="20">
        <v>1008.0</v>
      </c>
      <c r="D2544" s="20" t="s">
        <v>656</v>
      </c>
      <c r="E2544" s="20" t="s">
        <v>598</v>
      </c>
      <c r="F2544" s="20" t="s">
        <v>455</v>
      </c>
    </row>
    <row r="2545">
      <c r="A2545" s="26">
        <v>44887.718501689815</v>
      </c>
      <c r="B2545" s="20" t="s">
        <v>345</v>
      </c>
      <c r="C2545" s="20">
        <v>1134.0</v>
      </c>
      <c r="D2545" s="20" t="s">
        <v>656</v>
      </c>
      <c r="E2545" s="20" t="s">
        <v>598</v>
      </c>
      <c r="F2545" s="20" t="s">
        <v>455</v>
      </c>
    </row>
    <row r="2546">
      <c r="A2546" s="26">
        <v>44887.72746741898</v>
      </c>
      <c r="B2546" s="20" t="s">
        <v>345</v>
      </c>
      <c r="C2546" s="20">
        <v>227.0</v>
      </c>
      <c r="D2546" s="20" t="s">
        <v>602</v>
      </c>
      <c r="E2546" s="20" t="s">
        <v>598</v>
      </c>
      <c r="F2546" s="20" t="s">
        <v>455</v>
      </c>
    </row>
    <row r="2547">
      <c r="A2547" s="26">
        <v>44888.576967974535</v>
      </c>
      <c r="B2547" s="20" t="s">
        <v>55</v>
      </c>
      <c r="C2547" s="20">
        <v>998.0</v>
      </c>
      <c r="D2547" s="20" t="s">
        <v>663</v>
      </c>
      <c r="E2547" s="20" t="s">
        <v>688</v>
      </c>
      <c r="F2547" s="20" t="s">
        <v>455</v>
      </c>
    </row>
    <row r="2548">
      <c r="A2548" s="26">
        <v>44888.577251006944</v>
      </c>
      <c r="B2548" s="20" t="s">
        <v>55</v>
      </c>
      <c r="C2548" s="20">
        <v>982.0</v>
      </c>
      <c r="D2548" s="20" t="s">
        <v>663</v>
      </c>
      <c r="E2548" s="20" t="s">
        <v>688</v>
      </c>
      <c r="F2548" s="20" t="s">
        <v>455</v>
      </c>
    </row>
    <row r="2549">
      <c r="A2549" s="26">
        <v>44888.57759634259</v>
      </c>
      <c r="B2549" s="20" t="s">
        <v>55</v>
      </c>
      <c r="C2549" s="20">
        <v>1040.0</v>
      </c>
      <c r="D2549" s="20" t="s">
        <v>663</v>
      </c>
      <c r="E2549" s="20" t="s">
        <v>688</v>
      </c>
      <c r="F2549" s="20" t="s">
        <v>455</v>
      </c>
    </row>
    <row r="2550">
      <c r="A2550" s="26">
        <v>44888.57815460648</v>
      </c>
      <c r="B2550" s="20" t="s">
        <v>55</v>
      </c>
      <c r="C2550" s="20">
        <v>1532.0</v>
      </c>
      <c r="D2550" s="20" t="s">
        <v>689</v>
      </c>
      <c r="E2550" s="20" t="s">
        <v>688</v>
      </c>
      <c r="F2550" s="20" t="s">
        <v>455</v>
      </c>
    </row>
    <row r="2551">
      <c r="A2551" s="26">
        <v>44892.566055868054</v>
      </c>
      <c r="B2551" s="20" t="s">
        <v>690</v>
      </c>
      <c r="C2551" s="20">
        <v>796.0</v>
      </c>
      <c r="D2551" s="20" t="s">
        <v>691</v>
      </c>
      <c r="E2551" s="20" t="s">
        <v>101</v>
      </c>
      <c r="F2551" s="20" t="s">
        <v>692</v>
      </c>
    </row>
    <row r="2552">
      <c r="A2552" s="26">
        <v>44892.62601940973</v>
      </c>
      <c r="B2552" s="20" t="s">
        <v>690</v>
      </c>
      <c r="C2552" s="20">
        <v>46.0</v>
      </c>
      <c r="D2552" s="20" t="s">
        <v>585</v>
      </c>
      <c r="E2552" s="20" t="s">
        <v>693</v>
      </c>
      <c r="F2552" s="20" t="s">
        <v>455</v>
      </c>
    </row>
    <row r="2553">
      <c r="A2553" s="26">
        <v>44892.627428101856</v>
      </c>
      <c r="B2553" s="20" t="s">
        <v>366</v>
      </c>
      <c r="C2553" s="20">
        <v>189.0</v>
      </c>
      <c r="D2553" s="20" t="s">
        <v>585</v>
      </c>
      <c r="E2553" s="20" t="s">
        <v>694</v>
      </c>
      <c r="F2553" s="20" t="s">
        <v>455</v>
      </c>
    </row>
    <row r="2554">
      <c r="A2554" s="26">
        <v>44892.62894304398</v>
      </c>
      <c r="B2554" s="20" t="s">
        <v>690</v>
      </c>
      <c r="C2554" s="20">
        <v>362.0</v>
      </c>
      <c r="D2554" s="20" t="s">
        <v>40</v>
      </c>
      <c r="E2554" s="20" t="s">
        <v>101</v>
      </c>
      <c r="F2554" s="20" t="s">
        <v>590</v>
      </c>
    </row>
    <row r="2555">
      <c r="A2555" s="26">
        <v>44892.62970628472</v>
      </c>
      <c r="B2555" s="20" t="s">
        <v>690</v>
      </c>
      <c r="C2555" s="20">
        <v>103.0</v>
      </c>
      <c r="D2555" s="20" t="s">
        <v>585</v>
      </c>
      <c r="E2555" s="20" t="s">
        <v>101</v>
      </c>
      <c r="F2555" s="20" t="s">
        <v>455</v>
      </c>
    </row>
    <row r="2556">
      <c r="A2556" s="26">
        <v>44892.63765597223</v>
      </c>
      <c r="B2556" s="20" t="s">
        <v>411</v>
      </c>
      <c r="C2556" s="20">
        <v>994.0</v>
      </c>
      <c r="D2556" s="20" t="s">
        <v>585</v>
      </c>
      <c r="E2556" s="20" t="s">
        <v>65</v>
      </c>
      <c r="F2556" s="20" t="s">
        <v>455</v>
      </c>
      <c r="G2556" s="20">
        <v>76023.0</v>
      </c>
    </row>
    <row r="2557">
      <c r="A2557" s="26">
        <v>44896.63720168981</v>
      </c>
      <c r="B2557" s="20" t="s">
        <v>163</v>
      </c>
      <c r="C2557" s="20">
        <v>312.0</v>
      </c>
      <c r="D2557" s="20" t="s">
        <v>587</v>
      </c>
      <c r="E2557" s="20" t="s">
        <v>643</v>
      </c>
      <c r="F2557" s="20" t="s">
        <v>455</v>
      </c>
    </row>
    <row r="2558">
      <c r="A2558" s="26">
        <v>44896.64054111111</v>
      </c>
      <c r="B2558" s="20" t="s">
        <v>163</v>
      </c>
      <c r="C2558" s="20">
        <v>430.0</v>
      </c>
      <c r="D2558" s="20" t="s">
        <v>585</v>
      </c>
      <c r="E2558" s="20" t="s">
        <v>643</v>
      </c>
      <c r="F2558" s="20" t="s">
        <v>455</v>
      </c>
    </row>
    <row r="2559">
      <c r="A2559" s="26">
        <v>44896.6436456713</v>
      </c>
      <c r="B2559" s="20" t="s">
        <v>163</v>
      </c>
      <c r="C2559" s="20">
        <v>238.0</v>
      </c>
      <c r="D2559" s="20" t="s">
        <v>585</v>
      </c>
      <c r="E2559" s="20" t="s">
        <v>212</v>
      </c>
      <c r="F2559" s="20" t="s">
        <v>455</v>
      </c>
    </row>
    <row r="2560">
      <c r="A2560" s="26">
        <v>44896.64412912037</v>
      </c>
      <c r="B2560" s="20" t="s">
        <v>163</v>
      </c>
      <c r="C2560" s="20">
        <v>54.0</v>
      </c>
      <c r="D2560" s="20" t="s">
        <v>586</v>
      </c>
      <c r="E2560" s="20" t="s">
        <v>212</v>
      </c>
      <c r="F2560" s="20" t="s">
        <v>455</v>
      </c>
    </row>
    <row r="2561">
      <c r="A2561" s="28">
        <v>44896.0</v>
      </c>
      <c r="B2561" s="20" t="s">
        <v>345</v>
      </c>
      <c r="C2561" s="20">
        <v>41.0</v>
      </c>
      <c r="D2561" s="20" t="s">
        <v>585</v>
      </c>
      <c r="E2561" s="20" t="s">
        <v>695</v>
      </c>
      <c r="F2561" s="20" t="s">
        <v>590</v>
      </c>
    </row>
    <row r="2562">
      <c r="A2562" s="28">
        <v>44896.0</v>
      </c>
      <c r="B2562" s="20" t="s">
        <v>345</v>
      </c>
      <c r="C2562" s="20">
        <v>6.0</v>
      </c>
      <c r="D2562" s="20" t="s">
        <v>585</v>
      </c>
      <c r="E2562" s="20" t="s">
        <v>695</v>
      </c>
      <c r="F2562" s="20" t="s">
        <v>590</v>
      </c>
    </row>
    <row r="2563">
      <c r="A2563" s="26">
        <v>44897.65012627315</v>
      </c>
      <c r="B2563" s="20" t="s">
        <v>690</v>
      </c>
      <c r="C2563" s="20">
        <v>1005.0</v>
      </c>
      <c r="D2563" s="20" t="s">
        <v>663</v>
      </c>
      <c r="E2563" s="20" t="s">
        <v>171</v>
      </c>
      <c r="F2563" s="20" t="s">
        <v>590</v>
      </c>
    </row>
    <row r="2564">
      <c r="A2564" s="26">
        <v>44897.682267662036</v>
      </c>
      <c r="B2564" s="20" t="s">
        <v>690</v>
      </c>
      <c r="C2564" s="20">
        <v>443.0</v>
      </c>
      <c r="D2564" s="20" t="s">
        <v>696</v>
      </c>
      <c r="E2564" s="20" t="s">
        <v>96</v>
      </c>
      <c r="F2564" s="20" t="s">
        <v>590</v>
      </c>
    </row>
    <row r="2565">
      <c r="A2565" s="26">
        <v>44897.684260625</v>
      </c>
      <c r="B2565" s="20" t="s">
        <v>690</v>
      </c>
      <c r="C2565" s="20">
        <v>148.0</v>
      </c>
      <c r="D2565" s="20" t="s">
        <v>697</v>
      </c>
      <c r="E2565" s="20" t="s">
        <v>96</v>
      </c>
      <c r="F2565" s="20" t="s">
        <v>590</v>
      </c>
    </row>
    <row r="2566">
      <c r="A2566" s="26">
        <v>44897.68566725694</v>
      </c>
      <c r="B2566" s="20" t="s">
        <v>690</v>
      </c>
      <c r="C2566" s="20">
        <v>105.0</v>
      </c>
      <c r="D2566" s="20" t="s">
        <v>698</v>
      </c>
      <c r="E2566" s="20" t="s">
        <v>589</v>
      </c>
      <c r="F2566" s="20" t="s">
        <v>590</v>
      </c>
    </row>
    <row r="2567">
      <c r="A2567" s="26">
        <v>44897.68640935185</v>
      </c>
      <c r="B2567" s="20" t="s">
        <v>690</v>
      </c>
      <c r="C2567" s="20">
        <v>252.0</v>
      </c>
      <c r="D2567" s="20" t="s">
        <v>602</v>
      </c>
      <c r="E2567" s="20" t="s">
        <v>96</v>
      </c>
      <c r="F2567" s="20" t="s">
        <v>590</v>
      </c>
    </row>
    <row r="2568">
      <c r="A2568" s="26">
        <v>44897.68761876157</v>
      </c>
      <c r="B2568" s="20" t="s">
        <v>690</v>
      </c>
      <c r="C2568" s="20">
        <v>494.0</v>
      </c>
      <c r="D2568" s="20" t="s">
        <v>696</v>
      </c>
      <c r="E2568" s="20" t="s">
        <v>589</v>
      </c>
      <c r="F2568" s="20" t="s">
        <v>590</v>
      </c>
    </row>
    <row r="2569">
      <c r="A2569" s="26">
        <v>44897.68865090278</v>
      </c>
      <c r="B2569" s="20" t="s">
        <v>690</v>
      </c>
      <c r="C2569" s="20">
        <v>102.0</v>
      </c>
      <c r="D2569" s="20" t="s">
        <v>699</v>
      </c>
      <c r="E2569" s="20" t="s">
        <v>171</v>
      </c>
      <c r="F2569" s="20" t="s">
        <v>590</v>
      </c>
    </row>
    <row r="2570">
      <c r="A2570" s="26">
        <v>44897.68975126157</v>
      </c>
      <c r="B2570" s="20" t="s">
        <v>690</v>
      </c>
      <c r="C2570" s="20">
        <v>494.0</v>
      </c>
      <c r="D2570" s="20" t="s">
        <v>585</v>
      </c>
      <c r="E2570" s="20" t="s">
        <v>171</v>
      </c>
      <c r="F2570" s="20" t="s">
        <v>590</v>
      </c>
    </row>
    <row r="2571">
      <c r="A2571" s="26">
        <v>44897.69036774305</v>
      </c>
      <c r="B2571" s="20" t="s">
        <v>690</v>
      </c>
      <c r="C2571" s="20">
        <v>232.0</v>
      </c>
      <c r="D2571" s="20" t="s">
        <v>602</v>
      </c>
      <c r="E2571" s="20" t="s">
        <v>96</v>
      </c>
      <c r="F2571" s="20" t="s">
        <v>590</v>
      </c>
    </row>
    <row r="2572">
      <c r="A2572" s="26">
        <v>44897.69092969908</v>
      </c>
      <c r="B2572" s="20" t="s">
        <v>690</v>
      </c>
      <c r="C2572" s="20">
        <v>76.0</v>
      </c>
      <c r="D2572" s="20" t="s">
        <v>76</v>
      </c>
      <c r="E2572" s="20" t="s">
        <v>171</v>
      </c>
      <c r="F2572" s="20" t="s">
        <v>590</v>
      </c>
    </row>
    <row r="2573">
      <c r="A2573" s="26">
        <v>44897.698862523146</v>
      </c>
      <c r="B2573" s="20" t="s">
        <v>591</v>
      </c>
      <c r="C2573" s="20">
        <v>134.0</v>
      </c>
      <c r="D2573" s="20" t="s">
        <v>587</v>
      </c>
      <c r="E2573" s="20" t="s">
        <v>60</v>
      </c>
      <c r="F2573" s="20" t="s">
        <v>455</v>
      </c>
    </row>
    <row r="2574">
      <c r="A2574" s="26">
        <v>44898.67889922454</v>
      </c>
      <c r="B2574" s="20" t="s">
        <v>690</v>
      </c>
      <c r="C2574" s="20">
        <v>1033.0</v>
      </c>
      <c r="D2574" s="20" t="s">
        <v>700</v>
      </c>
      <c r="E2574" s="20" t="s">
        <v>75</v>
      </c>
      <c r="F2574" s="20" t="s">
        <v>455</v>
      </c>
    </row>
    <row r="2575">
      <c r="A2575" s="26">
        <v>44898.679337800924</v>
      </c>
      <c r="B2575" s="20" t="s">
        <v>690</v>
      </c>
      <c r="C2575" s="20">
        <v>218.0</v>
      </c>
      <c r="D2575" s="20" t="s">
        <v>76</v>
      </c>
      <c r="E2575" s="20" t="s">
        <v>75</v>
      </c>
      <c r="F2575" s="20" t="s">
        <v>590</v>
      </c>
    </row>
    <row r="2576">
      <c r="A2576" s="26">
        <v>44898.67987417824</v>
      </c>
      <c r="B2576" s="20" t="s">
        <v>690</v>
      </c>
      <c r="C2576" s="20">
        <v>592.0</v>
      </c>
      <c r="D2576" s="20" t="s">
        <v>592</v>
      </c>
      <c r="E2576" s="20" t="s">
        <v>75</v>
      </c>
      <c r="F2576" s="20" t="s">
        <v>590</v>
      </c>
    </row>
    <row r="2577">
      <c r="A2577" s="26">
        <v>44898.68044137731</v>
      </c>
      <c r="B2577" s="20" t="s">
        <v>690</v>
      </c>
      <c r="C2577" s="20">
        <v>1235.0</v>
      </c>
      <c r="D2577" s="20" t="s">
        <v>592</v>
      </c>
      <c r="E2577" s="20" t="s">
        <v>75</v>
      </c>
      <c r="F2577" s="20" t="s">
        <v>590</v>
      </c>
    </row>
    <row r="2578">
      <c r="A2578" s="26">
        <v>44898.682927754635</v>
      </c>
      <c r="B2578" s="20" t="s">
        <v>690</v>
      </c>
      <c r="C2578" s="20">
        <v>108.0</v>
      </c>
      <c r="D2578" s="20" t="s">
        <v>701</v>
      </c>
      <c r="E2578" s="20" t="s">
        <v>75</v>
      </c>
      <c r="F2578" s="20" t="s">
        <v>590</v>
      </c>
    </row>
    <row r="2579">
      <c r="A2579" s="26">
        <v>44898.68390960648</v>
      </c>
      <c r="B2579" s="20" t="s">
        <v>690</v>
      </c>
      <c r="C2579" s="20">
        <v>73.0</v>
      </c>
      <c r="D2579" s="20" t="s">
        <v>588</v>
      </c>
      <c r="E2579" s="20" t="s">
        <v>75</v>
      </c>
      <c r="F2579" s="20" t="s">
        <v>590</v>
      </c>
    </row>
    <row r="2580">
      <c r="A2580" s="26">
        <v>44898.68438233796</v>
      </c>
      <c r="B2580" s="20" t="s">
        <v>690</v>
      </c>
      <c r="C2580" s="20">
        <v>272.0</v>
      </c>
      <c r="D2580" s="20" t="s">
        <v>40</v>
      </c>
      <c r="E2580" s="20" t="s">
        <v>75</v>
      </c>
      <c r="F2580" s="20" t="s">
        <v>590</v>
      </c>
    </row>
    <row r="2581">
      <c r="A2581" s="26">
        <v>44898.685681863426</v>
      </c>
      <c r="B2581" s="20" t="s">
        <v>690</v>
      </c>
      <c r="C2581" s="20">
        <v>446.0</v>
      </c>
      <c r="D2581" s="20" t="s">
        <v>602</v>
      </c>
      <c r="E2581" s="20" t="s">
        <v>75</v>
      </c>
      <c r="F2581" s="20" t="s">
        <v>590</v>
      </c>
    </row>
    <row r="2582">
      <c r="A2582" s="26">
        <v>44898.68780194444</v>
      </c>
      <c r="B2582" s="20" t="s">
        <v>690</v>
      </c>
      <c r="C2582" s="20">
        <v>261.0</v>
      </c>
      <c r="D2582" s="20" t="s">
        <v>593</v>
      </c>
      <c r="E2582" s="20" t="s">
        <v>75</v>
      </c>
      <c r="F2582" s="20" t="s">
        <v>590</v>
      </c>
    </row>
    <row r="2583">
      <c r="A2583" s="26">
        <v>44898.68828747685</v>
      </c>
      <c r="B2583" s="20" t="s">
        <v>690</v>
      </c>
      <c r="C2583" s="20">
        <v>219.0</v>
      </c>
      <c r="D2583" s="20" t="s">
        <v>36</v>
      </c>
      <c r="E2583" s="20" t="s">
        <v>75</v>
      </c>
      <c r="F2583" s="20" t="s">
        <v>590</v>
      </c>
    </row>
    <row r="2584">
      <c r="A2584" s="26">
        <v>44898.688792256944</v>
      </c>
      <c r="B2584" s="20" t="s">
        <v>690</v>
      </c>
      <c r="C2584" s="20">
        <v>190.0</v>
      </c>
      <c r="D2584" s="20" t="s">
        <v>40</v>
      </c>
      <c r="E2584" s="20" t="s">
        <v>75</v>
      </c>
      <c r="F2584" s="20" t="s">
        <v>590</v>
      </c>
    </row>
    <row r="2585">
      <c r="A2585" s="26">
        <v>44898.69018111112</v>
      </c>
      <c r="B2585" s="20" t="s">
        <v>690</v>
      </c>
      <c r="C2585" s="20">
        <v>477.0</v>
      </c>
      <c r="D2585" s="20" t="s">
        <v>587</v>
      </c>
      <c r="E2585" s="20" t="s">
        <v>75</v>
      </c>
      <c r="F2585" s="20" t="s">
        <v>590</v>
      </c>
    </row>
    <row r="2586">
      <c r="A2586" s="28">
        <v>44898.0</v>
      </c>
      <c r="B2586" s="20" t="s">
        <v>345</v>
      </c>
      <c r="C2586" s="20">
        <v>1080.0</v>
      </c>
      <c r="D2586" s="20" t="s">
        <v>663</v>
      </c>
      <c r="E2586" s="20" t="s">
        <v>75</v>
      </c>
      <c r="F2586" s="20" t="s">
        <v>590</v>
      </c>
    </row>
    <row r="2587">
      <c r="A2587" s="26">
        <v>44898.69112121528</v>
      </c>
      <c r="B2587" s="20" t="s">
        <v>690</v>
      </c>
      <c r="C2587" s="20">
        <v>-464.0</v>
      </c>
      <c r="D2587" s="20" t="s">
        <v>675</v>
      </c>
      <c r="E2587" s="20" t="s">
        <v>75</v>
      </c>
      <c r="F2587" s="20" t="s">
        <v>590</v>
      </c>
    </row>
    <row r="2588">
      <c r="A2588" s="26">
        <v>44898.69197833333</v>
      </c>
      <c r="B2588" s="20" t="s">
        <v>690</v>
      </c>
      <c r="C2588" s="20">
        <v>-366.0</v>
      </c>
      <c r="D2588" s="20" t="s">
        <v>702</v>
      </c>
      <c r="E2588" s="20" t="s">
        <v>75</v>
      </c>
      <c r="F2588" s="20" t="s">
        <v>590</v>
      </c>
    </row>
    <row r="2589">
      <c r="A2589" s="26">
        <v>44898.69309861111</v>
      </c>
      <c r="B2589" s="20" t="s">
        <v>690</v>
      </c>
      <c r="C2589" s="20">
        <v>-52.0</v>
      </c>
      <c r="D2589" s="20" t="s">
        <v>593</v>
      </c>
      <c r="E2589" s="20" t="s">
        <v>75</v>
      </c>
      <c r="F2589" s="20" t="s">
        <v>590</v>
      </c>
    </row>
    <row r="2590">
      <c r="A2590" s="26">
        <v>44898.69375741898</v>
      </c>
      <c r="B2590" s="20" t="s">
        <v>690</v>
      </c>
      <c r="C2590" s="20">
        <v>-54.0</v>
      </c>
      <c r="D2590" s="20" t="s">
        <v>602</v>
      </c>
      <c r="E2590" s="20" t="s">
        <v>75</v>
      </c>
      <c r="F2590" s="20" t="s">
        <v>590</v>
      </c>
    </row>
    <row r="2591">
      <c r="A2591" s="26">
        <v>44898.69435398148</v>
      </c>
      <c r="B2591" s="20" t="s">
        <v>690</v>
      </c>
      <c r="C2591" s="20">
        <v>-681.0</v>
      </c>
      <c r="D2591" s="20" t="s">
        <v>703</v>
      </c>
      <c r="E2591" s="20" t="s">
        <v>75</v>
      </c>
      <c r="F2591" s="20" t="s">
        <v>590</v>
      </c>
    </row>
    <row r="2592">
      <c r="A2592" s="26">
        <v>44898.69548483797</v>
      </c>
      <c r="B2592" s="20" t="s">
        <v>690</v>
      </c>
      <c r="C2592" s="20">
        <v>-100.0</v>
      </c>
      <c r="D2592" s="20" t="s">
        <v>40</v>
      </c>
      <c r="E2592" s="20" t="s">
        <v>75</v>
      </c>
      <c r="F2592" s="20" t="s">
        <v>590</v>
      </c>
    </row>
    <row r="2593">
      <c r="A2593" s="26">
        <v>44898.69604385417</v>
      </c>
      <c r="B2593" s="20" t="s">
        <v>690</v>
      </c>
      <c r="C2593" s="20">
        <v>-409.0</v>
      </c>
      <c r="D2593" s="20" t="s">
        <v>592</v>
      </c>
      <c r="E2593" s="20" t="s">
        <v>75</v>
      </c>
      <c r="F2593" s="20" t="s">
        <v>590</v>
      </c>
    </row>
    <row r="2594">
      <c r="A2594" s="26">
        <v>44898.701530439816</v>
      </c>
      <c r="B2594" s="20" t="s">
        <v>345</v>
      </c>
      <c r="C2594" s="20">
        <v>-52.0</v>
      </c>
      <c r="D2594" s="20" t="s">
        <v>76</v>
      </c>
      <c r="E2594" s="20" t="s">
        <v>75</v>
      </c>
      <c r="F2594" s="20" t="s">
        <v>455</v>
      </c>
    </row>
    <row r="2595">
      <c r="A2595" s="26">
        <v>44898.70299472222</v>
      </c>
      <c r="B2595" s="20" t="s">
        <v>345</v>
      </c>
      <c r="C2595" s="20">
        <v>-102.0</v>
      </c>
      <c r="D2595" s="20" t="s">
        <v>76</v>
      </c>
      <c r="E2595" s="20" t="s">
        <v>75</v>
      </c>
      <c r="F2595" s="20" t="s">
        <v>455</v>
      </c>
    </row>
    <row r="2596">
      <c r="A2596" s="26">
        <v>44899.62539818287</v>
      </c>
      <c r="B2596" s="20" t="s">
        <v>683</v>
      </c>
      <c r="C2596" s="20">
        <v>1438.0</v>
      </c>
      <c r="D2596" s="20" t="s">
        <v>585</v>
      </c>
      <c r="E2596" s="20" t="s">
        <v>65</v>
      </c>
      <c r="F2596" s="20" t="s">
        <v>449</v>
      </c>
    </row>
    <row r="2597">
      <c r="A2597" s="26">
        <v>44899.667869467594</v>
      </c>
      <c r="B2597" s="20" t="s">
        <v>704</v>
      </c>
      <c r="C2597" s="20">
        <v>51.0</v>
      </c>
      <c r="D2597" s="20" t="s">
        <v>705</v>
      </c>
      <c r="E2597" s="20" t="s">
        <v>552</v>
      </c>
      <c r="F2597" s="20" t="s">
        <v>121</v>
      </c>
    </row>
    <row r="2598">
      <c r="A2598" s="28">
        <v>44899.0</v>
      </c>
      <c r="B2598" s="20" t="s">
        <v>345</v>
      </c>
      <c r="C2598" s="20">
        <v>464.0</v>
      </c>
      <c r="D2598" s="20" t="s">
        <v>663</v>
      </c>
      <c r="E2598" s="20" t="s">
        <v>101</v>
      </c>
      <c r="F2598" s="20" t="s">
        <v>590</v>
      </c>
    </row>
    <row r="2599">
      <c r="A2599" s="28">
        <v>44899.0</v>
      </c>
      <c r="B2599" s="20" t="s">
        <v>345</v>
      </c>
      <c r="C2599" s="20">
        <v>137.0</v>
      </c>
      <c r="D2599" s="20" t="s">
        <v>585</v>
      </c>
      <c r="E2599" s="20" t="s">
        <v>50</v>
      </c>
      <c r="F2599" s="20" t="s">
        <v>590</v>
      </c>
    </row>
    <row r="2600">
      <c r="A2600" s="28">
        <v>44899.0</v>
      </c>
      <c r="B2600" s="20" t="s">
        <v>345</v>
      </c>
      <c r="C2600" s="20">
        <v>359.0</v>
      </c>
      <c r="D2600" s="20" t="s">
        <v>585</v>
      </c>
      <c r="E2600" s="20" t="s">
        <v>101</v>
      </c>
      <c r="F2600" s="20" t="s">
        <v>590</v>
      </c>
    </row>
    <row r="2601">
      <c r="A2601" s="28">
        <v>44899.0</v>
      </c>
      <c r="B2601" s="20" t="s">
        <v>345</v>
      </c>
      <c r="C2601" s="20">
        <v>207.0</v>
      </c>
      <c r="D2601" s="20" t="s">
        <v>585</v>
      </c>
      <c r="E2601" s="20" t="s">
        <v>667</v>
      </c>
      <c r="F2601" s="20" t="s">
        <v>590</v>
      </c>
    </row>
    <row r="2602">
      <c r="A2602" s="28">
        <v>44899.0</v>
      </c>
      <c r="B2602" s="20" t="s">
        <v>345</v>
      </c>
      <c r="C2602" s="20">
        <v>70.0</v>
      </c>
      <c r="D2602" s="20" t="s">
        <v>593</v>
      </c>
      <c r="E2602" s="20" t="s">
        <v>101</v>
      </c>
      <c r="F2602" s="20" t="s">
        <v>590</v>
      </c>
    </row>
    <row r="2603">
      <c r="A2603" s="28">
        <v>44899.0</v>
      </c>
      <c r="B2603" s="20" t="s">
        <v>345</v>
      </c>
      <c r="C2603" s="20">
        <v>407.0</v>
      </c>
      <c r="D2603" s="20" t="s">
        <v>585</v>
      </c>
      <c r="E2603" s="20" t="s">
        <v>101</v>
      </c>
      <c r="F2603" s="20" t="s">
        <v>590</v>
      </c>
    </row>
    <row r="2604">
      <c r="A2604" s="26">
        <v>44900.703894085644</v>
      </c>
      <c r="B2604" s="20" t="s">
        <v>55</v>
      </c>
      <c r="C2604" s="20">
        <v>357.0</v>
      </c>
      <c r="D2604" s="20" t="s">
        <v>602</v>
      </c>
      <c r="E2604" s="20" t="s">
        <v>45</v>
      </c>
      <c r="F2604" s="20" t="s">
        <v>657</v>
      </c>
    </row>
    <row r="2605">
      <c r="A2605" s="26">
        <v>44900.70437439815</v>
      </c>
      <c r="B2605" s="20" t="s">
        <v>55</v>
      </c>
      <c r="C2605" s="20">
        <v>450.0</v>
      </c>
      <c r="D2605" s="20" t="s">
        <v>602</v>
      </c>
      <c r="E2605" s="20" t="s">
        <v>45</v>
      </c>
      <c r="F2605" s="20" t="s">
        <v>657</v>
      </c>
    </row>
    <row r="2606">
      <c r="A2606" s="26">
        <v>44900.704828912036</v>
      </c>
      <c r="B2606" s="20" t="s">
        <v>55</v>
      </c>
      <c r="C2606" s="20">
        <v>374.0</v>
      </c>
      <c r="D2606" s="20" t="s">
        <v>602</v>
      </c>
      <c r="E2606" s="20" t="s">
        <v>45</v>
      </c>
      <c r="F2606" s="20" t="s">
        <v>657</v>
      </c>
    </row>
    <row r="2607">
      <c r="A2607" s="26">
        <v>44900.70520232639</v>
      </c>
      <c r="B2607" s="20" t="s">
        <v>55</v>
      </c>
      <c r="C2607" s="20">
        <v>980.0</v>
      </c>
      <c r="D2607" s="20" t="s">
        <v>602</v>
      </c>
      <c r="E2607" s="20" t="s">
        <v>45</v>
      </c>
      <c r="F2607" s="20" t="s">
        <v>657</v>
      </c>
    </row>
    <row r="2608">
      <c r="A2608" s="26">
        <v>44900.7055206713</v>
      </c>
      <c r="B2608" s="20" t="s">
        <v>55</v>
      </c>
      <c r="C2608" s="20">
        <v>749.0</v>
      </c>
      <c r="D2608" s="20" t="s">
        <v>602</v>
      </c>
      <c r="E2608" s="20" t="s">
        <v>45</v>
      </c>
      <c r="F2608" s="20" t="s">
        <v>657</v>
      </c>
    </row>
    <row r="2609">
      <c r="A2609" s="26">
        <v>44900.70583047454</v>
      </c>
      <c r="B2609" s="20" t="s">
        <v>55</v>
      </c>
      <c r="C2609" s="20">
        <v>698.0</v>
      </c>
      <c r="D2609" s="20" t="s">
        <v>602</v>
      </c>
      <c r="E2609" s="20" t="s">
        <v>45</v>
      </c>
      <c r="F2609" s="20" t="s">
        <v>657</v>
      </c>
    </row>
    <row r="2610">
      <c r="A2610" s="26">
        <v>44904.563661736116</v>
      </c>
      <c r="B2610" s="20" t="s">
        <v>690</v>
      </c>
      <c r="C2610" s="20">
        <v>840.0</v>
      </c>
      <c r="D2610" s="20" t="s">
        <v>706</v>
      </c>
      <c r="E2610" s="20" t="s">
        <v>96</v>
      </c>
      <c r="F2610" s="20" t="s">
        <v>590</v>
      </c>
    </row>
    <row r="2611">
      <c r="A2611" s="26">
        <v>44904.564468067125</v>
      </c>
      <c r="B2611" s="20" t="s">
        <v>690</v>
      </c>
      <c r="C2611" s="20">
        <v>670.0</v>
      </c>
      <c r="D2611" s="20" t="s">
        <v>707</v>
      </c>
      <c r="E2611" s="20" t="s">
        <v>589</v>
      </c>
      <c r="F2611" s="20" t="s">
        <v>590</v>
      </c>
    </row>
    <row r="2612">
      <c r="A2612" s="26">
        <v>44904.59825274306</v>
      </c>
      <c r="B2612" s="20" t="s">
        <v>690</v>
      </c>
      <c r="C2612" s="20">
        <v>301.0</v>
      </c>
      <c r="D2612" s="20" t="s">
        <v>602</v>
      </c>
      <c r="E2612" s="20" t="s">
        <v>96</v>
      </c>
      <c r="F2612" s="20" t="s">
        <v>590</v>
      </c>
    </row>
    <row r="2613">
      <c r="A2613" s="26">
        <v>44904.598768344906</v>
      </c>
      <c r="B2613" s="20" t="s">
        <v>690</v>
      </c>
      <c r="C2613" s="20">
        <v>246.0</v>
      </c>
      <c r="D2613" s="20" t="s">
        <v>602</v>
      </c>
      <c r="E2613" s="20" t="s">
        <v>589</v>
      </c>
      <c r="F2613" s="20" t="s">
        <v>590</v>
      </c>
    </row>
    <row r="2614">
      <c r="A2614" s="26">
        <v>44904.65352150463</v>
      </c>
      <c r="B2614" s="20" t="s">
        <v>690</v>
      </c>
      <c r="C2614" s="20">
        <v>91.0</v>
      </c>
      <c r="D2614" s="20" t="s">
        <v>585</v>
      </c>
      <c r="E2614" s="20" t="s">
        <v>708</v>
      </c>
      <c r="F2614" s="20" t="s">
        <v>590</v>
      </c>
    </row>
    <row r="2615">
      <c r="A2615" s="26">
        <v>44904.65443149305</v>
      </c>
      <c r="B2615" s="20" t="s">
        <v>366</v>
      </c>
      <c r="C2615" s="20">
        <v>97.0</v>
      </c>
      <c r="D2615" s="20" t="s">
        <v>585</v>
      </c>
      <c r="E2615" s="20" t="s">
        <v>709</v>
      </c>
      <c r="F2615" s="20" t="s">
        <v>590</v>
      </c>
    </row>
    <row r="2616">
      <c r="A2616" s="26">
        <v>44904.711589074075</v>
      </c>
      <c r="B2616" s="20" t="s">
        <v>576</v>
      </c>
      <c r="C2616" s="20">
        <v>150.0</v>
      </c>
      <c r="D2616" s="20" t="s">
        <v>587</v>
      </c>
      <c r="E2616" s="20" t="s">
        <v>60</v>
      </c>
      <c r="F2616" s="20" t="s">
        <v>455</v>
      </c>
    </row>
    <row r="2617">
      <c r="A2617" s="26">
        <v>44905.50698972223</v>
      </c>
      <c r="B2617" s="20" t="s">
        <v>614</v>
      </c>
      <c r="C2617" s="20">
        <v>477.0</v>
      </c>
      <c r="D2617" s="20" t="s">
        <v>607</v>
      </c>
      <c r="E2617" s="20" t="s">
        <v>75</v>
      </c>
      <c r="F2617" s="20" t="s">
        <v>710</v>
      </c>
    </row>
    <row r="2618">
      <c r="A2618" s="26">
        <v>44905.55005230324</v>
      </c>
      <c r="B2618" s="20" t="s">
        <v>690</v>
      </c>
      <c r="C2618" s="20">
        <v>246.0</v>
      </c>
      <c r="D2618" s="20" t="s">
        <v>592</v>
      </c>
      <c r="E2618" s="20" t="s">
        <v>75</v>
      </c>
      <c r="F2618" s="20" t="s">
        <v>455</v>
      </c>
    </row>
    <row r="2619">
      <c r="A2619" s="26">
        <v>44905.55069229167</v>
      </c>
      <c r="B2619" s="20" t="s">
        <v>690</v>
      </c>
      <c r="C2619" s="20">
        <v>1043.0</v>
      </c>
      <c r="D2619" s="20" t="s">
        <v>663</v>
      </c>
      <c r="E2619" s="20" t="s">
        <v>75</v>
      </c>
      <c r="F2619" s="20" t="s">
        <v>590</v>
      </c>
    </row>
    <row r="2620">
      <c r="A2620" s="26">
        <v>44905.551104212966</v>
      </c>
      <c r="B2620" s="20" t="s">
        <v>690</v>
      </c>
      <c r="C2620" s="20">
        <v>401.0</v>
      </c>
      <c r="D2620" s="20" t="s">
        <v>76</v>
      </c>
      <c r="E2620" s="20" t="s">
        <v>75</v>
      </c>
      <c r="F2620" s="20" t="s">
        <v>590</v>
      </c>
    </row>
    <row r="2621">
      <c r="A2621" s="26">
        <v>44905.55234652778</v>
      </c>
      <c r="B2621" s="20" t="s">
        <v>690</v>
      </c>
      <c r="C2621" s="20">
        <v>158.0</v>
      </c>
      <c r="D2621" s="20" t="s">
        <v>711</v>
      </c>
      <c r="E2621" s="20" t="s">
        <v>75</v>
      </c>
      <c r="F2621" s="20" t="s">
        <v>590</v>
      </c>
    </row>
    <row r="2622">
      <c r="A2622" s="26">
        <v>44905.5530237037</v>
      </c>
      <c r="B2622" s="20" t="s">
        <v>690</v>
      </c>
      <c r="C2622" s="20">
        <v>139.0</v>
      </c>
      <c r="D2622" s="20" t="s">
        <v>712</v>
      </c>
      <c r="E2622" s="20" t="s">
        <v>75</v>
      </c>
      <c r="F2622" s="20" t="s">
        <v>590</v>
      </c>
    </row>
    <row r="2623">
      <c r="A2623" s="26">
        <v>44905.55578604167</v>
      </c>
      <c r="B2623" s="20" t="s">
        <v>690</v>
      </c>
      <c r="C2623" s="20">
        <v>512.0</v>
      </c>
      <c r="D2623" s="20" t="s">
        <v>602</v>
      </c>
      <c r="E2623" s="20" t="s">
        <v>75</v>
      </c>
      <c r="F2623" s="20" t="s">
        <v>590</v>
      </c>
    </row>
    <row r="2624">
      <c r="A2624" s="26">
        <v>44905.57015950231</v>
      </c>
      <c r="B2624" s="20" t="s">
        <v>713</v>
      </c>
      <c r="C2624" s="20">
        <v>325.0</v>
      </c>
      <c r="D2624" s="20" t="s">
        <v>592</v>
      </c>
      <c r="E2624" s="20" t="s">
        <v>75</v>
      </c>
      <c r="F2624" s="20" t="s">
        <v>590</v>
      </c>
    </row>
    <row r="2625">
      <c r="A2625" s="26">
        <v>44905.57240989583</v>
      </c>
      <c r="B2625" s="20" t="s">
        <v>713</v>
      </c>
      <c r="C2625" s="20">
        <v>640.0</v>
      </c>
      <c r="D2625" s="20" t="s">
        <v>40</v>
      </c>
      <c r="E2625" s="20" t="s">
        <v>75</v>
      </c>
      <c r="F2625" s="20" t="s">
        <v>590</v>
      </c>
    </row>
    <row r="2626">
      <c r="A2626" s="26">
        <v>44905.579281087965</v>
      </c>
      <c r="B2626" s="20" t="s">
        <v>714</v>
      </c>
      <c r="C2626" s="20">
        <v>406.0</v>
      </c>
      <c r="D2626" s="20" t="s">
        <v>586</v>
      </c>
      <c r="E2626" s="20" t="s">
        <v>75</v>
      </c>
      <c r="F2626" s="20" t="s">
        <v>590</v>
      </c>
    </row>
    <row r="2627">
      <c r="A2627" s="26">
        <v>44905.58414907407</v>
      </c>
      <c r="B2627" s="20" t="s">
        <v>715</v>
      </c>
      <c r="C2627" s="20">
        <v>273.0</v>
      </c>
      <c r="D2627" s="20" t="s">
        <v>592</v>
      </c>
      <c r="E2627" s="20" t="s">
        <v>75</v>
      </c>
      <c r="F2627" s="20" t="s">
        <v>590</v>
      </c>
    </row>
    <row r="2628">
      <c r="A2628" s="26">
        <v>44905.58763591435</v>
      </c>
      <c r="B2628" s="20" t="s">
        <v>713</v>
      </c>
      <c r="C2628" s="20">
        <v>222.0</v>
      </c>
      <c r="D2628" s="20" t="s">
        <v>593</v>
      </c>
      <c r="E2628" s="20" t="s">
        <v>75</v>
      </c>
      <c r="F2628" s="20" t="s">
        <v>590</v>
      </c>
    </row>
    <row r="2629">
      <c r="A2629" s="26">
        <v>44905.66593758102</v>
      </c>
      <c r="B2629" s="20" t="s">
        <v>690</v>
      </c>
      <c r="C2629" s="20">
        <v>115.0</v>
      </c>
      <c r="D2629" s="20" t="s">
        <v>593</v>
      </c>
      <c r="E2629" s="20" t="s">
        <v>75</v>
      </c>
      <c r="F2629" s="20" t="s">
        <v>590</v>
      </c>
    </row>
    <row r="2630">
      <c r="A2630" s="26">
        <v>44905.6695021412</v>
      </c>
      <c r="B2630" s="20" t="s">
        <v>690</v>
      </c>
      <c r="C2630" s="20">
        <v>1033.0</v>
      </c>
      <c r="D2630" s="20" t="s">
        <v>671</v>
      </c>
      <c r="E2630" s="20" t="s">
        <v>75</v>
      </c>
      <c r="F2630" s="20" t="s">
        <v>590</v>
      </c>
    </row>
    <row r="2631">
      <c r="A2631" s="26">
        <v>44905.67177483796</v>
      </c>
      <c r="B2631" s="20" t="s">
        <v>690</v>
      </c>
      <c r="C2631" s="20">
        <v>53.0</v>
      </c>
      <c r="D2631" s="20" t="s">
        <v>593</v>
      </c>
      <c r="E2631" s="20" t="s">
        <v>75</v>
      </c>
      <c r="F2631" s="20" t="s">
        <v>590</v>
      </c>
    </row>
    <row r="2632">
      <c r="A2632" s="26">
        <v>44905.675230023146</v>
      </c>
      <c r="B2632" s="20" t="s">
        <v>690</v>
      </c>
      <c r="C2632" s="20">
        <v>138.0</v>
      </c>
      <c r="D2632" s="20" t="s">
        <v>282</v>
      </c>
      <c r="E2632" s="20" t="s">
        <v>75</v>
      </c>
      <c r="F2632" s="20" t="s">
        <v>590</v>
      </c>
    </row>
    <row r="2633">
      <c r="A2633" s="26">
        <v>44905.67694052083</v>
      </c>
      <c r="B2633" s="20" t="s">
        <v>690</v>
      </c>
      <c r="C2633" s="20">
        <v>143.0</v>
      </c>
      <c r="D2633" s="20" t="s">
        <v>282</v>
      </c>
      <c r="E2633" s="20" t="s">
        <v>75</v>
      </c>
      <c r="F2633" s="20" t="s">
        <v>590</v>
      </c>
    </row>
    <row r="2634">
      <c r="A2634" s="26">
        <v>44905.67782761574</v>
      </c>
      <c r="B2634" s="20" t="s">
        <v>690</v>
      </c>
      <c r="C2634" s="20">
        <v>165.0</v>
      </c>
      <c r="D2634" s="20" t="s">
        <v>716</v>
      </c>
      <c r="E2634" s="20" t="s">
        <v>75</v>
      </c>
      <c r="F2634" s="20" t="s">
        <v>590</v>
      </c>
    </row>
    <row r="2635">
      <c r="A2635" s="26">
        <v>44905.67849825231</v>
      </c>
      <c r="B2635" s="20" t="s">
        <v>690</v>
      </c>
      <c r="C2635" s="20">
        <v>479.0</v>
      </c>
      <c r="D2635" s="20" t="s">
        <v>282</v>
      </c>
      <c r="E2635" s="20" t="s">
        <v>75</v>
      </c>
      <c r="F2635" s="20" t="s">
        <v>590</v>
      </c>
    </row>
    <row r="2636">
      <c r="A2636" s="26">
        <v>44905.68079884259</v>
      </c>
      <c r="B2636" s="20" t="s">
        <v>366</v>
      </c>
      <c r="C2636" s="20">
        <v>-328.0</v>
      </c>
      <c r="D2636" s="20" t="s">
        <v>76</v>
      </c>
      <c r="E2636" s="20" t="s">
        <v>75</v>
      </c>
      <c r="F2636" s="20" t="s">
        <v>590</v>
      </c>
    </row>
    <row r="2637">
      <c r="A2637" s="26">
        <v>44905.681486331014</v>
      </c>
      <c r="B2637" s="20" t="s">
        <v>690</v>
      </c>
      <c r="C2637" s="20">
        <v>-76.0</v>
      </c>
      <c r="D2637" s="20" t="s">
        <v>424</v>
      </c>
      <c r="E2637" s="20" t="s">
        <v>75</v>
      </c>
      <c r="F2637" s="20" t="s">
        <v>590</v>
      </c>
    </row>
    <row r="2638">
      <c r="A2638" s="26">
        <v>44905.682129085646</v>
      </c>
      <c r="B2638" s="20" t="s">
        <v>690</v>
      </c>
      <c r="C2638" s="20">
        <v>-221.0</v>
      </c>
      <c r="D2638" s="20" t="s">
        <v>36</v>
      </c>
      <c r="E2638" s="20" t="s">
        <v>75</v>
      </c>
      <c r="F2638" s="20" t="s">
        <v>590</v>
      </c>
    </row>
    <row r="2639">
      <c r="A2639" s="26">
        <v>44905.68228569445</v>
      </c>
      <c r="B2639" s="20" t="s">
        <v>690</v>
      </c>
      <c r="C2639" s="20">
        <v>-985.0</v>
      </c>
      <c r="D2639" s="20" t="s">
        <v>671</v>
      </c>
      <c r="E2639" s="20" t="s">
        <v>75</v>
      </c>
      <c r="F2639" s="20" t="s">
        <v>590</v>
      </c>
    </row>
    <row r="2640">
      <c r="A2640" s="26">
        <v>44905.68327780093</v>
      </c>
      <c r="B2640" s="20" t="s">
        <v>366</v>
      </c>
      <c r="C2640" s="20">
        <v>-61.0</v>
      </c>
      <c r="D2640" s="20" t="s">
        <v>593</v>
      </c>
      <c r="E2640" s="20" t="s">
        <v>75</v>
      </c>
      <c r="F2640" s="20" t="s">
        <v>590</v>
      </c>
    </row>
    <row r="2641">
      <c r="A2641" s="26">
        <v>44905.68420577546</v>
      </c>
      <c r="B2641" s="20" t="s">
        <v>366</v>
      </c>
      <c r="C2641" s="20">
        <v>-86.0</v>
      </c>
      <c r="D2641" s="20" t="s">
        <v>593</v>
      </c>
      <c r="E2641" s="20" t="s">
        <v>75</v>
      </c>
      <c r="F2641" s="20" t="s">
        <v>590</v>
      </c>
    </row>
    <row r="2642">
      <c r="A2642" s="26">
        <v>44905.684644733796</v>
      </c>
      <c r="B2642" s="20" t="s">
        <v>690</v>
      </c>
      <c r="C2642" s="20">
        <v>-400.0</v>
      </c>
      <c r="D2642" s="20" t="s">
        <v>592</v>
      </c>
      <c r="E2642" s="20" t="s">
        <v>75</v>
      </c>
      <c r="F2642" s="20" t="s">
        <v>590</v>
      </c>
    </row>
    <row r="2643">
      <c r="A2643" s="26">
        <v>44905.68553689815</v>
      </c>
      <c r="B2643" s="20" t="s">
        <v>690</v>
      </c>
      <c r="C2643" s="20">
        <v>-158.0</v>
      </c>
      <c r="D2643" s="20" t="s">
        <v>717</v>
      </c>
      <c r="E2643" s="20" t="s">
        <v>75</v>
      </c>
      <c r="F2643" s="20" t="s">
        <v>590</v>
      </c>
    </row>
    <row r="2644">
      <c r="A2644" s="26">
        <v>44906.61819783565</v>
      </c>
      <c r="B2644" s="20" t="s">
        <v>366</v>
      </c>
      <c r="C2644" s="20">
        <v>242.0</v>
      </c>
      <c r="D2644" s="20" t="s">
        <v>718</v>
      </c>
      <c r="E2644" s="20" t="s">
        <v>101</v>
      </c>
      <c r="F2644" s="20" t="s">
        <v>590</v>
      </c>
    </row>
    <row r="2645">
      <c r="A2645" s="26">
        <v>44906.61916097222</v>
      </c>
      <c r="B2645" s="20" t="s">
        <v>690</v>
      </c>
      <c r="C2645" s="20">
        <v>216.0</v>
      </c>
      <c r="D2645" s="20" t="s">
        <v>587</v>
      </c>
      <c r="E2645" s="20" t="s">
        <v>719</v>
      </c>
      <c r="F2645" s="20" t="s">
        <v>590</v>
      </c>
    </row>
    <row r="2646">
      <c r="A2646" s="26">
        <v>44906.621317233796</v>
      </c>
      <c r="B2646" s="20" t="s">
        <v>690</v>
      </c>
      <c r="C2646" s="20">
        <v>236.0</v>
      </c>
      <c r="D2646" s="20" t="s">
        <v>585</v>
      </c>
      <c r="E2646" s="20" t="s">
        <v>720</v>
      </c>
      <c r="F2646" s="20" t="s">
        <v>590</v>
      </c>
    </row>
    <row r="2647">
      <c r="A2647" s="26">
        <v>44906.62223412037</v>
      </c>
      <c r="B2647" s="20" t="s">
        <v>690</v>
      </c>
      <c r="C2647" s="20">
        <v>215.0</v>
      </c>
      <c r="D2647" s="20" t="s">
        <v>585</v>
      </c>
      <c r="E2647" s="20" t="s">
        <v>50</v>
      </c>
      <c r="F2647" s="20" t="s">
        <v>590</v>
      </c>
    </row>
    <row r="2648">
      <c r="A2648" s="26">
        <v>44906.68071814815</v>
      </c>
      <c r="B2648" s="20" t="s">
        <v>411</v>
      </c>
      <c r="C2648" s="20">
        <v>1268.0</v>
      </c>
      <c r="D2648" s="20" t="s">
        <v>587</v>
      </c>
      <c r="E2648" s="20" t="s">
        <v>65</v>
      </c>
      <c r="F2648" s="20" t="s">
        <v>590</v>
      </c>
    </row>
    <row r="2649">
      <c r="A2649" s="26">
        <v>44909.59624086806</v>
      </c>
      <c r="B2649" s="20" t="s">
        <v>163</v>
      </c>
      <c r="C2649" s="20">
        <v>371.0</v>
      </c>
      <c r="D2649" s="20" t="s">
        <v>721</v>
      </c>
      <c r="E2649" s="20" t="s">
        <v>722</v>
      </c>
      <c r="F2649" s="20" t="s">
        <v>590</v>
      </c>
    </row>
    <row r="2650">
      <c r="A2650" s="26">
        <v>44911.57219407408</v>
      </c>
      <c r="B2650" s="20" t="s">
        <v>690</v>
      </c>
      <c r="C2650" s="20">
        <v>102.0</v>
      </c>
      <c r="D2650" s="20" t="s">
        <v>699</v>
      </c>
      <c r="E2650" s="20" t="s">
        <v>723</v>
      </c>
      <c r="F2650" s="20" t="s">
        <v>455</v>
      </c>
    </row>
    <row r="2651">
      <c r="A2651" s="26">
        <v>44911.57410351852</v>
      </c>
      <c r="B2651" s="20" t="s">
        <v>690</v>
      </c>
      <c r="C2651" s="20">
        <v>258.0</v>
      </c>
      <c r="D2651" s="20" t="s">
        <v>724</v>
      </c>
      <c r="E2651" s="20" t="s">
        <v>723</v>
      </c>
      <c r="F2651" s="20" t="s">
        <v>590</v>
      </c>
    </row>
    <row r="2652">
      <c r="A2652" s="26">
        <v>44911.57501107639</v>
      </c>
      <c r="B2652" s="20" t="s">
        <v>690</v>
      </c>
      <c r="C2652" s="20">
        <v>576.0</v>
      </c>
      <c r="D2652" s="20" t="s">
        <v>725</v>
      </c>
      <c r="E2652" s="20" t="s">
        <v>726</v>
      </c>
      <c r="F2652" s="20" t="s">
        <v>590</v>
      </c>
    </row>
    <row r="2653">
      <c r="A2653" s="26">
        <v>44911.575873298614</v>
      </c>
      <c r="B2653" s="20" t="s">
        <v>690</v>
      </c>
      <c r="C2653" s="20">
        <v>641.0</v>
      </c>
      <c r="D2653" s="20" t="s">
        <v>725</v>
      </c>
      <c r="E2653" s="20" t="s">
        <v>726</v>
      </c>
      <c r="F2653" s="20" t="s">
        <v>590</v>
      </c>
    </row>
    <row r="2654">
      <c r="A2654" s="26">
        <v>44911.57653737269</v>
      </c>
      <c r="B2654" s="20" t="s">
        <v>690</v>
      </c>
      <c r="C2654" s="20">
        <v>603.0</v>
      </c>
      <c r="D2654" s="20" t="s">
        <v>725</v>
      </c>
      <c r="E2654" s="20" t="s">
        <v>726</v>
      </c>
      <c r="F2654" s="20" t="s">
        <v>590</v>
      </c>
    </row>
    <row r="2655">
      <c r="A2655" s="26">
        <v>44911.57815797454</v>
      </c>
      <c r="B2655" s="20" t="s">
        <v>690</v>
      </c>
      <c r="C2655" s="20">
        <v>716.0</v>
      </c>
      <c r="D2655" s="20" t="s">
        <v>725</v>
      </c>
      <c r="E2655" s="20" t="s">
        <v>726</v>
      </c>
      <c r="F2655" s="20" t="s">
        <v>590</v>
      </c>
    </row>
    <row r="2656">
      <c r="A2656" s="26">
        <v>44911.57885952546</v>
      </c>
      <c r="B2656" s="20" t="s">
        <v>690</v>
      </c>
      <c r="C2656" s="20">
        <v>799.0</v>
      </c>
      <c r="D2656" s="20" t="s">
        <v>727</v>
      </c>
      <c r="E2656" s="20" t="s">
        <v>589</v>
      </c>
      <c r="F2656" s="20" t="s">
        <v>590</v>
      </c>
    </row>
    <row r="2657">
      <c r="A2657" s="26">
        <v>44911.57945538194</v>
      </c>
      <c r="B2657" s="20" t="s">
        <v>690</v>
      </c>
      <c r="C2657" s="20">
        <v>1056.0</v>
      </c>
      <c r="D2657" s="20" t="s">
        <v>727</v>
      </c>
      <c r="E2657" s="20" t="s">
        <v>96</v>
      </c>
      <c r="F2657" s="20" t="s">
        <v>590</v>
      </c>
    </row>
    <row r="2658">
      <c r="A2658" s="26">
        <v>44911.630660925926</v>
      </c>
      <c r="B2658" s="20" t="s">
        <v>690</v>
      </c>
      <c r="C2658" s="20">
        <v>665.0</v>
      </c>
      <c r="D2658" s="20" t="s">
        <v>602</v>
      </c>
      <c r="E2658" s="20" t="s">
        <v>96</v>
      </c>
      <c r="F2658" s="20" t="s">
        <v>590</v>
      </c>
    </row>
    <row r="2659">
      <c r="A2659" s="26">
        <v>44911.63133939815</v>
      </c>
      <c r="B2659" s="20" t="s">
        <v>690</v>
      </c>
      <c r="C2659" s="20">
        <v>367.0</v>
      </c>
      <c r="D2659" s="20" t="s">
        <v>602</v>
      </c>
      <c r="E2659" s="20" t="s">
        <v>589</v>
      </c>
      <c r="F2659" s="20" t="s">
        <v>590</v>
      </c>
    </row>
    <row r="2660">
      <c r="A2660" s="26">
        <v>44911.632624826394</v>
      </c>
      <c r="B2660" s="20" t="s">
        <v>690</v>
      </c>
      <c r="C2660" s="20">
        <v>86.0</v>
      </c>
      <c r="D2660" s="20" t="s">
        <v>593</v>
      </c>
      <c r="E2660" s="20" t="s">
        <v>728</v>
      </c>
      <c r="F2660" s="20" t="s">
        <v>590</v>
      </c>
    </row>
    <row r="2661">
      <c r="A2661" s="26">
        <v>44911.634639641205</v>
      </c>
      <c r="B2661" s="20" t="s">
        <v>690</v>
      </c>
      <c r="C2661" s="20">
        <v>954.0</v>
      </c>
      <c r="D2661" s="20" t="s">
        <v>725</v>
      </c>
      <c r="E2661" s="20" t="s">
        <v>729</v>
      </c>
      <c r="F2661" s="20" t="s">
        <v>455</v>
      </c>
    </row>
    <row r="2662">
      <c r="A2662" s="26">
        <v>44911.70311150463</v>
      </c>
      <c r="B2662" s="20" t="s">
        <v>344</v>
      </c>
      <c r="C2662" s="20">
        <v>16.0</v>
      </c>
      <c r="D2662" s="20" t="s">
        <v>534</v>
      </c>
      <c r="E2662" s="20" t="s">
        <v>730</v>
      </c>
      <c r="F2662" s="20" t="s">
        <v>121</v>
      </c>
    </row>
    <row r="2663">
      <c r="A2663" s="26">
        <v>44911.71032975694</v>
      </c>
      <c r="B2663" s="20" t="s">
        <v>576</v>
      </c>
      <c r="C2663" s="20">
        <v>147.0</v>
      </c>
      <c r="D2663" s="20" t="s">
        <v>587</v>
      </c>
      <c r="E2663" s="20" t="s">
        <v>60</v>
      </c>
      <c r="F2663" s="20" t="s">
        <v>455</v>
      </c>
    </row>
    <row r="2664">
      <c r="A2664" s="26">
        <v>44913.607566122686</v>
      </c>
      <c r="B2664" s="20" t="s">
        <v>690</v>
      </c>
      <c r="C2664" s="20">
        <v>93.0</v>
      </c>
      <c r="D2664" s="20" t="s">
        <v>731</v>
      </c>
      <c r="E2664" s="20" t="s">
        <v>101</v>
      </c>
      <c r="F2664" s="20" t="s">
        <v>590</v>
      </c>
    </row>
    <row r="2665">
      <c r="A2665" s="26">
        <v>44913.60807805556</v>
      </c>
      <c r="B2665" s="20" t="s">
        <v>690</v>
      </c>
      <c r="C2665" s="20">
        <v>281.0</v>
      </c>
      <c r="D2665" s="20" t="s">
        <v>675</v>
      </c>
      <c r="E2665" s="20" t="s">
        <v>101</v>
      </c>
      <c r="F2665" s="20" t="s">
        <v>590</v>
      </c>
    </row>
    <row r="2666">
      <c r="A2666" s="26">
        <v>44913.609048865736</v>
      </c>
      <c r="B2666" s="20" t="s">
        <v>690</v>
      </c>
      <c r="C2666" s="20">
        <v>188.0</v>
      </c>
      <c r="D2666" s="20" t="s">
        <v>602</v>
      </c>
      <c r="E2666" s="20" t="s">
        <v>101</v>
      </c>
      <c r="F2666" s="20" t="s">
        <v>590</v>
      </c>
    </row>
    <row r="2667">
      <c r="A2667" s="26">
        <v>44913.61003118056</v>
      </c>
      <c r="B2667" s="20" t="s">
        <v>690</v>
      </c>
      <c r="C2667" s="20">
        <v>59.0</v>
      </c>
      <c r="D2667" s="20" t="s">
        <v>732</v>
      </c>
      <c r="E2667" s="20" t="s">
        <v>101</v>
      </c>
      <c r="F2667" s="20" t="s">
        <v>590</v>
      </c>
    </row>
    <row r="2668">
      <c r="A2668" s="26">
        <v>44913.610753796296</v>
      </c>
      <c r="B2668" s="20" t="s">
        <v>690</v>
      </c>
      <c r="C2668" s="20">
        <v>85.0</v>
      </c>
      <c r="D2668" s="20" t="s">
        <v>587</v>
      </c>
      <c r="E2668" s="20" t="s">
        <v>101</v>
      </c>
      <c r="F2668" s="20" t="s">
        <v>590</v>
      </c>
    </row>
    <row r="2669">
      <c r="A2669" s="26">
        <v>44913.61161116898</v>
      </c>
      <c r="B2669" s="20" t="s">
        <v>366</v>
      </c>
      <c r="C2669" s="20">
        <v>692.0</v>
      </c>
      <c r="D2669" s="20" t="s">
        <v>587</v>
      </c>
      <c r="E2669" s="20" t="s">
        <v>733</v>
      </c>
      <c r="F2669" s="20" t="s">
        <v>590</v>
      </c>
    </row>
    <row r="2670">
      <c r="A2670" s="26">
        <v>44913.61302975695</v>
      </c>
      <c r="B2670" s="20" t="s">
        <v>690</v>
      </c>
      <c r="C2670" s="20">
        <v>574.0</v>
      </c>
      <c r="D2670" s="20" t="s">
        <v>734</v>
      </c>
      <c r="E2670" s="20" t="s">
        <v>101</v>
      </c>
      <c r="F2670" s="20" t="s">
        <v>590</v>
      </c>
    </row>
    <row r="2671">
      <c r="A2671" s="28">
        <v>44913.0</v>
      </c>
      <c r="B2671" s="20" t="s">
        <v>345</v>
      </c>
      <c r="C2671" s="20">
        <v>18.0</v>
      </c>
      <c r="D2671" s="20" t="s">
        <v>701</v>
      </c>
      <c r="E2671" s="20" t="s">
        <v>735</v>
      </c>
      <c r="F2671" s="20" t="s">
        <v>590</v>
      </c>
    </row>
    <row r="2672">
      <c r="A2672" s="26">
        <v>44913.67085064815</v>
      </c>
      <c r="C2672" s="20">
        <v>1064.0</v>
      </c>
      <c r="D2672" s="20" t="s">
        <v>585</v>
      </c>
      <c r="E2672" s="20" t="s">
        <v>65</v>
      </c>
      <c r="F2672" s="20" t="s">
        <v>449</v>
      </c>
    </row>
    <row r="2673">
      <c r="A2673" s="26">
        <v>44916.609660601855</v>
      </c>
      <c r="B2673" s="20" t="s">
        <v>345</v>
      </c>
      <c r="C2673" s="20">
        <v>84.0</v>
      </c>
      <c r="D2673" s="20" t="s">
        <v>585</v>
      </c>
      <c r="E2673" s="20" t="s">
        <v>644</v>
      </c>
      <c r="F2673" s="20" t="s">
        <v>455</v>
      </c>
    </row>
    <row r="2674">
      <c r="A2674" s="26">
        <v>44916.610027187504</v>
      </c>
      <c r="B2674" s="20" t="s">
        <v>345</v>
      </c>
      <c r="C2674" s="20">
        <v>258.0</v>
      </c>
      <c r="D2674" s="20" t="s">
        <v>587</v>
      </c>
      <c r="E2674" s="20" t="s">
        <v>736</v>
      </c>
      <c r="F2674" s="20" t="s">
        <v>455</v>
      </c>
    </row>
    <row r="2675">
      <c r="A2675" s="26">
        <v>44916.63681898148</v>
      </c>
      <c r="B2675" s="20" t="s">
        <v>690</v>
      </c>
      <c r="C2675" s="20">
        <v>1002.0</v>
      </c>
      <c r="D2675" s="20" t="s">
        <v>675</v>
      </c>
      <c r="E2675" s="20" t="s">
        <v>737</v>
      </c>
      <c r="F2675" s="20" t="s">
        <v>590</v>
      </c>
    </row>
    <row r="2676">
      <c r="A2676" s="26">
        <v>44916.638167268524</v>
      </c>
      <c r="B2676" s="20" t="s">
        <v>366</v>
      </c>
      <c r="C2676" s="20">
        <v>1017.0</v>
      </c>
      <c r="D2676" s="20" t="s">
        <v>675</v>
      </c>
      <c r="E2676" s="20" t="s">
        <v>738</v>
      </c>
      <c r="F2676" s="20" t="s">
        <v>590</v>
      </c>
    </row>
    <row r="2677">
      <c r="A2677" s="26">
        <v>44916.63950133102</v>
      </c>
      <c r="B2677" s="20" t="s">
        <v>690</v>
      </c>
      <c r="C2677" s="20">
        <v>1022.0</v>
      </c>
      <c r="D2677" s="20" t="s">
        <v>675</v>
      </c>
      <c r="E2677" s="20" t="s">
        <v>738</v>
      </c>
      <c r="F2677" s="20" t="s">
        <v>590</v>
      </c>
    </row>
    <row r="2678">
      <c r="A2678" s="26">
        <v>44916.64126138889</v>
      </c>
      <c r="B2678" s="20" t="s">
        <v>690</v>
      </c>
      <c r="C2678" s="20">
        <v>1070.0</v>
      </c>
      <c r="D2678" s="20" t="s">
        <v>675</v>
      </c>
      <c r="E2678" s="20" t="s">
        <v>738</v>
      </c>
      <c r="F2678" s="20" t="s">
        <v>590</v>
      </c>
    </row>
    <row r="2679">
      <c r="A2679" s="26">
        <v>44916.64204928241</v>
      </c>
      <c r="B2679" s="20" t="s">
        <v>690</v>
      </c>
      <c r="C2679" s="20">
        <v>1011.0</v>
      </c>
      <c r="D2679" s="20" t="s">
        <v>675</v>
      </c>
      <c r="E2679" s="20" t="s">
        <v>738</v>
      </c>
      <c r="F2679" s="20" t="s">
        <v>590</v>
      </c>
    </row>
    <row r="2680">
      <c r="A2680" s="26">
        <v>44916.643561793986</v>
      </c>
      <c r="B2680" s="20" t="s">
        <v>690</v>
      </c>
      <c r="C2680" s="20">
        <v>1015.0</v>
      </c>
      <c r="D2680" s="20" t="s">
        <v>727</v>
      </c>
      <c r="E2680" s="20" t="s">
        <v>739</v>
      </c>
      <c r="F2680" s="20" t="s">
        <v>590</v>
      </c>
    </row>
    <row r="2681">
      <c r="A2681" s="26">
        <v>44916.644236886576</v>
      </c>
      <c r="B2681" s="20" t="s">
        <v>690</v>
      </c>
      <c r="C2681" s="20">
        <v>984.0</v>
      </c>
      <c r="D2681" s="20" t="s">
        <v>727</v>
      </c>
      <c r="E2681" s="20" t="s">
        <v>739</v>
      </c>
      <c r="F2681" s="20" t="s">
        <v>590</v>
      </c>
    </row>
    <row r="2682">
      <c r="A2682" s="26">
        <v>44916.64870922454</v>
      </c>
      <c r="B2682" s="20" t="s">
        <v>366</v>
      </c>
      <c r="C2682" s="20">
        <v>1014.0</v>
      </c>
      <c r="D2682" s="20" t="s">
        <v>740</v>
      </c>
      <c r="E2682" s="20" t="s">
        <v>739</v>
      </c>
      <c r="F2682" s="20" t="s">
        <v>590</v>
      </c>
    </row>
    <row r="2683">
      <c r="A2683" s="26">
        <v>44916.64943951389</v>
      </c>
      <c r="B2683" s="20" t="s">
        <v>690</v>
      </c>
      <c r="C2683" s="20">
        <v>1050.0</v>
      </c>
      <c r="D2683" s="20" t="s">
        <v>675</v>
      </c>
      <c r="E2683" s="20" t="s">
        <v>739</v>
      </c>
      <c r="F2683" s="20" t="s">
        <v>590</v>
      </c>
    </row>
    <row r="2684">
      <c r="A2684" s="26">
        <v>44916.65002912037</v>
      </c>
      <c r="B2684" s="20" t="s">
        <v>366</v>
      </c>
      <c r="C2684" s="20">
        <v>1025.0</v>
      </c>
      <c r="D2684" s="20" t="s">
        <v>727</v>
      </c>
      <c r="E2684" s="20" t="s">
        <v>741</v>
      </c>
      <c r="F2684" s="20" t="s">
        <v>590</v>
      </c>
    </row>
    <row r="2685">
      <c r="A2685" s="26">
        <v>44916.65075396991</v>
      </c>
      <c r="B2685" s="20" t="s">
        <v>690</v>
      </c>
      <c r="C2685" s="20">
        <v>755.0</v>
      </c>
      <c r="D2685" s="20" t="s">
        <v>675</v>
      </c>
      <c r="E2685" s="20" t="s">
        <v>739</v>
      </c>
      <c r="F2685" s="20" t="s">
        <v>590</v>
      </c>
    </row>
    <row r="2686">
      <c r="A2686" s="26">
        <v>44916.65362994213</v>
      </c>
      <c r="B2686" s="20" t="s">
        <v>690</v>
      </c>
      <c r="C2686" s="20">
        <v>1012.0</v>
      </c>
      <c r="D2686" s="20" t="s">
        <v>675</v>
      </c>
      <c r="E2686" s="20" t="s">
        <v>739</v>
      </c>
      <c r="F2686" s="20" t="s">
        <v>590</v>
      </c>
    </row>
    <row r="2687">
      <c r="A2687" s="26">
        <v>44916.65434648148</v>
      </c>
      <c r="B2687" s="20" t="s">
        <v>690</v>
      </c>
      <c r="C2687" s="20">
        <v>896.0</v>
      </c>
      <c r="D2687" s="20" t="s">
        <v>602</v>
      </c>
      <c r="E2687" s="20" t="s">
        <v>96</v>
      </c>
      <c r="F2687" s="20" t="s">
        <v>590</v>
      </c>
    </row>
    <row r="2688">
      <c r="A2688" s="26">
        <v>44916.6547821875</v>
      </c>
      <c r="B2688" s="20" t="s">
        <v>690</v>
      </c>
      <c r="C2688" s="20">
        <v>502.0</v>
      </c>
      <c r="D2688" s="20" t="s">
        <v>602</v>
      </c>
      <c r="E2688" s="20" t="s">
        <v>96</v>
      </c>
      <c r="F2688" s="20" t="s">
        <v>590</v>
      </c>
    </row>
    <row r="2689">
      <c r="A2689" s="26">
        <v>44916.69068100695</v>
      </c>
      <c r="B2689" s="20" t="s">
        <v>690</v>
      </c>
      <c r="C2689" s="20">
        <v>985.0</v>
      </c>
      <c r="D2689" s="20" t="s">
        <v>727</v>
      </c>
      <c r="E2689" s="20" t="s">
        <v>742</v>
      </c>
      <c r="F2689" s="20" t="s">
        <v>590</v>
      </c>
    </row>
    <row r="2690">
      <c r="A2690" s="26">
        <v>44916.69255099537</v>
      </c>
      <c r="B2690" s="20" t="s">
        <v>690</v>
      </c>
      <c r="C2690" s="20">
        <v>846.0</v>
      </c>
      <c r="D2690" s="20" t="s">
        <v>675</v>
      </c>
      <c r="E2690" s="20" t="s">
        <v>743</v>
      </c>
      <c r="F2690" s="20" t="s">
        <v>590</v>
      </c>
    </row>
    <row r="2691">
      <c r="A2691" s="26">
        <v>44916.69330368056</v>
      </c>
      <c r="B2691" s="20" t="s">
        <v>690</v>
      </c>
      <c r="C2691" s="20">
        <v>1101.0</v>
      </c>
      <c r="D2691" s="20" t="s">
        <v>675</v>
      </c>
      <c r="E2691" s="20" t="s">
        <v>739</v>
      </c>
      <c r="F2691" s="20" t="s">
        <v>590</v>
      </c>
    </row>
    <row r="2692">
      <c r="A2692" s="26">
        <v>44916.694095405095</v>
      </c>
      <c r="B2692" s="20" t="s">
        <v>690</v>
      </c>
      <c r="C2692" s="20">
        <v>1378.0</v>
      </c>
      <c r="D2692" s="20" t="s">
        <v>675</v>
      </c>
      <c r="E2692" s="20" t="s">
        <v>739</v>
      </c>
      <c r="F2692" s="20" t="s">
        <v>590</v>
      </c>
    </row>
    <row r="2693">
      <c r="A2693" s="26">
        <v>44916.694909756945</v>
      </c>
      <c r="B2693" s="20" t="s">
        <v>690</v>
      </c>
      <c r="C2693" s="20">
        <v>1045.0</v>
      </c>
      <c r="D2693" s="20" t="s">
        <v>675</v>
      </c>
      <c r="E2693" s="20" t="s">
        <v>739</v>
      </c>
      <c r="F2693" s="20" t="s">
        <v>590</v>
      </c>
    </row>
    <row r="2694">
      <c r="A2694" s="26">
        <v>44922.5218415625</v>
      </c>
      <c r="B2694" s="20" t="s">
        <v>345</v>
      </c>
      <c r="C2694" s="20">
        <v>586.0</v>
      </c>
      <c r="D2694" s="20" t="s">
        <v>602</v>
      </c>
      <c r="E2694" s="20" t="s">
        <v>75</v>
      </c>
      <c r="F2694" s="20" t="s">
        <v>455</v>
      </c>
    </row>
    <row r="2695">
      <c r="A2695" s="26">
        <v>44922.52223570602</v>
      </c>
      <c r="B2695" s="20" t="s">
        <v>345</v>
      </c>
      <c r="C2695" s="20">
        <v>677.0</v>
      </c>
      <c r="D2695" s="20" t="s">
        <v>665</v>
      </c>
      <c r="E2695" s="20" t="s">
        <v>75</v>
      </c>
      <c r="F2695" s="20" t="s">
        <v>455</v>
      </c>
    </row>
    <row r="2696">
      <c r="A2696" s="26">
        <v>44922.52301833333</v>
      </c>
      <c r="B2696" s="20" t="s">
        <v>345</v>
      </c>
      <c r="C2696" s="20">
        <v>765.0</v>
      </c>
      <c r="D2696" s="20" t="s">
        <v>586</v>
      </c>
      <c r="E2696" s="20" t="s">
        <v>75</v>
      </c>
      <c r="F2696" s="20" t="s">
        <v>455</v>
      </c>
    </row>
    <row r="2697">
      <c r="A2697" s="26">
        <v>44922.52326958333</v>
      </c>
      <c r="B2697" s="20" t="s">
        <v>345</v>
      </c>
      <c r="C2697" s="20">
        <v>199.0</v>
      </c>
      <c r="D2697" s="20" t="s">
        <v>744</v>
      </c>
      <c r="E2697" s="20" t="s">
        <v>75</v>
      </c>
      <c r="F2697" s="20" t="s">
        <v>455</v>
      </c>
    </row>
    <row r="2698">
      <c r="A2698" s="26">
        <v>44922.52350679398</v>
      </c>
      <c r="B2698" s="20" t="s">
        <v>345</v>
      </c>
      <c r="C2698" s="20">
        <v>587.0</v>
      </c>
      <c r="D2698" s="20" t="s">
        <v>602</v>
      </c>
      <c r="E2698" s="20" t="s">
        <v>75</v>
      </c>
      <c r="F2698" s="20" t="s">
        <v>455</v>
      </c>
    </row>
    <row r="2699">
      <c r="A2699" s="26">
        <v>44922.52398773148</v>
      </c>
      <c r="B2699" s="20" t="s">
        <v>345</v>
      </c>
      <c r="C2699" s="20">
        <v>599.0</v>
      </c>
      <c r="D2699" s="20" t="s">
        <v>602</v>
      </c>
      <c r="E2699" s="20" t="s">
        <v>75</v>
      </c>
      <c r="F2699" s="20" t="s">
        <v>455</v>
      </c>
    </row>
    <row r="2700">
      <c r="A2700" s="26">
        <v>44922.52432820602</v>
      </c>
      <c r="B2700" s="20" t="s">
        <v>345</v>
      </c>
      <c r="C2700" s="20">
        <v>723.0</v>
      </c>
      <c r="D2700" s="20" t="s">
        <v>665</v>
      </c>
      <c r="E2700" s="20" t="s">
        <v>75</v>
      </c>
      <c r="F2700" s="20" t="s">
        <v>455</v>
      </c>
    </row>
    <row r="2701">
      <c r="A2701" s="26">
        <v>44922.524568877314</v>
      </c>
      <c r="B2701" s="20" t="s">
        <v>345</v>
      </c>
      <c r="C2701" s="20">
        <v>271.0</v>
      </c>
      <c r="D2701" s="20" t="s">
        <v>586</v>
      </c>
      <c r="E2701" s="20" t="s">
        <v>75</v>
      </c>
      <c r="F2701" s="20" t="s">
        <v>455</v>
      </c>
    </row>
    <row r="2702">
      <c r="A2702" s="26">
        <v>44922.52484665509</v>
      </c>
      <c r="B2702" s="20" t="s">
        <v>345</v>
      </c>
      <c r="C2702" s="20">
        <v>136.0</v>
      </c>
      <c r="D2702" s="20" t="s">
        <v>744</v>
      </c>
      <c r="E2702" s="20" t="s">
        <v>75</v>
      </c>
      <c r="F2702" s="20" t="s">
        <v>455</v>
      </c>
    </row>
    <row r="2703">
      <c r="A2703" s="26">
        <v>44922.52518866898</v>
      </c>
      <c r="B2703" s="20" t="s">
        <v>345</v>
      </c>
      <c r="C2703" s="20">
        <v>87.0</v>
      </c>
      <c r="D2703" s="20" t="s">
        <v>40</v>
      </c>
      <c r="E2703" s="20" t="s">
        <v>75</v>
      </c>
      <c r="F2703" s="20" t="s">
        <v>455</v>
      </c>
    </row>
    <row r="2704">
      <c r="A2704" s="26">
        <v>44922.5253977199</v>
      </c>
      <c r="B2704" s="20" t="s">
        <v>345</v>
      </c>
      <c r="C2704" s="20">
        <v>890.0</v>
      </c>
      <c r="D2704" s="20" t="s">
        <v>40</v>
      </c>
      <c r="E2704" s="20" t="s">
        <v>75</v>
      </c>
      <c r="F2704" s="20" t="s">
        <v>455</v>
      </c>
    </row>
    <row r="2705">
      <c r="A2705" s="26">
        <v>44922.52560650463</v>
      </c>
      <c r="B2705" s="20" t="s">
        <v>345</v>
      </c>
      <c r="C2705" s="20">
        <v>477.0</v>
      </c>
      <c r="D2705" s="20" t="s">
        <v>40</v>
      </c>
      <c r="E2705" s="20" t="s">
        <v>75</v>
      </c>
      <c r="F2705" s="20" t="s">
        <v>455</v>
      </c>
    </row>
    <row r="2706">
      <c r="A2706" s="26">
        <v>44922.525884675924</v>
      </c>
      <c r="B2706" s="20" t="s">
        <v>345</v>
      </c>
      <c r="C2706" s="20">
        <v>433.0</v>
      </c>
      <c r="D2706" s="20" t="s">
        <v>646</v>
      </c>
      <c r="E2706" s="20" t="s">
        <v>75</v>
      </c>
      <c r="F2706" s="20" t="s">
        <v>455</v>
      </c>
    </row>
    <row r="2707">
      <c r="A2707" s="26">
        <v>44922.52616109954</v>
      </c>
      <c r="B2707" s="20" t="s">
        <v>345</v>
      </c>
      <c r="C2707" s="20">
        <v>579.0</v>
      </c>
      <c r="D2707" s="20" t="s">
        <v>646</v>
      </c>
      <c r="E2707" s="20" t="s">
        <v>75</v>
      </c>
      <c r="F2707" s="20" t="s">
        <v>455</v>
      </c>
    </row>
    <row r="2708">
      <c r="A2708" s="26">
        <v>44922.526395196764</v>
      </c>
      <c r="B2708" s="20" t="s">
        <v>345</v>
      </c>
      <c r="C2708" s="20">
        <v>104.0</v>
      </c>
      <c r="D2708" s="20" t="s">
        <v>744</v>
      </c>
      <c r="E2708" s="20" t="s">
        <v>75</v>
      </c>
      <c r="F2708" s="20" t="s">
        <v>590</v>
      </c>
    </row>
    <row r="2709">
      <c r="A2709" s="26">
        <v>44922.52701278935</v>
      </c>
      <c r="B2709" s="20" t="s">
        <v>345</v>
      </c>
      <c r="C2709" s="20">
        <v>623.0</v>
      </c>
      <c r="D2709" s="20" t="s">
        <v>40</v>
      </c>
      <c r="E2709" s="20" t="s">
        <v>75</v>
      </c>
      <c r="F2709" s="20" t="s">
        <v>455</v>
      </c>
    </row>
    <row r="2710">
      <c r="A2710" s="26">
        <v>44922.52728353009</v>
      </c>
      <c r="B2710" s="20" t="s">
        <v>345</v>
      </c>
      <c r="C2710" s="20">
        <v>912.0</v>
      </c>
      <c r="D2710" s="20" t="s">
        <v>602</v>
      </c>
      <c r="E2710" s="20" t="s">
        <v>75</v>
      </c>
      <c r="F2710" s="20" t="s">
        <v>455</v>
      </c>
    </row>
    <row r="2711">
      <c r="A2711" s="26">
        <v>44922.527537766204</v>
      </c>
      <c r="B2711" s="20" t="s">
        <v>345</v>
      </c>
      <c r="C2711" s="20">
        <v>-181.0</v>
      </c>
      <c r="D2711" s="20" t="s">
        <v>602</v>
      </c>
      <c r="E2711" s="20" t="s">
        <v>75</v>
      </c>
      <c r="F2711" s="20" t="s">
        <v>455</v>
      </c>
    </row>
    <row r="2712">
      <c r="A2712" s="26">
        <v>44922.52807741898</v>
      </c>
      <c r="B2712" s="20" t="s">
        <v>345</v>
      </c>
      <c r="C2712" s="20">
        <v>-689.0</v>
      </c>
      <c r="D2712" s="20" t="s">
        <v>602</v>
      </c>
      <c r="E2712" s="20" t="s">
        <v>75</v>
      </c>
      <c r="F2712" s="20" t="s">
        <v>455</v>
      </c>
    </row>
    <row r="2713">
      <c r="A2713" s="26">
        <v>44922.52831318287</v>
      </c>
      <c r="B2713" s="20" t="s">
        <v>345</v>
      </c>
      <c r="C2713" s="20">
        <v>-131.0</v>
      </c>
      <c r="D2713" s="20" t="s">
        <v>587</v>
      </c>
      <c r="E2713" s="20" t="s">
        <v>75</v>
      </c>
      <c r="F2713" s="20" t="s">
        <v>455</v>
      </c>
    </row>
    <row r="2714">
      <c r="A2714" s="26">
        <v>44922.52860621527</v>
      </c>
      <c r="B2714" s="20" t="s">
        <v>345</v>
      </c>
      <c r="C2714" s="20">
        <v>-117.0</v>
      </c>
      <c r="D2714" s="20" t="s">
        <v>665</v>
      </c>
      <c r="E2714" s="20" t="s">
        <v>75</v>
      </c>
      <c r="F2714" s="20" t="s">
        <v>455</v>
      </c>
    </row>
    <row r="2715">
      <c r="A2715" s="26">
        <v>44922.64751548611</v>
      </c>
      <c r="B2715" s="20" t="s">
        <v>163</v>
      </c>
      <c r="C2715" s="20">
        <v>1386.0</v>
      </c>
      <c r="D2715" s="20" t="s">
        <v>745</v>
      </c>
      <c r="E2715" s="20" t="s">
        <v>746</v>
      </c>
      <c r="F2715" s="20" t="s">
        <v>590</v>
      </c>
    </row>
    <row r="2716">
      <c r="A2716" s="26">
        <v>44922.64861820602</v>
      </c>
      <c r="B2716" s="20" t="s">
        <v>163</v>
      </c>
      <c r="C2716" s="20">
        <v>2144.0</v>
      </c>
      <c r="D2716" s="20" t="s">
        <v>745</v>
      </c>
      <c r="E2716" s="20" t="s">
        <v>746</v>
      </c>
      <c r="F2716" s="20" t="s">
        <v>590</v>
      </c>
    </row>
    <row r="2717">
      <c r="A2717" s="26">
        <v>44922.649447731485</v>
      </c>
      <c r="B2717" s="20" t="s">
        <v>163</v>
      </c>
      <c r="C2717" s="20">
        <v>1566.0</v>
      </c>
      <c r="D2717" s="20" t="s">
        <v>745</v>
      </c>
      <c r="E2717" s="20" t="s">
        <v>746</v>
      </c>
      <c r="F2717" s="20" t="s">
        <v>590</v>
      </c>
    </row>
    <row r="2718">
      <c r="A2718" s="26">
        <v>44922.65016417824</v>
      </c>
      <c r="B2718" s="20" t="s">
        <v>163</v>
      </c>
      <c r="C2718" s="20">
        <v>2023.0</v>
      </c>
      <c r="D2718" s="20" t="s">
        <v>745</v>
      </c>
      <c r="E2718" s="20" t="s">
        <v>746</v>
      </c>
      <c r="F2718" s="20" t="s">
        <v>590</v>
      </c>
    </row>
    <row r="2719">
      <c r="A2719" s="26">
        <v>44922.65091737268</v>
      </c>
      <c r="B2719" s="20" t="s">
        <v>163</v>
      </c>
      <c r="C2719" s="20">
        <v>462.0</v>
      </c>
      <c r="D2719" s="20" t="s">
        <v>36</v>
      </c>
      <c r="E2719" s="20" t="s">
        <v>746</v>
      </c>
      <c r="F2719" s="20" t="s">
        <v>590</v>
      </c>
    </row>
    <row r="2720">
      <c r="A2720" s="26">
        <v>44923.62496800926</v>
      </c>
      <c r="B2720" s="20" t="s">
        <v>690</v>
      </c>
      <c r="C2720" s="20">
        <v>1235.0</v>
      </c>
      <c r="D2720" s="20" t="s">
        <v>727</v>
      </c>
      <c r="E2720" s="20" t="s">
        <v>96</v>
      </c>
      <c r="F2720" s="20" t="s">
        <v>590</v>
      </c>
    </row>
    <row r="2721">
      <c r="A2721" s="26">
        <v>44923.627005</v>
      </c>
      <c r="B2721" s="20" t="s">
        <v>690</v>
      </c>
      <c r="C2721" s="20">
        <v>90.0</v>
      </c>
      <c r="D2721" s="20" t="s">
        <v>585</v>
      </c>
      <c r="E2721" s="20" t="s">
        <v>644</v>
      </c>
      <c r="F2721" s="20" t="s">
        <v>590</v>
      </c>
    </row>
    <row r="2722">
      <c r="A2722" s="26">
        <v>44923.62771217593</v>
      </c>
      <c r="B2722" s="20" t="s">
        <v>690</v>
      </c>
      <c r="C2722" s="20">
        <v>149.0</v>
      </c>
      <c r="D2722" s="20" t="s">
        <v>585</v>
      </c>
      <c r="E2722" s="20" t="s">
        <v>747</v>
      </c>
      <c r="F2722" s="20" t="s">
        <v>590</v>
      </c>
    </row>
    <row r="2723">
      <c r="A2723" s="26">
        <v>44923.62832664352</v>
      </c>
      <c r="B2723" s="20" t="s">
        <v>690</v>
      </c>
      <c r="C2723" s="20">
        <v>49.0</v>
      </c>
      <c r="D2723" s="20" t="s">
        <v>585</v>
      </c>
      <c r="E2723" s="20" t="s">
        <v>644</v>
      </c>
      <c r="F2723" s="20" t="s">
        <v>455</v>
      </c>
    </row>
    <row r="2724">
      <c r="A2724" s="26">
        <v>44923.629150266206</v>
      </c>
      <c r="B2724" s="20" t="s">
        <v>690</v>
      </c>
      <c r="C2724" s="20">
        <v>239.0</v>
      </c>
      <c r="D2724" s="20" t="s">
        <v>602</v>
      </c>
      <c r="E2724" s="20" t="s">
        <v>96</v>
      </c>
      <c r="F2724" s="20" t="s">
        <v>590</v>
      </c>
    </row>
    <row r="2725">
      <c r="A2725" s="26">
        <v>44923.62981755787</v>
      </c>
      <c r="B2725" s="20" t="s">
        <v>690</v>
      </c>
      <c r="C2725" s="20">
        <v>853.0</v>
      </c>
      <c r="D2725" s="20" t="s">
        <v>36</v>
      </c>
      <c r="E2725" s="20" t="s">
        <v>96</v>
      </c>
      <c r="F2725" s="20" t="s">
        <v>590</v>
      </c>
    </row>
    <row r="2726">
      <c r="A2726" s="26">
        <v>44923.63079835648</v>
      </c>
      <c r="B2726" s="20" t="s">
        <v>690</v>
      </c>
      <c r="C2726" s="20">
        <v>764.0</v>
      </c>
      <c r="D2726" s="20" t="s">
        <v>740</v>
      </c>
      <c r="E2726" s="20" t="s">
        <v>589</v>
      </c>
      <c r="F2726" s="20" t="s">
        <v>590</v>
      </c>
    </row>
    <row r="2727">
      <c r="A2727" s="26">
        <v>44923.63141258102</v>
      </c>
      <c r="B2727" s="20" t="s">
        <v>690</v>
      </c>
      <c r="C2727" s="20">
        <v>231.0</v>
      </c>
      <c r="D2727" s="20" t="s">
        <v>602</v>
      </c>
      <c r="E2727" s="20" t="s">
        <v>589</v>
      </c>
      <c r="F2727" s="20" t="s">
        <v>590</v>
      </c>
    </row>
    <row r="2728">
      <c r="A2728" s="26">
        <v>44923.63183363426</v>
      </c>
      <c r="B2728" s="20" t="s">
        <v>690</v>
      </c>
      <c r="C2728" s="20">
        <v>864.0</v>
      </c>
      <c r="D2728" s="20" t="s">
        <v>36</v>
      </c>
      <c r="E2728" s="20" t="s">
        <v>589</v>
      </c>
      <c r="F2728" s="20" t="s">
        <v>590</v>
      </c>
    </row>
    <row r="2729">
      <c r="A2729" s="26">
        <v>44924.61239991898</v>
      </c>
      <c r="B2729" s="20" t="s">
        <v>683</v>
      </c>
      <c r="C2729" s="20">
        <v>1317.0</v>
      </c>
      <c r="D2729" s="20" t="s">
        <v>585</v>
      </c>
      <c r="E2729" s="20" t="s">
        <v>65</v>
      </c>
      <c r="F2729" s="20" t="s">
        <v>449</v>
      </c>
    </row>
    <row r="2730">
      <c r="A2730" s="26">
        <v>44924.65891921296</v>
      </c>
      <c r="B2730" s="20" t="s">
        <v>67</v>
      </c>
      <c r="C2730" s="20">
        <v>758.0</v>
      </c>
      <c r="D2730" s="20" t="s">
        <v>36</v>
      </c>
      <c r="E2730" s="20" t="s">
        <v>81</v>
      </c>
      <c r="F2730" s="20" t="s">
        <v>449</v>
      </c>
    </row>
    <row r="2731">
      <c r="A2731" s="26">
        <v>44924.65969079861</v>
      </c>
      <c r="B2731" s="20" t="s">
        <v>67</v>
      </c>
      <c r="C2731" s="20">
        <v>608.0</v>
      </c>
      <c r="D2731" s="20" t="s">
        <v>665</v>
      </c>
      <c r="E2731" s="20" t="s">
        <v>81</v>
      </c>
      <c r="F2731" s="20" t="s">
        <v>449</v>
      </c>
    </row>
    <row r="2732">
      <c r="A2732" s="26">
        <v>44924.66037600694</v>
      </c>
      <c r="B2732" s="20" t="s">
        <v>67</v>
      </c>
      <c r="C2732" s="20">
        <v>127.0</v>
      </c>
      <c r="D2732" s="20" t="s">
        <v>748</v>
      </c>
      <c r="E2732" s="20" t="s">
        <v>81</v>
      </c>
      <c r="F2732" s="20" t="s">
        <v>449</v>
      </c>
    </row>
    <row r="2733">
      <c r="A2733" s="26">
        <v>44924.66118581018</v>
      </c>
      <c r="B2733" s="20" t="s">
        <v>67</v>
      </c>
      <c r="C2733" s="20">
        <v>-212.0</v>
      </c>
      <c r="D2733" s="20" t="s">
        <v>36</v>
      </c>
      <c r="E2733" s="20" t="s">
        <v>81</v>
      </c>
      <c r="F2733" s="20" t="s">
        <v>449</v>
      </c>
    </row>
    <row r="2734">
      <c r="A2734" s="26">
        <v>44925.68660746528</v>
      </c>
      <c r="B2734" s="20" t="s">
        <v>576</v>
      </c>
      <c r="C2734" s="20">
        <v>232.0</v>
      </c>
      <c r="D2734" s="20" t="s">
        <v>587</v>
      </c>
      <c r="E2734" s="20" t="s">
        <v>60</v>
      </c>
      <c r="F2734" s="20" t="s">
        <v>455</v>
      </c>
    </row>
    <row r="2735">
      <c r="A2735" s="26">
        <v>44926.54473570602</v>
      </c>
      <c r="B2735" s="20" t="s">
        <v>690</v>
      </c>
      <c r="C2735" s="20">
        <v>667.0</v>
      </c>
      <c r="D2735" s="20" t="s">
        <v>646</v>
      </c>
      <c r="E2735" s="20" t="s">
        <v>75</v>
      </c>
      <c r="F2735" s="20" t="s">
        <v>590</v>
      </c>
    </row>
    <row r="2736">
      <c r="A2736" s="26">
        <v>44926.54557618056</v>
      </c>
      <c r="B2736" s="20" t="s">
        <v>690</v>
      </c>
      <c r="C2736" s="20">
        <v>1112.0</v>
      </c>
      <c r="D2736" s="20" t="s">
        <v>671</v>
      </c>
      <c r="E2736" s="20" t="s">
        <v>75</v>
      </c>
      <c r="F2736" s="20" t="s">
        <v>590</v>
      </c>
    </row>
    <row r="2737">
      <c r="A2737" s="26">
        <v>44926.54628064815</v>
      </c>
      <c r="B2737" s="20" t="s">
        <v>690</v>
      </c>
      <c r="C2737" s="20">
        <v>295.0</v>
      </c>
      <c r="D2737" s="20" t="s">
        <v>156</v>
      </c>
      <c r="E2737" s="20" t="s">
        <v>75</v>
      </c>
      <c r="F2737" s="20" t="s">
        <v>590</v>
      </c>
    </row>
    <row r="2738">
      <c r="A2738" s="26">
        <v>44926.549180462964</v>
      </c>
      <c r="B2738" s="20" t="s">
        <v>690</v>
      </c>
      <c r="C2738" s="20">
        <v>1124.0</v>
      </c>
      <c r="D2738" s="20" t="s">
        <v>36</v>
      </c>
      <c r="E2738" s="20" t="s">
        <v>75</v>
      </c>
      <c r="F2738" s="20" t="s">
        <v>590</v>
      </c>
    </row>
    <row r="2739">
      <c r="A2739" s="26">
        <v>44926.5502965162</v>
      </c>
      <c r="B2739" s="20" t="s">
        <v>366</v>
      </c>
      <c r="C2739" s="20">
        <v>1141.0</v>
      </c>
      <c r="D2739" s="20" t="s">
        <v>36</v>
      </c>
      <c r="E2739" s="20" t="s">
        <v>75</v>
      </c>
      <c r="F2739" s="20" t="s">
        <v>590</v>
      </c>
    </row>
    <row r="2740">
      <c r="A2740" s="26">
        <v>44926.550712372686</v>
      </c>
      <c r="B2740" s="20" t="s">
        <v>366</v>
      </c>
      <c r="C2740" s="20">
        <v>424.0</v>
      </c>
      <c r="D2740" s="20" t="s">
        <v>40</v>
      </c>
      <c r="E2740" s="20" t="s">
        <v>75</v>
      </c>
      <c r="F2740" s="20" t="s">
        <v>590</v>
      </c>
    </row>
    <row r="2741">
      <c r="A2741" s="26">
        <v>44926.55878864584</v>
      </c>
      <c r="B2741" s="20" t="s">
        <v>749</v>
      </c>
      <c r="C2741" s="20">
        <v>274.0</v>
      </c>
      <c r="D2741" s="20" t="s">
        <v>602</v>
      </c>
      <c r="E2741" s="20" t="s">
        <v>75</v>
      </c>
      <c r="F2741" s="20" t="s">
        <v>590</v>
      </c>
    </row>
    <row r="2742">
      <c r="A2742" s="26">
        <v>44926.57752979167</v>
      </c>
      <c r="B2742" s="20" t="s">
        <v>750</v>
      </c>
      <c r="C2742" s="20">
        <v>785.0</v>
      </c>
      <c r="D2742" s="20" t="s">
        <v>602</v>
      </c>
      <c r="E2742" s="20" t="s">
        <v>75</v>
      </c>
      <c r="F2742" s="20" t="s">
        <v>590</v>
      </c>
    </row>
    <row r="2743">
      <c r="A2743" s="26">
        <v>44926.580481805555</v>
      </c>
      <c r="B2743" s="20" t="s">
        <v>690</v>
      </c>
      <c r="C2743" s="20">
        <v>375.0</v>
      </c>
      <c r="D2743" s="20" t="s">
        <v>593</v>
      </c>
      <c r="E2743" s="20" t="s">
        <v>75</v>
      </c>
      <c r="F2743" s="20" t="s">
        <v>590</v>
      </c>
    </row>
    <row r="2744">
      <c r="A2744" s="28">
        <v>44926.0</v>
      </c>
      <c r="B2744" s="20" t="s">
        <v>345</v>
      </c>
      <c r="C2744" s="20">
        <v>846.0</v>
      </c>
      <c r="D2744" s="20" t="s">
        <v>665</v>
      </c>
      <c r="E2744" s="20" t="s">
        <v>75</v>
      </c>
      <c r="F2744" s="20" t="s">
        <v>590</v>
      </c>
    </row>
    <row r="2745">
      <c r="A2745" s="26">
        <v>44926.6578931713</v>
      </c>
      <c r="B2745" s="20" t="s">
        <v>690</v>
      </c>
      <c r="C2745" s="20">
        <v>-138.0</v>
      </c>
      <c r="D2745" s="20" t="s">
        <v>593</v>
      </c>
      <c r="E2745" s="20" t="s">
        <v>75</v>
      </c>
      <c r="F2745" s="20" t="s">
        <v>590</v>
      </c>
    </row>
    <row r="2746">
      <c r="A2746" s="26">
        <v>44926.65838114583</v>
      </c>
      <c r="B2746" s="20" t="s">
        <v>690</v>
      </c>
      <c r="C2746" s="20">
        <v>-315.0</v>
      </c>
      <c r="D2746" s="20" t="s">
        <v>602</v>
      </c>
      <c r="E2746" s="20" t="s">
        <v>75</v>
      </c>
      <c r="F2746" s="20" t="s">
        <v>590</v>
      </c>
    </row>
    <row r="2747">
      <c r="A2747" s="26">
        <v>44926.66037020834</v>
      </c>
      <c r="B2747" s="20" t="s">
        <v>690</v>
      </c>
      <c r="C2747" s="20">
        <v>-936.0</v>
      </c>
      <c r="D2747" s="20" t="s">
        <v>727</v>
      </c>
      <c r="E2747" s="20" t="s">
        <v>75</v>
      </c>
      <c r="F2747" s="20" t="s">
        <v>590</v>
      </c>
    </row>
    <row r="2748">
      <c r="A2748" s="26">
        <v>44926.66318668981</v>
      </c>
      <c r="B2748" s="20" t="s">
        <v>690</v>
      </c>
      <c r="C2748" s="20">
        <v>-1135.0</v>
      </c>
      <c r="D2748" s="20" t="s">
        <v>36</v>
      </c>
      <c r="E2748" s="20" t="s">
        <v>75</v>
      </c>
      <c r="F2748" s="20" t="s">
        <v>590</v>
      </c>
    </row>
    <row r="2749">
      <c r="A2749" s="26">
        <v>44926.66612692129</v>
      </c>
      <c r="B2749" s="20" t="s">
        <v>690</v>
      </c>
      <c r="C2749" s="20">
        <v>-529.0</v>
      </c>
      <c r="D2749" s="20" t="s">
        <v>646</v>
      </c>
      <c r="E2749" s="20" t="s">
        <v>75</v>
      </c>
      <c r="F2749" s="20" t="s">
        <v>590</v>
      </c>
    </row>
    <row r="2750">
      <c r="A2750" s="28">
        <v>44926.0</v>
      </c>
      <c r="B2750" s="20" t="s">
        <v>345</v>
      </c>
      <c r="C2750" s="20">
        <v>-208.0</v>
      </c>
      <c r="D2750" s="20" t="s">
        <v>156</v>
      </c>
      <c r="E2750" s="20" t="s">
        <v>75</v>
      </c>
      <c r="F2750" s="20" t="s">
        <v>590</v>
      </c>
    </row>
    <row r="2751">
      <c r="A2751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s="24" t="s">
        <v>28</v>
      </c>
      <c r="B1" s="24" t="s">
        <v>29</v>
      </c>
      <c r="C1" s="35" t="s">
        <v>751</v>
      </c>
      <c r="D1" s="36" t="s">
        <v>752</v>
      </c>
    </row>
    <row r="2" hidden="1">
      <c r="A2" s="26">
        <v>44356.69467085648</v>
      </c>
      <c r="B2" s="20" t="s">
        <v>753</v>
      </c>
      <c r="C2" s="20">
        <v>2.0</v>
      </c>
      <c r="D2" s="27"/>
    </row>
    <row r="3" hidden="1">
      <c r="A3" s="26">
        <v>44356.695471643514</v>
      </c>
      <c r="B3" s="20" t="s">
        <v>754</v>
      </c>
      <c r="C3" s="20">
        <v>8.0</v>
      </c>
      <c r="D3" s="27"/>
    </row>
    <row r="4" hidden="1">
      <c r="A4" s="26">
        <v>44356.7017049537</v>
      </c>
      <c r="B4" s="20" t="s">
        <v>755</v>
      </c>
      <c r="C4" s="20">
        <v>10.0</v>
      </c>
      <c r="D4" s="27"/>
    </row>
    <row r="5" hidden="1">
      <c r="A5" s="26">
        <v>44356.70653278935</v>
      </c>
      <c r="B5" s="20" t="s">
        <v>756</v>
      </c>
      <c r="C5" s="20">
        <v>18.0</v>
      </c>
      <c r="D5" s="27"/>
    </row>
    <row r="6" hidden="1">
      <c r="A6" s="26">
        <v>44356.707132615746</v>
      </c>
      <c r="B6" s="20" t="s">
        <v>122</v>
      </c>
      <c r="C6" s="20">
        <v>18.0</v>
      </c>
      <c r="D6" s="27"/>
    </row>
    <row r="7" hidden="1">
      <c r="A7" s="26">
        <v>44356.84195192129</v>
      </c>
      <c r="B7" s="20" t="s">
        <v>757</v>
      </c>
      <c r="C7" s="20">
        <v>175.0</v>
      </c>
      <c r="D7" s="27"/>
    </row>
    <row r="8" hidden="1">
      <c r="A8" s="26">
        <v>44356.84977630787</v>
      </c>
      <c r="B8" s="20" t="s">
        <v>758</v>
      </c>
      <c r="C8" s="20">
        <v>21.0</v>
      </c>
      <c r="D8" s="27"/>
    </row>
    <row r="9" hidden="1">
      <c r="A9" s="26">
        <v>44356.85286875</v>
      </c>
      <c r="B9" s="20" t="s">
        <v>759</v>
      </c>
      <c r="C9" s="20">
        <v>15.0</v>
      </c>
      <c r="D9" s="27"/>
    </row>
    <row r="10" hidden="1">
      <c r="A10" s="26">
        <v>44356.85309001157</v>
      </c>
      <c r="B10" s="20" t="s">
        <v>760</v>
      </c>
      <c r="C10" s="20">
        <v>20.0</v>
      </c>
      <c r="D10" s="27"/>
    </row>
    <row r="11" hidden="1">
      <c r="A11" s="26">
        <v>44357.70143265046</v>
      </c>
      <c r="B11" s="20" t="s">
        <v>761</v>
      </c>
      <c r="C11" s="20">
        <v>11.0</v>
      </c>
      <c r="D11" s="27"/>
    </row>
    <row r="12" hidden="1">
      <c r="A12" s="26">
        <v>44357.70980091435</v>
      </c>
      <c r="B12" s="20" t="s">
        <v>762</v>
      </c>
      <c r="C12" s="20">
        <v>16.0</v>
      </c>
      <c r="D12" s="27"/>
    </row>
    <row r="13" hidden="1">
      <c r="A13" s="26">
        <v>44357.71028974537</v>
      </c>
      <c r="B13" s="20" t="s">
        <v>763</v>
      </c>
      <c r="C13" s="20">
        <v>31.0</v>
      </c>
      <c r="D13" s="27"/>
    </row>
    <row r="14" hidden="1">
      <c r="A14" s="26">
        <v>44358.6732672338</v>
      </c>
      <c r="B14" s="20" t="s">
        <v>758</v>
      </c>
      <c r="C14" s="20">
        <v>21.0</v>
      </c>
      <c r="D14" s="27"/>
    </row>
    <row r="15" hidden="1">
      <c r="A15" s="26">
        <v>44358.70972645833</v>
      </c>
      <c r="B15" s="20" t="s">
        <v>764</v>
      </c>
      <c r="C15" s="20">
        <v>10.8</v>
      </c>
      <c r="D15" s="27"/>
    </row>
    <row r="16" hidden="1">
      <c r="A16" s="26">
        <v>44358.71110476852</v>
      </c>
      <c r="B16" s="20" t="s">
        <v>753</v>
      </c>
      <c r="C16" s="20">
        <v>3.3</v>
      </c>
      <c r="D16" s="27"/>
    </row>
    <row r="17" hidden="1">
      <c r="A17" s="26">
        <v>44358.71596188657</v>
      </c>
      <c r="B17" s="20" t="s">
        <v>765</v>
      </c>
      <c r="C17" s="20">
        <v>8.9</v>
      </c>
      <c r="D17" s="27"/>
    </row>
    <row r="18" hidden="1">
      <c r="A18" s="26">
        <v>44358.71698405093</v>
      </c>
      <c r="B18" s="20" t="s">
        <v>766</v>
      </c>
      <c r="C18" s="20">
        <v>10.0</v>
      </c>
      <c r="D18" s="27"/>
    </row>
    <row r="19" hidden="1">
      <c r="A19" s="26">
        <v>44358.73847458333</v>
      </c>
      <c r="B19" s="20" t="s">
        <v>767</v>
      </c>
      <c r="C19" s="20">
        <v>37.0</v>
      </c>
      <c r="D19" s="27"/>
    </row>
    <row r="20" hidden="1">
      <c r="A20" s="26">
        <v>44359.015400000004</v>
      </c>
      <c r="B20" s="20" t="s">
        <v>768</v>
      </c>
      <c r="C20" s="20">
        <v>8.0</v>
      </c>
      <c r="D20" s="27"/>
    </row>
    <row r="21" hidden="1">
      <c r="A21" s="26">
        <v>44359.71760292824</v>
      </c>
      <c r="B21" s="20" t="s">
        <v>769</v>
      </c>
      <c r="C21" s="20">
        <v>40.0</v>
      </c>
      <c r="D21" s="27"/>
    </row>
    <row r="22" hidden="1">
      <c r="A22" s="26">
        <v>44359.728511712965</v>
      </c>
      <c r="B22" s="20" t="s">
        <v>770</v>
      </c>
      <c r="C22" s="20">
        <v>10.0</v>
      </c>
      <c r="D22" s="27"/>
    </row>
    <row r="23" hidden="1">
      <c r="A23" s="26">
        <v>44359.731374236115</v>
      </c>
      <c r="B23" s="20" t="s">
        <v>300</v>
      </c>
      <c r="C23" s="20">
        <v>8.0</v>
      </c>
      <c r="D23" s="27"/>
    </row>
    <row r="24" hidden="1">
      <c r="A24" s="26">
        <v>44359.732333645836</v>
      </c>
      <c r="B24" s="20" t="s">
        <v>771</v>
      </c>
      <c r="C24" s="20">
        <v>170.0</v>
      </c>
      <c r="D24" s="27"/>
    </row>
    <row r="25" hidden="1">
      <c r="A25" s="26">
        <v>44359.732933865744</v>
      </c>
      <c r="B25" s="20" t="s">
        <v>772</v>
      </c>
      <c r="C25" s="20">
        <v>5.3</v>
      </c>
      <c r="D25" s="27"/>
    </row>
    <row r="26" hidden="1">
      <c r="A26" s="26">
        <v>44359.73390212963</v>
      </c>
      <c r="B26" s="20" t="s">
        <v>773</v>
      </c>
      <c r="C26" s="20">
        <v>29.2</v>
      </c>
      <c r="D26" s="27"/>
    </row>
    <row r="27" hidden="1">
      <c r="A27" s="26">
        <v>44359.73393206019</v>
      </c>
      <c r="B27" s="20" t="s">
        <v>91</v>
      </c>
      <c r="C27" s="20">
        <v>3.1</v>
      </c>
      <c r="D27" s="27"/>
    </row>
    <row r="28" hidden="1">
      <c r="A28" s="26">
        <v>44359.73476452546</v>
      </c>
      <c r="B28" s="20" t="s">
        <v>774</v>
      </c>
      <c r="C28" s="20">
        <v>18.6</v>
      </c>
      <c r="D28" s="27"/>
    </row>
    <row r="29" hidden="1">
      <c r="A29" s="26">
        <v>44359.734856828705</v>
      </c>
      <c r="B29" s="20" t="s">
        <v>300</v>
      </c>
      <c r="C29" s="20">
        <v>9.4</v>
      </c>
      <c r="D29" s="27"/>
    </row>
    <row r="30" hidden="1">
      <c r="A30" s="26">
        <v>44360.67270248843</v>
      </c>
      <c r="B30" s="20" t="s">
        <v>775</v>
      </c>
      <c r="C30" s="20">
        <v>28.4</v>
      </c>
      <c r="D30" s="27"/>
    </row>
    <row r="31" hidden="1">
      <c r="A31" s="26">
        <v>44360.67721956018</v>
      </c>
      <c r="B31" s="20" t="s">
        <v>776</v>
      </c>
      <c r="C31" s="20">
        <v>36.0</v>
      </c>
      <c r="D31" s="27"/>
    </row>
    <row r="32" hidden="1">
      <c r="A32" s="26">
        <v>44360.68179023148</v>
      </c>
      <c r="B32" s="20" t="s">
        <v>777</v>
      </c>
      <c r="C32" s="20">
        <v>27.4</v>
      </c>
      <c r="D32" s="27"/>
    </row>
    <row r="33" hidden="1">
      <c r="A33" s="26">
        <v>44360.690706608795</v>
      </c>
      <c r="B33" s="20" t="s">
        <v>778</v>
      </c>
      <c r="C33" s="20">
        <v>32.0</v>
      </c>
      <c r="D33" s="27"/>
    </row>
    <row r="34" hidden="1">
      <c r="A34" s="26">
        <v>44360.690836863425</v>
      </c>
      <c r="B34" s="20" t="s">
        <v>779</v>
      </c>
      <c r="C34" s="20">
        <v>33.0</v>
      </c>
      <c r="D34" s="27"/>
    </row>
    <row r="35" hidden="1">
      <c r="A35" s="26">
        <v>44362.71147724537</v>
      </c>
      <c r="B35" s="20" t="s">
        <v>163</v>
      </c>
      <c r="C35" s="20">
        <v>22.0</v>
      </c>
      <c r="D35" s="27"/>
    </row>
    <row r="36" hidden="1">
      <c r="A36" s="26">
        <v>44362.72256085648</v>
      </c>
      <c r="B36" s="20" t="s">
        <v>761</v>
      </c>
      <c r="C36" s="20">
        <v>10.0</v>
      </c>
      <c r="D36" s="27"/>
    </row>
    <row r="37" hidden="1">
      <c r="A37" s="26">
        <v>44362.72343563657</v>
      </c>
      <c r="B37" s="20" t="s">
        <v>780</v>
      </c>
      <c r="C37" s="20">
        <v>15.2</v>
      </c>
      <c r="D37" s="27"/>
    </row>
    <row r="38" hidden="1">
      <c r="A38" s="26">
        <v>44362.73366938657</v>
      </c>
      <c r="B38" s="20" t="s">
        <v>781</v>
      </c>
      <c r="C38" s="20">
        <v>12.3</v>
      </c>
      <c r="D38" s="27"/>
    </row>
    <row r="39" hidden="1">
      <c r="A39" s="26">
        <v>44363.70986559028</v>
      </c>
      <c r="B39" s="20" t="s">
        <v>782</v>
      </c>
      <c r="C39" s="20">
        <v>6.0</v>
      </c>
      <c r="D39" s="27"/>
    </row>
    <row r="40" hidden="1">
      <c r="A40" s="26">
        <v>44363.712904224536</v>
      </c>
      <c r="B40" s="20" t="s">
        <v>783</v>
      </c>
      <c r="C40" s="20">
        <v>18.5</v>
      </c>
      <c r="D40" s="27"/>
    </row>
    <row r="41" hidden="1">
      <c r="A41" s="26">
        <v>44363.71362253472</v>
      </c>
      <c r="B41" s="20" t="s">
        <v>754</v>
      </c>
      <c r="C41" s="20">
        <v>8.0</v>
      </c>
      <c r="D41" s="27"/>
    </row>
    <row r="42" hidden="1">
      <c r="A42" s="26">
        <v>44363.71987269676</v>
      </c>
      <c r="B42" s="20" t="s">
        <v>784</v>
      </c>
      <c r="C42" s="20">
        <v>22.5</v>
      </c>
      <c r="D42" s="27"/>
    </row>
    <row r="43" hidden="1">
      <c r="A43" s="26">
        <v>44363.72006334491</v>
      </c>
      <c r="B43" s="20" t="s">
        <v>785</v>
      </c>
      <c r="C43" s="20">
        <v>12.5</v>
      </c>
      <c r="D43" s="27"/>
    </row>
    <row r="44" hidden="1">
      <c r="A44" s="26">
        <v>44363.87904684027</v>
      </c>
      <c r="B44" s="20" t="s">
        <v>786</v>
      </c>
      <c r="C44" s="20">
        <v>16.6</v>
      </c>
      <c r="D44" s="27"/>
    </row>
    <row r="45" hidden="1">
      <c r="A45" s="26">
        <v>44363.88266592592</v>
      </c>
      <c r="B45" s="20" t="s">
        <v>787</v>
      </c>
      <c r="C45" s="20">
        <v>15.0</v>
      </c>
      <c r="D45" s="27"/>
    </row>
    <row r="46" hidden="1">
      <c r="A46" s="26">
        <v>44364.59270900463</v>
      </c>
      <c r="B46" s="20" t="s">
        <v>788</v>
      </c>
      <c r="C46" s="20">
        <v>4.0</v>
      </c>
      <c r="D46" s="27"/>
    </row>
    <row r="47" hidden="1">
      <c r="A47" s="26">
        <v>44364.66692686343</v>
      </c>
      <c r="B47" s="20" t="s">
        <v>789</v>
      </c>
      <c r="C47" s="20">
        <v>58.0</v>
      </c>
      <c r="D47" s="27"/>
    </row>
    <row r="48" hidden="1">
      <c r="A48" s="26">
        <v>44364.714156574075</v>
      </c>
      <c r="B48" s="20" t="s">
        <v>761</v>
      </c>
      <c r="C48" s="20">
        <v>10.0</v>
      </c>
      <c r="D48" s="27"/>
    </row>
    <row r="49" hidden="1">
      <c r="A49" s="26">
        <v>44364.71628325232</v>
      </c>
      <c r="B49" s="20" t="s">
        <v>163</v>
      </c>
      <c r="C49" s="20">
        <v>17.0</v>
      </c>
      <c r="D49" s="27"/>
    </row>
    <row r="50" hidden="1">
      <c r="A50" s="26">
        <v>44364.76034121528</v>
      </c>
      <c r="B50" s="20" t="s">
        <v>788</v>
      </c>
      <c r="C50" s="20">
        <v>4.0</v>
      </c>
      <c r="D50" s="27"/>
    </row>
    <row r="51" hidden="1">
      <c r="A51" s="26">
        <v>44365.52581510416</v>
      </c>
      <c r="B51" s="20" t="s">
        <v>790</v>
      </c>
      <c r="C51" s="20">
        <v>13.2</v>
      </c>
      <c r="D51" s="27"/>
    </row>
    <row r="52" hidden="1">
      <c r="A52" s="26">
        <v>44365.54766516204</v>
      </c>
      <c r="B52" s="20" t="s">
        <v>791</v>
      </c>
      <c r="C52" s="20">
        <v>2.0</v>
      </c>
      <c r="D52" s="27"/>
    </row>
    <row r="53" hidden="1">
      <c r="A53" s="26">
        <v>44365.62420517361</v>
      </c>
      <c r="B53" s="20" t="s">
        <v>792</v>
      </c>
      <c r="C53" s="20">
        <v>53.0</v>
      </c>
      <c r="D53" s="27"/>
    </row>
    <row r="54" hidden="1">
      <c r="A54" s="26">
        <v>44365.64962333333</v>
      </c>
      <c r="B54" s="20" t="s">
        <v>793</v>
      </c>
      <c r="C54" s="20">
        <v>1.0</v>
      </c>
      <c r="D54" s="27"/>
    </row>
    <row r="55" hidden="1">
      <c r="A55" s="26">
        <v>44365.880204166664</v>
      </c>
      <c r="B55" s="20" t="s">
        <v>790</v>
      </c>
      <c r="C55" s="20">
        <v>13.2</v>
      </c>
      <c r="D55" s="27"/>
    </row>
    <row r="56" hidden="1">
      <c r="A56" s="26">
        <v>44366.71498755787</v>
      </c>
      <c r="B56" s="20" t="s">
        <v>794</v>
      </c>
      <c r="C56" s="20">
        <v>22.0</v>
      </c>
      <c r="D56" s="27"/>
    </row>
    <row r="57" hidden="1">
      <c r="A57" s="26">
        <v>44366.72260179398</v>
      </c>
      <c r="B57" s="20" t="s">
        <v>795</v>
      </c>
      <c r="C57" s="20">
        <v>6.4</v>
      </c>
      <c r="D57" s="27"/>
    </row>
    <row r="58" hidden="1">
      <c r="A58" s="26">
        <v>44366.72639498842</v>
      </c>
      <c r="B58" s="20" t="s">
        <v>796</v>
      </c>
      <c r="C58" s="20">
        <v>13.0</v>
      </c>
      <c r="D58" s="27"/>
    </row>
    <row r="59" hidden="1">
      <c r="A59" s="26">
        <v>44366.73263806713</v>
      </c>
      <c r="B59" s="20" t="s">
        <v>797</v>
      </c>
      <c r="C59" s="20">
        <v>16.0</v>
      </c>
      <c r="D59" s="27"/>
    </row>
    <row r="60" hidden="1">
      <c r="A60" s="26">
        <v>44366.73537574074</v>
      </c>
      <c r="B60" s="20" t="s">
        <v>300</v>
      </c>
      <c r="C60" s="20">
        <v>22.0</v>
      </c>
      <c r="D60" s="27"/>
    </row>
    <row r="61" hidden="1">
      <c r="A61" s="26">
        <v>44366.74535269676</v>
      </c>
      <c r="B61" s="20" t="s">
        <v>798</v>
      </c>
      <c r="C61" s="20">
        <v>9.0</v>
      </c>
      <c r="D61" s="27"/>
    </row>
    <row r="62" hidden="1">
      <c r="A62" s="26">
        <v>44366.74588025463</v>
      </c>
      <c r="B62" s="20" t="s">
        <v>191</v>
      </c>
      <c r="C62" s="20">
        <v>17.0</v>
      </c>
      <c r="D62" s="27"/>
    </row>
    <row r="63" hidden="1">
      <c r="A63" s="26">
        <v>44367.67541820602</v>
      </c>
      <c r="B63" s="20" t="s">
        <v>49</v>
      </c>
      <c r="C63" s="20">
        <v>25.0</v>
      </c>
      <c r="D63" s="27"/>
    </row>
    <row r="64" hidden="1">
      <c r="A64" s="26">
        <v>44367.67600894676</v>
      </c>
      <c r="B64" s="20" t="s">
        <v>799</v>
      </c>
      <c r="C64" s="20">
        <v>7.0</v>
      </c>
      <c r="D64" s="27"/>
    </row>
    <row r="65" hidden="1">
      <c r="A65" s="26">
        <v>44367.67682303241</v>
      </c>
      <c r="B65" s="20" t="s">
        <v>800</v>
      </c>
      <c r="C65" s="20">
        <v>24.0</v>
      </c>
      <c r="D65" s="27"/>
    </row>
    <row r="66" hidden="1">
      <c r="A66" s="26">
        <v>44369.71436489583</v>
      </c>
      <c r="B66" s="20" t="s">
        <v>801</v>
      </c>
      <c r="C66" s="20">
        <v>15.4</v>
      </c>
      <c r="D66" s="27"/>
    </row>
    <row r="67" hidden="1">
      <c r="A67" s="26">
        <v>44369.72074337963</v>
      </c>
      <c r="B67" s="20" t="s">
        <v>753</v>
      </c>
      <c r="C67" s="20">
        <v>6.0</v>
      </c>
      <c r="D67" s="27"/>
    </row>
    <row r="68" hidden="1">
      <c r="A68" s="26">
        <v>44369.724158993056</v>
      </c>
      <c r="B68" s="20" t="s">
        <v>163</v>
      </c>
      <c r="C68" s="20">
        <v>34.0</v>
      </c>
      <c r="D68" s="27"/>
    </row>
    <row r="69" hidden="1">
      <c r="A69" s="26">
        <v>44369.726931620375</v>
      </c>
      <c r="B69" s="20" t="s">
        <v>780</v>
      </c>
      <c r="C69" s="20">
        <v>18.0</v>
      </c>
      <c r="D69" s="27"/>
    </row>
    <row r="70" hidden="1">
      <c r="A70" s="26">
        <v>44369.74753927083</v>
      </c>
      <c r="B70" s="20" t="s">
        <v>797</v>
      </c>
      <c r="C70" s="20">
        <v>14.0</v>
      </c>
      <c r="D70" s="27"/>
    </row>
    <row r="71" hidden="1">
      <c r="A71" s="26">
        <v>44369.748561631946</v>
      </c>
      <c r="B71" s="20" t="s">
        <v>802</v>
      </c>
      <c r="C71" s="20">
        <v>19.0</v>
      </c>
      <c r="D71" s="27"/>
    </row>
    <row r="72" hidden="1">
      <c r="A72" s="26">
        <v>44370.56422855324</v>
      </c>
      <c r="B72" s="20" t="s">
        <v>803</v>
      </c>
      <c r="C72" s="20">
        <v>80.0</v>
      </c>
      <c r="D72" s="27"/>
    </row>
    <row r="73" hidden="1">
      <c r="A73" s="26">
        <v>44370.71278273148</v>
      </c>
      <c r="B73" s="20" t="s">
        <v>797</v>
      </c>
      <c r="C73" s="20">
        <v>35.0</v>
      </c>
      <c r="D73" s="27"/>
    </row>
    <row r="74" hidden="1">
      <c r="A74" s="26">
        <v>44370.71476577546</v>
      </c>
      <c r="B74" s="20" t="s">
        <v>760</v>
      </c>
      <c r="C74" s="20">
        <v>35.0</v>
      </c>
      <c r="D74" s="27"/>
    </row>
    <row r="75" hidden="1">
      <c r="A75" s="26">
        <v>44370.8721696412</v>
      </c>
      <c r="B75" s="20" t="s">
        <v>804</v>
      </c>
      <c r="C75" s="20">
        <v>6.0</v>
      </c>
      <c r="D75" s="27"/>
    </row>
    <row r="76" hidden="1">
      <c r="A76" s="26">
        <v>44370.87332770834</v>
      </c>
      <c r="B76" s="20" t="s">
        <v>805</v>
      </c>
      <c r="C76" s="20">
        <v>30.0</v>
      </c>
      <c r="D76" s="27"/>
    </row>
    <row r="77" hidden="1">
      <c r="A77" s="26">
        <v>44370.873699131946</v>
      </c>
      <c r="B77" s="20" t="s">
        <v>806</v>
      </c>
      <c r="C77" s="20">
        <v>30.0</v>
      </c>
      <c r="D77" s="27"/>
    </row>
    <row r="78" hidden="1">
      <c r="A78" s="26">
        <v>44370.87576445602</v>
      </c>
      <c r="B78" s="20" t="s">
        <v>787</v>
      </c>
      <c r="C78" s="20">
        <v>23.0</v>
      </c>
      <c r="D78" s="27"/>
    </row>
    <row r="79" hidden="1">
      <c r="A79" s="26">
        <v>44370.89159596065</v>
      </c>
      <c r="B79" s="20" t="s">
        <v>49</v>
      </c>
      <c r="C79" s="20">
        <v>25.0</v>
      </c>
      <c r="D79" s="27"/>
    </row>
    <row r="80" hidden="1">
      <c r="A80" s="26">
        <v>44371.59918871528</v>
      </c>
      <c r="B80" s="20" t="s">
        <v>765</v>
      </c>
      <c r="C80" s="20">
        <v>2.0</v>
      </c>
      <c r="D80" s="27"/>
    </row>
    <row r="81" hidden="1">
      <c r="A81" s="26">
        <v>44371.70563631944</v>
      </c>
      <c r="B81" s="20" t="s">
        <v>807</v>
      </c>
      <c r="C81" s="20">
        <v>15.2</v>
      </c>
      <c r="D81" s="27"/>
    </row>
    <row r="82" hidden="1">
      <c r="A82" s="26">
        <v>44371.70733962963</v>
      </c>
      <c r="B82" s="20" t="s">
        <v>327</v>
      </c>
      <c r="C82" s="20">
        <v>8.0</v>
      </c>
      <c r="D82" s="27"/>
    </row>
    <row r="83" hidden="1">
      <c r="A83" s="26">
        <v>44371.7079015625</v>
      </c>
      <c r="B83" s="20" t="s">
        <v>808</v>
      </c>
      <c r="C83" s="20">
        <v>36.0</v>
      </c>
      <c r="D83" s="27"/>
    </row>
    <row r="84" hidden="1">
      <c r="A84" s="26">
        <v>44371.709078506945</v>
      </c>
      <c r="B84" s="20" t="s">
        <v>809</v>
      </c>
      <c r="C84" s="20">
        <v>37.0</v>
      </c>
      <c r="D84" s="27"/>
    </row>
    <row r="85" hidden="1">
      <c r="A85" s="26">
        <v>44371.709796759256</v>
      </c>
      <c r="B85" s="20" t="s">
        <v>163</v>
      </c>
      <c r="C85" s="20">
        <v>8.0</v>
      </c>
      <c r="D85" s="27"/>
    </row>
    <row r="86" hidden="1">
      <c r="A86" s="26">
        <v>44371.724038761575</v>
      </c>
      <c r="B86" s="20" t="s">
        <v>191</v>
      </c>
      <c r="C86" s="20">
        <v>21.0</v>
      </c>
      <c r="D86" s="27"/>
    </row>
    <row r="87" hidden="1">
      <c r="A87" s="26">
        <v>44371.78542395833</v>
      </c>
      <c r="B87" s="20" t="s">
        <v>786</v>
      </c>
      <c r="C87" s="20">
        <v>2.7</v>
      </c>
      <c r="D87" s="27"/>
    </row>
    <row r="88" hidden="1">
      <c r="A88" s="26">
        <v>44371.83808216435</v>
      </c>
      <c r="B88" s="20" t="s">
        <v>754</v>
      </c>
      <c r="C88" s="20">
        <v>8.0</v>
      </c>
      <c r="D88" s="27"/>
    </row>
    <row r="89" hidden="1">
      <c r="A89" s="26">
        <v>44371.87372469908</v>
      </c>
      <c r="B89" s="20" t="s">
        <v>810</v>
      </c>
      <c r="C89" s="20">
        <v>16.4</v>
      </c>
      <c r="D89" s="27"/>
    </row>
    <row r="90" hidden="1">
      <c r="A90" s="26">
        <v>44371.87679891204</v>
      </c>
      <c r="B90" s="20" t="s">
        <v>786</v>
      </c>
      <c r="C90" s="20">
        <v>9.1</v>
      </c>
      <c r="D90" s="27"/>
    </row>
    <row r="91" hidden="1">
      <c r="A91" s="26">
        <v>44372.711076817126</v>
      </c>
      <c r="B91" s="20" t="s">
        <v>780</v>
      </c>
      <c r="C91" s="20">
        <v>12.4</v>
      </c>
      <c r="D91" s="27"/>
    </row>
    <row r="92" hidden="1">
      <c r="A92" s="26">
        <v>44372.71317703703</v>
      </c>
      <c r="B92" s="20" t="s">
        <v>811</v>
      </c>
      <c r="C92" s="20">
        <v>14.0</v>
      </c>
      <c r="D92" s="27"/>
    </row>
    <row r="93" hidden="1">
      <c r="A93" s="26">
        <v>44372.71533574074</v>
      </c>
      <c r="B93" s="20" t="s">
        <v>766</v>
      </c>
      <c r="C93" s="20">
        <v>11.0</v>
      </c>
      <c r="D93" s="27"/>
    </row>
    <row r="94" hidden="1">
      <c r="A94" s="26">
        <v>44373.589196875</v>
      </c>
      <c r="B94" s="20" t="s">
        <v>812</v>
      </c>
      <c r="C94" s="20">
        <v>75.0</v>
      </c>
      <c r="D94" s="27"/>
    </row>
    <row r="95" hidden="1">
      <c r="A95" s="26">
        <v>44373.7151183449</v>
      </c>
      <c r="B95" s="20" t="s">
        <v>91</v>
      </c>
      <c r="C95" s="20">
        <v>5.1</v>
      </c>
      <c r="D95" s="27"/>
    </row>
    <row r="96" hidden="1">
      <c r="A96" s="26">
        <v>44373.71533770833</v>
      </c>
      <c r="B96" s="20" t="s">
        <v>813</v>
      </c>
      <c r="C96" s="20">
        <v>4.0</v>
      </c>
      <c r="D96" s="27"/>
    </row>
    <row r="97" hidden="1">
      <c r="A97" s="26">
        <v>44373.72088472222</v>
      </c>
      <c r="B97" s="20" t="s">
        <v>191</v>
      </c>
      <c r="C97" s="20">
        <v>12.0</v>
      </c>
      <c r="D97" s="27"/>
    </row>
    <row r="98" hidden="1">
      <c r="A98" s="26">
        <v>44373.7223653588</v>
      </c>
      <c r="B98" s="20" t="s">
        <v>794</v>
      </c>
      <c r="C98" s="20">
        <v>19.0</v>
      </c>
      <c r="D98" s="27"/>
    </row>
    <row r="99" hidden="1">
      <c r="A99" s="26">
        <v>44373.73012928241</v>
      </c>
      <c r="B99" s="20" t="s">
        <v>349</v>
      </c>
      <c r="C99" s="20">
        <v>8.0</v>
      </c>
      <c r="D99" s="27"/>
    </row>
    <row r="100" hidden="1">
      <c r="A100" s="26">
        <v>44373.730699629625</v>
      </c>
      <c r="B100" s="20" t="s">
        <v>300</v>
      </c>
      <c r="C100" s="20">
        <v>32.0</v>
      </c>
      <c r="D100" s="27"/>
    </row>
    <row r="101" hidden="1">
      <c r="A101" s="26">
        <v>44374.67638923611</v>
      </c>
      <c r="B101" s="20" t="s">
        <v>777</v>
      </c>
      <c r="C101" s="20">
        <v>32.2</v>
      </c>
      <c r="D101" s="27"/>
    </row>
    <row r="102" hidden="1">
      <c r="A102" s="26">
        <v>44376.71823384259</v>
      </c>
      <c r="B102" s="20" t="s">
        <v>761</v>
      </c>
      <c r="C102" s="20">
        <v>14.7</v>
      </c>
      <c r="D102" s="27"/>
    </row>
    <row r="103" hidden="1">
      <c r="A103" s="26">
        <v>44376.76383873842</v>
      </c>
      <c r="B103" s="20" t="s">
        <v>797</v>
      </c>
      <c r="C103" s="20">
        <v>28.0</v>
      </c>
      <c r="D103" s="27"/>
    </row>
    <row r="104" hidden="1">
      <c r="A104" s="26">
        <v>44377.507464062495</v>
      </c>
      <c r="B104" s="20" t="s">
        <v>770</v>
      </c>
      <c r="C104" s="20">
        <v>3.0</v>
      </c>
      <c r="D104" s="27"/>
    </row>
    <row r="105" hidden="1">
      <c r="A105" s="26">
        <v>44377.722998391204</v>
      </c>
      <c r="B105" s="20" t="s">
        <v>814</v>
      </c>
      <c r="C105" s="20">
        <v>3.0</v>
      </c>
      <c r="D105" s="27"/>
    </row>
    <row r="106" hidden="1">
      <c r="A106" s="26">
        <v>44377.72366340278</v>
      </c>
      <c r="B106" s="20" t="s">
        <v>760</v>
      </c>
      <c r="C106" s="20">
        <v>23.0</v>
      </c>
      <c r="D106" s="27"/>
    </row>
    <row r="107" hidden="1">
      <c r="A107" s="26">
        <v>44377.72674172454</v>
      </c>
      <c r="B107" s="20" t="s">
        <v>815</v>
      </c>
      <c r="C107" s="20">
        <v>22.0</v>
      </c>
      <c r="D107" s="27"/>
    </row>
    <row r="108" hidden="1">
      <c r="A108" s="26">
        <v>44377.88742112269</v>
      </c>
      <c r="B108" s="20" t="s">
        <v>797</v>
      </c>
      <c r="C108" s="20">
        <v>7.3</v>
      </c>
      <c r="D108" s="27"/>
    </row>
    <row r="109" hidden="1">
      <c r="A109" s="26">
        <v>44377.89132689815</v>
      </c>
      <c r="B109" s="20" t="s">
        <v>816</v>
      </c>
      <c r="C109" s="20">
        <v>39.0</v>
      </c>
      <c r="D109" s="27"/>
    </row>
    <row r="110" hidden="1">
      <c r="A110" s="26">
        <v>44377.89199862268</v>
      </c>
      <c r="B110" s="20" t="s">
        <v>817</v>
      </c>
      <c r="C110" s="20">
        <v>27.0</v>
      </c>
      <c r="D110" s="27"/>
    </row>
    <row r="111" hidden="1">
      <c r="A111" s="26">
        <v>44377.894869861106</v>
      </c>
      <c r="B111" s="20" t="s">
        <v>818</v>
      </c>
      <c r="C111" s="20">
        <v>11.0</v>
      </c>
      <c r="D111" s="27"/>
    </row>
    <row r="112" hidden="1">
      <c r="A112" s="26">
        <v>44377.902400266204</v>
      </c>
      <c r="B112" s="20" t="s">
        <v>787</v>
      </c>
      <c r="C112" s="20">
        <v>11.0</v>
      </c>
      <c r="D112" s="27"/>
    </row>
    <row r="113" hidden="1">
      <c r="A113" s="26">
        <v>44378.014571747684</v>
      </c>
      <c r="B113" s="20" t="s">
        <v>815</v>
      </c>
      <c r="C113" s="20">
        <v>22.0</v>
      </c>
      <c r="D113" s="27"/>
    </row>
    <row r="114" hidden="1">
      <c r="A114" s="26">
        <v>44378.71150925926</v>
      </c>
      <c r="B114" s="20" t="s">
        <v>807</v>
      </c>
      <c r="C114" s="20">
        <v>14.0</v>
      </c>
      <c r="D114" s="27"/>
    </row>
    <row r="115" hidden="1">
      <c r="A115" s="26">
        <v>44378.72131091435</v>
      </c>
      <c r="B115" s="20" t="s">
        <v>819</v>
      </c>
      <c r="C115" s="20">
        <v>18.0</v>
      </c>
      <c r="D115" s="27"/>
    </row>
    <row r="116" hidden="1">
      <c r="A116" s="26">
        <v>44378.806204872686</v>
      </c>
      <c r="B116" s="20" t="s">
        <v>756</v>
      </c>
      <c r="C116" s="20">
        <v>21.0</v>
      </c>
      <c r="D116" s="27"/>
    </row>
    <row r="117" hidden="1">
      <c r="A117" s="26">
        <v>44378.837379247685</v>
      </c>
      <c r="B117" s="20" t="s">
        <v>815</v>
      </c>
      <c r="C117" s="20">
        <v>22.0</v>
      </c>
      <c r="D117" s="27"/>
    </row>
    <row r="118" hidden="1">
      <c r="A118" s="26">
        <v>44378.857254884264</v>
      </c>
      <c r="B118" s="20" t="s">
        <v>820</v>
      </c>
      <c r="C118" s="20">
        <v>2.4</v>
      </c>
      <c r="D118" s="27"/>
    </row>
    <row r="119" hidden="1">
      <c r="A119" s="26">
        <v>44378.87415635417</v>
      </c>
      <c r="B119" s="20" t="s">
        <v>91</v>
      </c>
      <c r="C119" s="20">
        <v>7.1</v>
      </c>
      <c r="D119" s="27"/>
    </row>
    <row r="120" hidden="1">
      <c r="A120" s="26">
        <v>44378.875212569445</v>
      </c>
      <c r="B120" s="20" t="s">
        <v>810</v>
      </c>
      <c r="C120" s="20">
        <v>8.1</v>
      </c>
      <c r="D120" s="27"/>
    </row>
    <row r="121" hidden="1">
      <c r="A121" s="26">
        <v>44379.437549525464</v>
      </c>
      <c r="B121" s="20" t="s">
        <v>91</v>
      </c>
      <c r="C121" s="20">
        <v>7.1</v>
      </c>
      <c r="D121" s="27"/>
    </row>
    <row r="122" hidden="1">
      <c r="A122" s="26">
        <v>44379.677598587965</v>
      </c>
      <c r="B122" s="20" t="s">
        <v>815</v>
      </c>
      <c r="C122" s="20">
        <v>22.0</v>
      </c>
      <c r="D122" s="27"/>
    </row>
    <row r="123" hidden="1">
      <c r="A123" s="26">
        <v>44383.621183043986</v>
      </c>
      <c r="B123" s="20" t="s">
        <v>807</v>
      </c>
      <c r="C123" s="20">
        <v>5.5</v>
      </c>
      <c r="D123" s="27"/>
    </row>
    <row r="124" hidden="1">
      <c r="A124" s="26">
        <v>44384.70233494213</v>
      </c>
      <c r="B124" s="20" t="s">
        <v>782</v>
      </c>
      <c r="C124" s="20">
        <v>6.0</v>
      </c>
      <c r="D124" s="27"/>
    </row>
    <row r="125" hidden="1">
      <c r="A125" s="26">
        <v>44384.87450204861</v>
      </c>
      <c r="B125" s="20" t="s">
        <v>821</v>
      </c>
      <c r="C125" s="20">
        <v>9.9</v>
      </c>
      <c r="D125" s="27"/>
    </row>
    <row r="126" hidden="1">
      <c r="A126" s="26">
        <v>44384.88499417824</v>
      </c>
      <c r="B126" s="20" t="s">
        <v>787</v>
      </c>
      <c r="C126" s="20">
        <v>19.0</v>
      </c>
      <c r="D126" s="27"/>
    </row>
    <row r="127" hidden="1">
      <c r="A127" s="26">
        <v>44384.88601386574</v>
      </c>
      <c r="B127" s="20" t="s">
        <v>822</v>
      </c>
      <c r="C127" s="20">
        <v>32.4</v>
      </c>
      <c r="D127" s="27"/>
    </row>
    <row r="128" hidden="1">
      <c r="A128" s="26">
        <v>44384.886164930555</v>
      </c>
      <c r="B128" s="20" t="s">
        <v>823</v>
      </c>
      <c r="C128" s="20">
        <v>27.5</v>
      </c>
      <c r="D128" s="27"/>
    </row>
    <row r="129" hidden="1">
      <c r="A129" s="26">
        <v>44384.88764123843</v>
      </c>
      <c r="B129" s="20" t="s">
        <v>824</v>
      </c>
      <c r="C129" s="20">
        <v>23.5</v>
      </c>
      <c r="D129" s="27"/>
    </row>
    <row r="130" hidden="1">
      <c r="A130" s="26">
        <v>44385.55082579861</v>
      </c>
      <c r="B130" s="20" t="s">
        <v>823</v>
      </c>
      <c r="C130" s="20">
        <v>27.5</v>
      </c>
      <c r="D130" s="27"/>
    </row>
    <row r="131" hidden="1">
      <c r="A131" s="26">
        <v>44385.69420082176</v>
      </c>
      <c r="B131" s="20" t="s">
        <v>807</v>
      </c>
      <c r="C131" s="20">
        <v>13.5</v>
      </c>
      <c r="D131" s="27"/>
    </row>
    <row r="132" hidden="1">
      <c r="A132" s="26">
        <v>44385.69741983796</v>
      </c>
      <c r="B132" s="20" t="s">
        <v>327</v>
      </c>
      <c r="C132" s="20">
        <v>10.1</v>
      </c>
      <c r="D132" s="27"/>
    </row>
    <row r="133" hidden="1">
      <c r="A133" s="26">
        <v>44385.87970762732</v>
      </c>
      <c r="B133" s="20" t="s">
        <v>825</v>
      </c>
      <c r="C133" s="20">
        <v>53.0</v>
      </c>
      <c r="D133" s="27"/>
    </row>
    <row r="134" hidden="1">
      <c r="A134" s="26">
        <v>44385.99265177084</v>
      </c>
      <c r="B134" s="20" t="s">
        <v>815</v>
      </c>
      <c r="C134" s="20">
        <v>22.0</v>
      </c>
      <c r="D134" s="27"/>
    </row>
    <row r="135" hidden="1">
      <c r="A135" s="26">
        <v>44386.284958495366</v>
      </c>
      <c r="B135" s="20" t="s">
        <v>826</v>
      </c>
      <c r="C135" s="20">
        <v>60.0</v>
      </c>
      <c r="D135" s="27"/>
    </row>
    <row r="136" hidden="1">
      <c r="A136" s="26">
        <v>44386.72331637732</v>
      </c>
      <c r="B136" s="20" t="s">
        <v>260</v>
      </c>
      <c r="C136" s="20">
        <v>19.0</v>
      </c>
      <c r="D136" s="27"/>
    </row>
    <row r="137" hidden="1">
      <c r="A137" s="26">
        <v>44387.71583371528</v>
      </c>
      <c r="B137" s="20" t="s">
        <v>795</v>
      </c>
      <c r="C137" s="20">
        <v>2.5</v>
      </c>
      <c r="D137" s="27"/>
    </row>
    <row r="138" hidden="1">
      <c r="A138" s="26">
        <v>44387.72690460648</v>
      </c>
      <c r="B138" s="20" t="s">
        <v>827</v>
      </c>
      <c r="C138" s="20">
        <v>155.0</v>
      </c>
      <c r="D138" s="27"/>
    </row>
    <row r="139" hidden="1">
      <c r="A139" s="26">
        <v>44387.735689918976</v>
      </c>
      <c r="B139" s="20" t="s">
        <v>774</v>
      </c>
      <c r="C139" s="20">
        <v>19.0</v>
      </c>
      <c r="D139" s="27"/>
    </row>
    <row r="140" hidden="1">
      <c r="A140" s="26">
        <v>44387.73607802083</v>
      </c>
      <c r="B140" s="20" t="s">
        <v>203</v>
      </c>
      <c r="C140" s="20">
        <v>12.0</v>
      </c>
      <c r="D140" s="27"/>
    </row>
    <row r="141" hidden="1">
      <c r="A141" s="26">
        <v>44387.738315995375</v>
      </c>
      <c r="B141" s="20" t="s">
        <v>437</v>
      </c>
      <c r="C141" s="20">
        <v>30.0</v>
      </c>
      <c r="D141" s="27"/>
    </row>
    <row r="142" hidden="1">
      <c r="A142" s="26">
        <v>44387.73847585648</v>
      </c>
      <c r="B142" s="20" t="s">
        <v>828</v>
      </c>
      <c r="C142" s="20">
        <v>6.4</v>
      </c>
      <c r="D142" s="27"/>
    </row>
    <row r="143" hidden="1">
      <c r="A143" s="26">
        <v>44387.74358886574</v>
      </c>
      <c r="B143" s="20" t="s">
        <v>193</v>
      </c>
      <c r="C143" s="20">
        <v>15.2</v>
      </c>
      <c r="D143" s="27"/>
    </row>
    <row r="144" hidden="1">
      <c r="A144" s="26">
        <v>44388.36155961806</v>
      </c>
      <c r="B144" s="20" t="s">
        <v>828</v>
      </c>
      <c r="C144" s="20">
        <v>6.4</v>
      </c>
      <c r="D144" s="27"/>
    </row>
    <row r="145" hidden="1">
      <c r="A145" s="26">
        <v>44388.67809652778</v>
      </c>
      <c r="B145" s="20" t="s">
        <v>829</v>
      </c>
      <c r="C145" s="20">
        <v>40.0</v>
      </c>
      <c r="D145" s="27"/>
    </row>
    <row r="146" hidden="1">
      <c r="A146" s="26">
        <v>44388.679619664355</v>
      </c>
      <c r="B146" s="20" t="s">
        <v>298</v>
      </c>
      <c r="C146" s="20">
        <v>85.0</v>
      </c>
      <c r="D146" s="27"/>
    </row>
    <row r="147" hidden="1">
      <c r="A147" s="26">
        <v>44388.68016721065</v>
      </c>
      <c r="B147" s="20" t="s">
        <v>830</v>
      </c>
      <c r="C147" s="20">
        <v>21.0</v>
      </c>
      <c r="D147" s="27"/>
    </row>
    <row r="148" hidden="1">
      <c r="A148" s="26">
        <v>44388.68136724537</v>
      </c>
      <c r="B148" s="20" t="s">
        <v>799</v>
      </c>
      <c r="C148" s="20">
        <v>35.0</v>
      </c>
      <c r="D148" s="27"/>
    </row>
    <row r="149" hidden="1">
      <c r="A149" s="26">
        <v>44388.68250164352</v>
      </c>
      <c r="B149" s="20" t="s">
        <v>799</v>
      </c>
      <c r="C149" s="20">
        <v>4.0</v>
      </c>
      <c r="D149" s="27"/>
    </row>
    <row r="150" hidden="1">
      <c r="A150" s="26">
        <v>44388.98780386574</v>
      </c>
      <c r="B150" s="20" t="s">
        <v>298</v>
      </c>
      <c r="C150" s="20">
        <v>85.0</v>
      </c>
      <c r="D150" s="27"/>
    </row>
    <row r="151" hidden="1">
      <c r="A151" s="26">
        <v>44390.715293113426</v>
      </c>
      <c r="B151" s="20" t="s">
        <v>761</v>
      </c>
      <c r="C151" s="20">
        <v>15.1</v>
      </c>
      <c r="D151" s="27"/>
    </row>
    <row r="152" hidden="1">
      <c r="A152" s="26">
        <v>44390.71752158565</v>
      </c>
      <c r="B152" s="20" t="s">
        <v>193</v>
      </c>
      <c r="C152" s="20">
        <v>22.3</v>
      </c>
      <c r="D152" s="27"/>
    </row>
    <row r="153" hidden="1">
      <c r="A153" s="26">
        <v>44390.72587667824</v>
      </c>
      <c r="B153" s="20" t="s">
        <v>831</v>
      </c>
      <c r="C153" s="20">
        <v>16.0</v>
      </c>
      <c r="D153" s="27"/>
    </row>
    <row r="154" hidden="1">
      <c r="A154" s="26">
        <v>44390.72621813657</v>
      </c>
      <c r="B154" s="20" t="s">
        <v>163</v>
      </c>
      <c r="C154" s="20">
        <v>24.0</v>
      </c>
      <c r="D154" s="27"/>
    </row>
    <row r="155" hidden="1">
      <c r="A155" s="26">
        <v>44390.7264594213</v>
      </c>
      <c r="B155" s="20" t="s">
        <v>832</v>
      </c>
      <c r="C155" s="20">
        <v>32.0</v>
      </c>
      <c r="D155" s="27"/>
    </row>
    <row r="156" hidden="1">
      <c r="A156" s="26">
        <v>44390.726609247686</v>
      </c>
      <c r="B156" s="20" t="s">
        <v>833</v>
      </c>
      <c r="C156" s="20">
        <v>30.0</v>
      </c>
      <c r="D156" s="27"/>
    </row>
    <row r="157" hidden="1">
      <c r="A157" s="26">
        <v>44390.73099895833</v>
      </c>
      <c r="B157" s="20" t="s">
        <v>780</v>
      </c>
      <c r="C157" s="20">
        <v>25.0</v>
      </c>
      <c r="D157" s="27"/>
    </row>
    <row r="158" hidden="1">
      <c r="A158" s="26">
        <v>44391.71749546296</v>
      </c>
      <c r="B158" s="20" t="s">
        <v>824</v>
      </c>
      <c r="C158" s="20">
        <v>25.0</v>
      </c>
      <c r="D158" s="27"/>
    </row>
    <row r="159" hidden="1">
      <c r="A159" s="26">
        <v>44391.8609678125</v>
      </c>
      <c r="B159" s="20" t="s">
        <v>437</v>
      </c>
      <c r="C159" s="20">
        <v>10.0</v>
      </c>
      <c r="D159" s="27"/>
    </row>
    <row r="160" hidden="1">
      <c r="A160" s="26">
        <v>44391.86488847222</v>
      </c>
      <c r="B160" s="20" t="s">
        <v>834</v>
      </c>
      <c r="C160" s="20">
        <v>138.0</v>
      </c>
      <c r="D160" s="27"/>
    </row>
    <row r="161" hidden="1">
      <c r="A161" s="26">
        <v>44391.86524564815</v>
      </c>
      <c r="B161" s="20" t="s">
        <v>835</v>
      </c>
      <c r="C161" s="20">
        <v>20.0</v>
      </c>
      <c r="D161" s="27"/>
    </row>
    <row r="162" hidden="1">
      <c r="A162" s="26">
        <v>44391.865526608795</v>
      </c>
      <c r="B162" s="20" t="s">
        <v>836</v>
      </c>
      <c r="C162" s="20">
        <v>13.0</v>
      </c>
      <c r="D162" s="27"/>
    </row>
    <row r="163" hidden="1">
      <c r="A163" s="26">
        <v>44391.869776782405</v>
      </c>
      <c r="B163" s="20" t="s">
        <v>837</v>
      </c>
      <c r="C163" s="20">
        <v>19.0</v>
      </c>
      <c r="D163" s="27"/>
    </row>
    <row r="164" hidden="1">
      <c r="A164" s="26">
        <v>44392.70586377315</v>
      </c>
      <c r="B164" s="20" t="s">
        <v>761</v>
      </c>
      <c r="C164" s="20">
        <v>40.0</v>
      </c>
      <c r="D164" s="27"/>
    </row>
    <row r="165" hidden="1">
      <c r="A165" s="26">
        <v>44392.71028666667</v>
      </c>
      <c r="B165" s="20" t="s">
        <v>163</v>
      </c>
      <c r="C165" s="20">
        <v>22.0</v>
      </c>
      <c r="D165" s="27"/>
    </row>
    <row r="166" hidden="1">
      <c r="A166" s="26">
        <v>44392.724567916666</v>
      </c>
      <c r="B166" s="20" t="s">
        <v>836</v>
      </c>
      <c r="C166" s="20">
        <v>13.0</v>
      </c>
      <c r="D166" s="27"/>
    </row>
    <row r="167" hidden="1">
      <c r="A167" s="26">
        <v>44393.721728136574</v>
      </c>
      <c r="B167" s="20" t="s">
        <v>801</v>
      </c>
      <c r="C167" s="20">
        <v>10.0</v>
      </c>
      <c r="D167" s="27"/>
    </row>
    <row r="168" hidden="1">
      <c r="A168" s="26">
        <v>44394.740593298615</v>
      </c>
      <c r="B168" s="20" t="s">
        <v>203</v>
      </c>
      <c r="C168" s="20">
        <v>5.0</v>
      </c>
      <c r="D168" s="27"/>
    </row>
    <row r="169" hidden="1">
      <c r="A169" s="26">
        <v>44394.74162674768</v>
      </c>
      <c r="B169" s="20" t="s">
        <v>178</v>
      </c>
      <c r="C169" s="20">
        <v>6.0</v>
      </c>
      <c r="D169" s="27"/>
    </row>
    <row r="170" hidden="1">
      <c r="A170" s="26">
        <v>44395.6626178588</v>
      </c>
      <c r="B170" s="20" t="s">
        <v>214</v>
      </c>
      <c r="C170" s="20">
        <v>36.0</v>
      </c>
      <c r="D170" s="27"/>
    </row>
    <row r="171" hidden="1">
      <c r="A171" s="26">
        <v>44395.663491666666</v>
      </c>
      <c r="B171" s="20" t="s">
        <v>796</v>
      </c>
      <c r="C171" s="20">
        <v>35.0</v>
      </c>
      <c r="D171" s="27"/>
    </row>
    <row r="172" hidden="1">
      <c r="A172" s="26">
        <v>44395.66539446759</v>
      </c>
      <c r="B172" s="20" t="s">
        <v>776</v>
      </c>
      <c r="C172" s="20">
        <v>30.0</v>
      </c>
      <c r="D172" s="27"/>
    </row>
    <row r="173" hidden="1">
      <c r="A173" s="26">
        <v>44395.67778621528</v>
      </c>
      <c r="B173" s="20" t="s">
        <v>554</v>
      </c>
      <c r="C173" s="20">
        <v>33.0</v>
      </c>
      <c r="D173" s="27"/>
    </row>
    <row r="174" hidden="1">
      <c r="A174" s="26">
        <v>44397.7039941088</v>
      </c>
      <c r="B174" s="20" t="s">
        <v>163</v>
      </c>
      <c r="C174" s="20">
        <v>21.0</v>
      </c>
      <c r="D174" s="27"/>
    </row>
    <row r="175" hidden="1">
      <c r="A175" s="26">
        <v>44397.7043858449</v>
      </c>
      <c r="B175" s="20" t="s">
        <v>163</v>
      </c>
      <c r="C175" s="20">
        <v>27.0</v>
      </c>
      <c r="D175" s="27"/>
      <c r="E175" s="20" t="s">
        <v>838</v>
      </c>
    </row>
    <row r="176" hidden="1">
      <c r="A176" s="26">
        <v>44397.711458101854</v>
      </c>
      <c r="B176" s="20" t="s">
        <v>761</v>
      </c>
      <c r="C176" s="20">
        <v>12.4</v>
      </c>
      <c r="D176" s="27"/>
    </row>
    <row r="177" hidden="1">
      <c r="A177" s="26">
        <v>44397.71603944444</v>
      </c>
      <c r="B177" s="20" t="s">
        <v>780</v>
      </c>
      <c r="C177" s="20">
        <v>19.0</v>
      </c>
      <c r="D177" s="27"/>
    </row>
    <row r="178" hidden="1">
      <c r="A178" s="26">
        <v>44397.719120381946</v>
      </c>
      <c r="B178" s="20" t="s">
        <v>193</v>
      </c>
      <c r="C178" s="20">
        <v>18.0</v>
      </c>
      <c r="D178" s="27"/>
    </row>
    <row r="179" hidden="1">
      <c r="A179" s="26">
        <v>44398.71522243056</v>
      </c>
      <c r="B179" s="20" t="s">
        <v>839</v>
      </c>
      <c r="C179" s="20">
        <v>14.0</v>
      </c>
      <c r="D179" s="27"/>
    </row>
    <row r="180" hidden="1">
      <c r="A180" s="26">
        <v>44398.839585023146</v>
      </c>
      <c r="B180" s="20" t="s">
        <v>840</v>
      </c>
      <c r="C180" s="20">
        <v>16.0</v>
      </c>
      <c r="D180" s="27"/>
    </row>
    <row r="181" hidden="1">
      <c r="A181" s="26">
        <v>44398.845553402774</v>
      </c>
      <c r="B181" s="20" t="s">
        <v>841</v>
      </c>
      <c r="C181" s="20">
        <v>20.0</v>
      </c>
      <c r="D181" s="27"/>
    </row>
    <row r="182" hidden="1">
      <c r="A182" s="26">
        <v>44398.848736423606</v>
      </c>
      <c r="B182" s="20" t="s">
        <v>821</v>
      </c>
      <c r="C182" s="20">
        <v>13.0</v>
      </c>
      <c r="D182" s="27"/>
    </row>
    <row r="183" hidden="1">
      <c r="A183" s="26">
        <v>44398.85152305556</v>
      </c>
      <c r="B183" s="20" t="s">
        <v>779</v>
      </c>
      <c r="C183" s="20">
        <v>30.0</v>
      </c>
      <c r="D183" s="27"/>
    </row>
    <row r="184" hidden="1">
      <c r="A184" s="26">
        <v>44398.85238560185</v>
      </c>
      <c r="B184" s="20" t="s">
        <v>437</v>
      </c>
      <c r="C184" s="20">
        <v>8.0</v>
      </c>
      <c r="D184" s="27"/>
    </row>
    <row r="185" hidden="1">
      <c r="A185" s="26">
        <v>44398.853159756945</v>
      </c>
      <c r="B185" s="20" t="s">
        <v>760</v>
      </c>
      <c r="C185" s="20">
        <v>25.0</v>
      </c>
      <c r="D185" s="27"/>
    </row>
    <row r="186" hidden="1">
      <c r="A186" s="26">
        <v>44398.857683344904</v>
      </c>
      <c r="B186" s="20" t="s">
        <v>842</v>
      </c>
      <c r="C186" s="20">
        <v>30.0</v>
      </c>
      <c r="D186" s="27"/>
    </row>
    <row r="187" hidden="1">
      <c r="A187" s="26">
        <v>44399.708426446756</v>
      </c>
      <c r="B187" s="20" t="s">
        <v>163</v>
      </c>
      <c r="C187" s="20">
        <v>13.0</v>
      </c>
      <c r="D187" s="27"/>
    </row>
    <row r="188" hidden="1">
      <c r="A188" s="26">
        <v>44399.71047821759</v>
      </c>
      <c r="B188" s="20" t="s">
        <v>843</v>
      </c>
      <c r="C188" s="20">
        <v>73.0</v>
      </c>
      <c r="D188" s="27"/>
    </row>
    <row r="189" hidden="1">
      <c r="A189" s="26">
        <v>44399.726476550924</v>
      </c>
      <c r="B189" s="20" t="s">
        <v>193</v>
      </c>
      <c r="C189" s="20">
        <v>14.0</v>
      </c>
      <c r="D189" s="27"/>
    </row>
    <row r="190" hidden="1">
      <c r="A190" s="26">
        <v>44399.87999475695</v>
      </c>
      <c r="B190" s="20" t="s">
        <v>844</v>
      </c>
      <c r="C190" s="20">
        <v>9.1</v>
      </c>
      <c r="D190" s="27"/>
    </row>
    <row r="191" hidden="1">
      <c r="A191" s="26">
        <v>44399.90936020833</v>
      </c>
      <c r="B191" s="20" t="s">
        <v>298</v>
      </c>
      <c r="C191" s="20">
        <v>17.0</v>
      </c>
      <c r="D191" s="27"/>
    </row>
    <row r="192" hidden="1">
      <c r="A192" s="26">
        <v>44400.71022871528</v>
      </c>
      <c r="B192" s="20" t="s">
        <v>780</v>
      </c>
      <c r="C192" s="20">
        <v>28.0</v>
      </c>
      <c r="D192" s="27"/>
    </row>
    <row r="193" hidden="1">
      <c r="A193" s="26">
        <v>44400.71751798611</v>
      </c>
      <c r="B193" s="20" t="s">
        <v>298</v>
      </c>
      <c r="C193" s="20">
        <v>36.0</v>
      </c>
      <c r="D193" s="27"/>
    </row>
    <row r="194" hidden="1">
      <c r="A194" s="26">
        <v>44400.73763821759</v>
      </c>
      <c r="B194" s="20" t="s">
        <v>260</v>
      </c>
      <c r="C194" s="20">
        <v>22.0</v>
      </c>
      <c r="D194" s="27"/>
    </row>
    <row r="195" hidden="1">
      <c r="A195" s="26">
        <v>44400.748923935185</v>
      </c>
      <c r="B195" s="20" t="s">
        <v>845</v>
      </c>
      <c r="C195" s="20">
        <v>25.0</v>
      </c>
      <c r="D195" s="27"/>
    </row>
    <row r="196" hidden="1">
      <c r="A196" s="26">
        <v>44401.717907893515</v>
      </c>
      <c r="B196" s="20" t="s">
        <v>298</v>
      </c>
      <c r="C196" s="20">
        <v>130.0</v>
      </c>
      <c r="D196" s="27"/>
    </row>
    <row r="197" hidden="1">
      <c r="A197" s="26">
        <v>44401.74194886574</v>
      </c>
      <c r="B197" s="20" t="s">
        <v>846</v>
      </c>
      <c r="C197" s="20">
        <v>40.0</v>
      </c>
      <c r="D197" s="27"/>
    </row>
    <row r="198" hidden="1">
      <c r="A198" s="26">
        <v>44401.743346145835</v>
      </c>
      <c r="B198" s="20" t="s">
        <v>779</v>
      </c>
      <c r="C198" s="20">
        <v>39.0</v>
      </c>
      <c r="D198" s="27"/>
    </row>
    <row r="199" hidden="1">
      <c r="A199" s="26">
        <v>44401.74515552083</v>
      </c>
      <c r="B199" s="20" t="s">
        <v>779</v>
      </c>
      <c r="C199" s="20">
        <v>40.5</v>
      </c>
      <c r="D199" s="27"/>
      <c r="E199" s="20" t="s">
        <v>838</v>
      </c>
    </row>
    <row r="200" hidden="1">
      <c r="A200" s="26">
        <v>44401.74898751157</v>
      </c>
      <c r="B200" s="20" t="s">
        <v>437</v>
      </c>
      <c r="C200" s="20">
        <v>40.0</v>
      </c>
      <c r="D200" s="27"/>
    </row>
    <row r="201" hidden="1">
      <c r="A201" s="26">
        <v>44402.60888344907</v>
      </c>
      <c r="B201" s="20" t="s">
        <v>847</v>
      </c>
      <c r="C201" s="20">
        <v>12.0</v>
      </c>
      <c r="D201" s="27"/>
    </row>
    <row r="202" hidden="1">
      <c r="A202" s="26">
        <v>44402.660715729166</v>
      </c>
      <c r="B202" s="20" t="s">
        <v>298</v>
      </c>
      <c r="C202" s="20">
        <v>90.0</v>
      </c>
      <c r="D202" s="27"/>
    </row>
    <row r="203" hidden="1">
      <c r="A203" s="26">
        <v>44402.67057596065</v>
      </c>
      <c r="B203" s="20" t="s">
        <v>799</v>
      </c>
      <c r="C203" s="20">
        <v>37.0</v>
      </c>
      <c r="D203" s="27"/>
    </row>
    <row r="204" hidden="1">
      <c r="A204" s="26">
        <v>44402.67511408565</v>
      </c>
      <c r="B204" s="20" t="s">
        <v>848</v>
      </c>
      <c r="C204" s="20">
        <v>30.0</v>
      </c>
      <c r="D204" s="27"/>
      <c r="E204" s="37" t="s">
        <v>849</v>
      </c>
    </row>
    <row r="205" hidden="1">
      <c r="A205" s="26">
        <v>44402.677632129635</v>
      </c>
      <c r="B205" s="20" t="s">
        <v>796</v>
      </c>
      <c r="C205" s="20">
        <v>40.0</v>
      </c>
      <c r="D205" s="27"/>
    </row>
    <row r="206" hidden="1">
      <c r="A206" s="26">
        <v>44404.730951770835</v>
      </c>
      <c r="B206" s="20" t="s">
        <v>203</v>
      </c>
      <c r="C206" s="20">
        <v>20.0</v>
      </c>
      <c r="D206" s="27"/>
      <c r="E206" s="20" t="s">
        <v>838</v>
      </c>
    </row>
    <row r="207" hidden="1">
      <c r="A207" s="26">
        <v>44404.75951476852</v>
      </c>
      <c r="B207" s="20" t="s">
        <v>780</v>
      </c>
      <c r="C207" s="20">
        <v>37.0</v>
      </c>
      <c r="D207" s="27"/>
      <c r="E207" s="20" t="s">
        <v>850</v>
      </c>
    </row>
    <row r="208" hidden="1">
      <c r="A208" s="26">
        <v>44405.84085472222</v>
      </c>
      <c r="B208" s="20" t="s">
        <v>821</v>
      </c>
      <c r="C208" s="20">
        <v>11.0</v>
      </c>
      <c r="D208" s="27"/>
    </row>
    <row r="209" hidden="1">
      <c r="A209" s="26">
        <v>44405.85006719908</v>
      </c>
      <c r="B209" s="20" t="s">
        <v>760</v>
      </c>
      <c r="C209" s="20">
        <v>32.0</v>
      </c>
      <c r="D209" s="27"/>
    </row>
    <row r="210" hidden="1">
      <c r="A210" s="26">
        <v>44405.85026802083</v>
      </c>
      <c r="B210" s="20" t="s">
        <v>851</v>
      </c>
      <c r="C210" s="20">
        <v>22.0</v>
      </c>
      <c r="D210" s="27"/>
    </row>
    <row r="211" hidden="1">
      <c r="A211" s="26">
        <v>44405.850854652774</v>
      </c>
      <c r="B211" s="20" t="s">
        <v>840</v>
      </c>
      <c r="C211" s="20">
        <v>28.0</v>
      </c>
      <c r="D211" s="27"/>
    </row>
    <row r="212" hidden="1">
      <c r="A212" s="26">
        <v>44405.8548400463</v>
      </c>
      <c r="B212" s="20" t="s">
        <v>852</v>
      </c>
      <c r="C212" s="20">
        <v>27.0</v>
      </c>
      <c r="D212" s="27"/>
    </row>
    <row r="213" hidden="1">
      <c r="A213" s="26">
        <v>44405.8664521875</v>
      </c>
      <c r="B213" s="20" t="s">
        <v>853</v>
      </c>
      <c r="C213" s="20">
        <v>37.0</v>
      </c>
      <c r="D213" s="27"/>
    </row>
    <row r="214" hidden="1">
      <c r="A214" s="26">
        <v>44405.8665115162</v>
      </c>
      <c r="B214" s="20" t="s">
        <v>437</v>
      </c>
      <c r="C214" s="20">
        <v>8.0</v>
      </c>
      <c r="D214" s="27"/>
    </row>
    <row r="215" hidden="1">
      <c r="A215" s="26">
        <v>44405.86777510417</v>
      </c>
      <c r="B215" s="20" t="s">
        <v>854</v>
      </c>
      <c r="C215" s="20">
        <v>38.0</v>
      </c>
      <c r="D215" s="27"/>
    </row>
    <row r="216" hidden="1">
      <c r="A216" s="26">
        <v>44405.86879118056</v>
      </c>
      <c r="B216" s="20" t="s">
        <v>855</v>
      </c>
      <c r="C216" s="20">
        <v>39.0</v>
      </c>
      <c r="D216" s="27"/>
    </row>
    <row r="217" hidden="1">
      <c r="A217" s="26">
        <v>44405.87004511574</v>
      </c>
      <c r="B217" s="20" t="s">
        <v>856</v>
      </c>
      <c r="C217" s="20">
        <v>38.0</v>
      </c>
      <c r="D217" s="27"/>
    </row>
    <row r="218" hidden="1">
      <c r="A218" s="26">
        <v>44405.87633747685</v>
      </c>
      <c r="B218" s="20" t="s">
        <v>437</v>
      </c>
      <c r="C218" s="20">
        <v>1.0</v>
      </c>
      <c r="D218" s="27"/>
    </row>
    <row r="219" hidden="1">
      <c r="A219" s="26">
        <v>44405.879382280094</v>
      </c>
      <c r="B219" s="20" t="s">
        <v>847</v>
      </c>
      <c r="C219" s="20">
        <v>20.0</v>
      </c>
      <c r="D219" s="27"/>
    </row>
    <row r="220" hidden="1">
      <c r="A220" s="26">
        <v>44405.8802509838</v>
      </c>
      <c r="B220" s="20" t="s">
        <v>203</v>
      </c>
      <c r="C220" s="20">
        <v>15.0</v>
      </c>
      <c r="D220" s="27"/>
    </row>
    <row r="221" hidden="1">
      <c r="A221" s="26">
        <v>44405.88118835648</v>
      </c>
      <c r="B221" s="20" t="s">
        <v>796</v>
      </c>
      <c r="C221" s="20">
        <v>14.0</v>
      </c>
      <c r="D221" s="27"/>
    </row>
    <row r="222" hidden="1">
      <c r="A222" s="26">
        <v>44406.005435011575</v>
      </c>
      <c r="B222" s="20" t="s">
        <v>852</v>
      </c>
      <c r="C222" s="20">
        <v>27.0</v>
      </c>
      <c r="D222" s="27"/>
    </row>
    <row r="223" hidden="1">
      <c r="A223" s="26">
        <v>44406.71912835648</v>
      </c>
      <c r="B223" s="20" t="s">
        <v>163</v>
      </c>
      <c r="C223" s="20">
        <v>20.0</v>
      </c>
      <c r="D223" s="27"/>
    </row>
    <row r="224" hidden="1">
      <c r="A224" s="26">
        <v>44406.72017701389</v>
      </c>
      <c r="B224" s="20" t="s">
        <v>857</v>
      </c>
      <c r="C224" s="20">
        <v>21.0</v>
      </c>
      <c r="D224" s="27"/>
    </row>
    <row r="225" hidden="1">
      <c r="A225" s="26">
        <v>44406.72095659722</v>
      </c>
      <c r="B225" s="20" t="s">
        <v>858</v>
      </c>
      <c r="C225" s="20">
        <v>10.0</v>
      </c>
      <c r="D225" s="27"/>
    </row>
    <row r="226" hidden="1">
      <c r="A226" s="26">
        <v>44406.721331967594</v>
      </c>
      <c r="B226" s="20" t="s">
        <v>859</v>
      </c>
      <c r="C226" s="20">
        <v>21.0</v>
      </c>
      <c r="D226" s="27"/>
    </row>
    <row r="227" hidden="1">
      <c r="A227" s="26">
        <v>44406.721829050926</v>
      </c>
      <c r="B227" s="20" t="s">
        <v>809</v>
      </c>
      <c r="C227" s="20">
        <v>16.0</v>
      </c>
      <c r="D227" s="27"/>
      <c r="E227" s="20" t="s">
        <v>838</v>
      </c>
    </row>
    <row r="228" hidden="1">
      <c r="A228" s="26">
        <v>44406.875005995375</v>
      </c>
      <c r="B228" s="20" t="s">
        <v>820</v>
      </c>
      <c r="C228" s="20">
        <v>2.0</v>
      </c>
      <c r="D228" s="27"/>
    </row>
    <row r="229" hidden="1">
      <c r="A229" s="26">
        <v>44406.87501158565</v>
      </c>
      <c r="B229" s="20" t="s">
        <v>844</v>
      </c>
      <c r="C229" s="20">
        <v>24.0</v>
      </c>
      <c r="D229" s="27"/>
    </row>
    <row r="230" hidden="1">
      <c r="A230" s="26">
        <v>44406.881812314816</v>
      </c>
      <c r="B230" s="20" t="s">
        <v>437</v>
      </c>
      <c r="C230" s="20">
        <v>24.0</v>
      </c>
      <c r="D230" s="27"/>
    </row>
    <row r="231" hidden="1">
      <c r="A231" s="26">
        <v>44407.66362723379</v>
      </c>
      <c r="B231" s="20" t="s">
        <v>796</v>
      </c>
      <c r="C231" s="20">
        <v>42.0</v>
      </c>
      <c r="D231" s="27"/>
    </row>
    <row r="232" hidden="1">
      <c r="A232" s="26">
        <v>44407.701400983795</v>
      </c>
      <c r="B232" s="20" t="s">
        <v>860</v>
      </c>
      <c r="C232" s="20">
        <v>10.0</v>
      </c>
      <c r="D232" s="27"/>
    </row>
    <row r="233" hidden="1">
      <c r="A233" s="26">
        <v>44407.71097476852</v>
      </c>
      <c r="B233" s="20" t="s">
        <v>780</v>
      </c>
      <c r="C233" s="20">
        <v>18.0</v>
      </c>
      <c r="D233" s="27"/>
    </row>
    <row r="234" hidden="1">
      <c r="A234" s="26">
        <v>44407.71559369213</v>
      </c>
      <c r="B234" s="20" t="s">
        <v>191</v>
      </c>
      <c r="C234" s="20">
        <v>22.0</v>
      </c>
      <c r="D234" s="27"/>
    </row>
    <row r="235" hidden="1">
      <c r="A235" s="26">
        <v>44407.72021505787</v>
      </c>
      <c r="B235" s="20" t="s">
        <v>214</v>
      </c>
      <c r="C235" s="20">
        <v>36.0</v>
      </c>
      <c r="D235" s="27"/>
    </row>
    <row r="236" hidden="1">
      <c r="A236" s="26">
        <v>44408.71444564815</v>
      </c>
      <c r="B236" s="20" t="s">
        <v>861</v>
      </c>
      <c r="C236" s="20">
        <v>9.0</v>
      </c>
      <c r="D236" s="27"/>
    </row>
    <row r="237" hidden="1">
      <c r="A237" s="26">
        <v>44408.718514849534</v>
      </c>
      <c r="B237" s="20" t="s">
        <v>91</v>
      </c>
      <c r="C237" s="20">
        <v>7.9</v>
      </c>
      <c r="D237" s="27"/>
    </row>
    <row r="238" hidden="1">
      <c r="A238" s="26">
        <v>44408.72012167824</v>
      </c>
      <c r="B238" s="20" t="s">
        <v>178</v>
      </c>
      <c r="C238" s="20">
        <v>4.2</v>
      </c>
      <c r="D238" s="27"/>
    </row>
    <row r="239" hidden="1">
      <c r="A239" s="26">
        <v>44408.72014788195</v>
      </c>
      <c r="B239" s="20" t="s">
        <v>862</v>
      </c>
      <c r="C239" s="20">
        <v>32.0</v>
      </c>
      <c r="D239" s="27"/>
    </row>
    <row r="240" hidden="1">
      <c r="A240" s="26">
        <v>44408.72236015047</v>
      </c>
      <c r="B240" s="20" t="s">
        <v>300</v>
      </c>
      <c r="C240" s="20">
        <v>39.0</v>
      </c>
      <c r="D240" s="27"/>
    </row>
    <row r="241" hidden="1">
      <c r="A241" s="26">
        <v>44408.722949849536</v>
      </c>
      <c r="B241" s="20" t="s">
        <v>863</v>
      </c>
      <c r="C241" s="20">
        <v>40.0</v>
      </c>
      <c r="D241" s="27"/>
    </row>
    <row r="242" hidden="1">
      <c r="A242" s="26">
        <v>44408.723772453704</v>
      </c>
      <c r="B242" s="20" t="s">
        <v>203</v>
      </c>
      <c r="C242" s="20">
        <v>8.0</v>
      </c>
      <c r="D242" s="27"/>
    </row>
    <row r="243" hidden="1">
      <c r="A243" s="26">
        <v>44408.72549394676</v>
      </c>
      <c r="B243" s="20" t="s">
        <v>864</v>
      </c>
      <c r="C243" s="20">
        <v>24.0</v>
      </c>
      <c r="D243" s="27"/>
    </row>
    <row r="244" hidden="1">
      <c r="A244" s="26">
        <v>44408.72632778935</v>
      </c>
      <c r="B244" s="20" t="s">
        <v>865</v>
      </c>
      <c r="C244" s="20">
        <v>40.0</v>
      </c>
      <c r="D244" s="27"/>
    </row>
    <row r="245" hidden="1">
      <c r="A245" s="26">
        <v>44409.65687407408</v>
      </c>
      <c r="B245" s="20" t="s">
        <v>203</v>
      </c>
      <c r="C245" s="20">
        <v>4.0</v>
      </c>
      <c r="D245" s="27"/>
    </row>
    <row r="246" hidden="1">
      <c r="A246" s="26">
        <v>44409.667315439816</v>
      </c>
      <c r="B246" s="20" t="s">
        <v>298</v>
      </c>
      <c r="C246" s="20">
        <v>70.0</v>
      </c>
      <c r="D246" s="27"/>
    </row>
    <row r="247" hidden="1">
      <c r="A247" s="26">
        <v>44411.72767903935</v>
      </c>
      <c r="B247" s="20" t="s">
        <v>780</v>
      </c>
      <c r="C247" s="20">
        <v>19.0</v>
      </c>
      <c r="D247" s="27"/>
      <c r="E247" s="20" t="s">
        <v>866</v>
      </c>
    </row>
    <row r="248" hidden="1">
      <c r="A248" s="26">
        <v>44412.5791800463</v>
      </c>
      <c r="B248" s="20" t="s">
        <v>203</v>
      </c>
      <c r="C248" s="20">
        <v>12.0</v>
      </c>
      <c r="D248" s="27"/>
      <c r="E248" s="20" t="s">
        <v>838</v>
      </c>
    </row>
    <row r="249" hidden="1">
      <c r="A249" s="26">
        <v>44412.71319226852</v>
      </c>
      <c r="B249" s="20" t="s">
        <v>839</v>
      </c>
      <c r="C249" s="20">
        <v>8.0</v>
      </c>
      <c r="D249" s="27"/>
    </row>
    <row r="250" hidden="1">
      <c r="A250" s="26">
        <v>44412.72566377315</v>
      </c>
      <c r="B250" s="20" t="s">
        <v>839</v>
      </c>
      <c r="C250" s="20">
        <v>8.0</v>
      </c>
      <c r="D250" s="27"/>
    </row>
    <row r="251" hidden="1">
      <c r="A251" s="26">
        <v>44412.856909375</v>
      </c>
      <c r="B251" s="20" t="s">
        <v>867</v>
      </c>
      <c r="C251" s="20">
        <v>36.0</v>
      </c>
      <c r="D251" s="27"/>
    </row>
    <row r="252" hidden="1">
      <c r="A252" s="26">
        <v>44412.859583240745</v>
      </c>
      <c r="C252" s="20">
        <v>33.0</v>
      </c>
      <c r="D252" s="27"/>
    </row>
    <row r="253" hidden="1">
      <c r="A253" s="26">
        <v>44412.86599640046</v>
      </c>
      <c r="B253" s="20" t="s">
        <v>214</v>
      </c>
      <c r="C253" s="20">
        <v>32.0</v>
      </c>
      <c r="D253" s="27"/>
    </row>
    <row r="254" hidden="1">
      <c r="A254" s="26">
        <v>44412.86642215277</v>
      </c>
      <c r="B254" s="20" t="s">
        <v>437</v>
      </c>
      <c r="C254" s="20">
        <v>18.0</v>
      </c>
      <c r="D254" s="27"/>
    </row>
    <row r="255" hidden="1">
      <c r="A255" s="26">
        <v>44412.87022092592</v>
      </c>
      <c r="B255" s="20" t="s">
        <v>868</v>
      </c>
      <c r="C255" s="20">
        <v>37.0</v>
      </c>
      <c r="D255" s="27"/>
    </row>
    <row r="256" hidden="1">
      <c r="A256" s="26">
        <v>44412.871601018516</v>
      </c>
      <c r="B256" s="20" t="s">
        <v>869</v>
      </c>
      <c r="C256" s="20">
        <v>33.0</v>
      </c>
      <c r="D256" s="27"/>
    </row>
    <row r="257" hidden="1">
      <c r="A257" s="26">
        <v>44412.8724796875</v>
      </c>
      <c r="B257" s="20" t="s">
        <v>760</v>
      </c>
      <c r="C257" s="20">
        <v>34.0</v>
      </c>
      <c r="D257" s="27"/>
    </row>
    <row r="258" hidden="1">
      <c r="A258" s="26">
        <v>44413.436156192125</v>
      </c>
      <c r="B258" s="20" t="s">
        <v>780</v>
      </c>
      <c r="C258" s="20">
        <v>19.0</v>
      </c>
      <c r="D258" s="27"/>
      <c r="E258" s="20" t="s">
        <v>866</v>
      </c>
    </row>
    <row r="259" hidden="1">
      <c r="A259" s="26">
        <v>44413.700091527775</v>
      </c>
      <c r="B259" s="20" t="s">
        <v>870</v>
      </c>
      <c r="C259" s="20">
        <v>19.0</v>
      </c>
      <c r="D259" s="27"/>
    </row>
    <row r="260" hidden="1">
      <c r="A260" s="26">
        <v>44413.71074462963</v>
      </c>
      <c r="B260" s="20" t="s">
        <v>203</v>
      </c>
      <c r="C260" s="20">
        <v>7.0</v>
      </c>
      <c r="D260" s="27"/>
    </row>
    <row r="261" hidden="1">
      <c r="A261" s="26">
        <v>44413.87141707176</v>
      </c>
      <c r="B261" s="20" t="s">
        <v>813</v>
      </c>
      <c r="C261" s="20">
        <v>12.0</v>
      </c>
      <c r="D261" s="27"/>
    </row>
    <row r="262" hidden="1">
      <c r="A262" s="26">
        <v>44413.88030653935</v>
      </c>
      <c r="B262" s="20" t="s">
        <v>437</v>
      </c>
      <c r="C262" s="20">
        <v>22.0</v>
      </c>
      <c r="D262" s="27"/>
    </row>
    <row r="263" hidden="1">
      <c r="A263" s="26">
        <v>44414.56812098379</v>
      </c>
      <c r="B263" s="20" t="s">
        <v>203</v>
      </c>
      <c r="C263" s="20">
        <v>12.0</v>
      </c>
      <c r="D263" s="27"/>
      <c r="E263" s="20" t="s">
        <v>838</v>
      </c>
    </row>
    <row r="264" hidden="1">
      <c r="A264" s="26">
        <v>44414.71156512732</v>
      </c>
      <c r="B264" s="20" t="s">
        <v>780</v>
      </c>
      <c r="C264" s="20">
        <v>19.0</v>
      </c>
      <c r="D264" s="27"/>
    </row>
    <row r="265" hidden="1">
      <c r="A265" s="26">
        <v>44414.71162164352</v>
      </c>
      <c r="B265" s="20" t="s">
        <v>260</v>
      </c>
      <c r="C265" s="20">
        <v>22.0</v>
      </c>
      <c r="D265" s="27"/>
    </row>
    <row r="266" hidden="1">
      <c r="A266" s="26">
        <v>44415.45764972222</v>
      </c>
      <c r="B266" s="20" t="s">
        <v>871</v>
      </c>
      <c r="C266" s="20">
        <v>45.0</v>
      </c>
      <c r="D266" s="27"/>
    </row>
    <row r="267" hidden="1">
      <c r="A267" s="26">
        <v>44415.55088498842</v>
      </c>
      <c r="B267" s="20" t="s">
        <v>872</v>
      </c>
      <c r="C267" s="20">
        <v>20.0</v>
      </c>
      <c r="D267" s="27"/>
    </row>
    <row r="268" hidden="1">
      <c r="A268" s="26">
        <v>44415.71469283565</v>
      </c>
      <c r="B268" s="20" t="s">
        <v>861</v>
      </c>
      <c r="C268" s="20">
        <v>13.0</v>
      </c>
      <c r="D268" s="27"/>
    </row>
    <row r="269" hidden="1">
      <c r="A269" s="26">
        <v>44415.71960591435</v>
      </c>
      <c r="B269" s="20" t="s">
        <v>178</v>
      </c>
      <c r="C269" s="20">
        <v>2.0</v>
      </c>
      <c r="D269" s="27"/>
    </row>
    <row r="270" hidden="1">
      <c r="A270" s="26">
        <v>44415.72073386574</v>
      </c>
      <c r="B270" s="20" t="s">
        <v>300</v>
      </c>
      <c r="C270" s="20" t="s">
        <v>873</v>
      </c>
      <c r="D270" s="27"/>
    </row>
    <row r="271" hidden="1">
      <c r="A271" s="26">
        <v>44415.72074228009</v>
      </c>
      <c r="B271" s="20" t="s">
        <v>91</v>
      </c>
      <c r="C271" s="20">
        <v>3.9</v>
      </c>
      <c r="D271" s="27"/>
    </row>
    <row r="272" hidden="1">
      <c r="A272" s="26">
        <v>44415.722093715274</v>
      </c>
      <c r="B272" s="20" t="s">
        <v>874</v>
      </c>
      <c r="C272" s="20">
        <v>40.0</v>
      </c>
      <c r="D272" s="27"/>
    </row>
    <row r="273" hidden="1">
      <c r="A273" s="26">
        <v>44415.73496540509</v>
      </c>
      <c r="B273" s="20" t="s">
        <v>203</v>
      </c>
      <c r="C273" s="20">
        <v>6.0</v>
      </c>
      <c r="D273" s="27"/>
    </row>
    <row r="274" hidden="1">
      <c r="A274" s="26">
        <v>44416.67280325231</v>
      </c>
      <c r="B274" s="20" t="s">
        <v>875</v>
      </c>
      <c r="C274" s="20">
        <v>23.0</v>
      </c>
      <c r="D274" s="27"/>
    </row>
    <row r="275" hidden="1">
      <c r="A275" s="26">
        <v>44416.673909351855</v>
      </c>
      <c r="B275" s="20" t="s">
        <v>876</v>
      </c>
      <c r="C275" s="20">
        <v>41.0</v>
      </c>
      <c r="D275" s="27"/>
    </row>
    <row r="276" hidden="1">
      <c r="A276" s="26">
        <v>44416.67419670139</v>
      </c>
      <c r="B276" s="20" t="s">
        <v>877</v>
      </c>
      <c r="C276" s="20">
        <v>28.0</v>
      </c>
      <c r="D276" s="27"/>
    </row>
    <row r="277" hidden="1">
      <c r="A277" s="26">
        <v>44416.674442372685</v>
      </c>
      <c r="B277" s="20" t="s">
        <v>800</v>
      </c>
      <c r="C277" s="20">
        <v>38.0</v>
      </c>
      <c r="D277" s="27"/>
      <c r="E277" s="38" t="s">
        <v>878</v>
      </c>
    </row>
    <row r="278" hidden="1">
      <c r="A278" s="26">
        <v>44416.678126493054</v>
      </c>
      <c r="B278" s="20" t="s">
        <v>298</v>
      </c>
      <c r="C278" s="20">
        <v>90.0</v>
      </c>
      <c r="D278" s="27"/>
    </row>
    <row r="279" hidden="1">
      <c r="A279" s="26">
        <v>44416.75878027778</v>
      </c>
      <c r="B279" s="20" t="s">
        <v>879</v>
      </c>
      <c r="C279" s="20" t="s">
        <v>880</v>
      </c>
      <c r="D279" s="27"/>
    </row>
    <row r="280" hidden="1">
      <c r="A280" s="26">
        <v>44416.86006960648</v>
      </c>
      <c r="B280" s="20" t="s">
        <v>877</v>
      </c>
      <c r="C280" s="20">
        <v>28.0</v>
      </c>
      <c r="D280" s="27"/>
    </row>
    <row r="281" hidden="1">
      <c r="A281" s="26">
        <v>44416.89709288195</v>
      </c>
      <c r="B281" s="20" t="s">
        <v>877</v>
      </c>
      <c r="C281" s="20">
        <v>28.0</v>
      </c>
      <c r="D281" s="27"/>
    </row>
    <row r="282" hidden="1">
      <c r="A282" s="26">
        <v>44417.77042652778</v>
      </c>
      <c r="B282" s="20" t="s">
        <v>864</v>
      </c>
      <c r="C282" s="20">
        <v>24.0</v>
      </c>
      <c r="D282" s="27"/>
    </row>
    <row r="283" hidden="1">
      <c r="A283" s="26">
        <v>44418.719115092594</v>
      </c>
      <c r="B283" s="20" t="s">
        <v>761</v>
      </c>
      <c r="C283" s="20">
        <v>18.0</v>
      </c>
      <c r="D283" s="27"/>
    </row>
    <row r="284" hidden="1">
      <c r="A284" s="26">
        <v>44418.724328958335</v>
      </c>
      <c r="B284" s="20" t="s">
        <v>780</v>
      </c>
      <c r="C284" s="20">
        <v>30.0</v>
      </c>
      <c r="D284" s="27"/>
      <c r="E284" s="38" t="s">
        <v>881</v>
      </c>
    </row>
    <row r="285" hidden="1">
      <c r="A285" s="26">
        <v>44418.73514744213</v>
      </c>
      <c r="B285" s="20" t="s">
        <v>203</v>
      </c>
      <c r="C285" s="20">
        <v>7.0</v>
      </c>
      <c r="D285" s="27"/>
      <c r="E285" s="20" t="s">
        <v>838</v>
      </c>
    </row>
    <row r="286" hidden="1">
      <c r="A286" s="26">
        <v>44418.735271516205</v>
      </c>
      <c r="B286" s="20" t="s">
        <v>796</v>
      </c>
      <c r="C286" s="20">
        <v>27.0</v>
      </c>
      <c r="D286" s="27"/>
    </row>
    <row r="287" hidden="1">
      <c r="A287" s="26">
        <v>44419.69557402778</v>
      </c>
      <c r="B287" s="32" t="s">
        <v>882</v>
      </c>
      <c r="C287" s="20">
        <v>80.0</v>
      </c>
      <c r="D287" s="27"/>
    </row>
    <row r="288" hidden="1">
      <c r="A288" s="26">
        <v>44419.72119976852</v>
      </c>
      <c r="B288" s="20" t="s">
        <v>883</v>
      </c>
      <c r="C288" s="20">
        <v>20.0</v>
      </c>
      <c r="D288" s="27"/>
    </row>
    <row r="289" hidden="1">
      <c r="A289" s="26">
        <v>44419.87147326389</v>
      </c>
      <c r="B289" s="20" t="s">
        <v>203</v>
      </c>
      <c r="C289" s="20">
        <v>20.0</v>
      </c>
      <c r="D289" s="27"/>
    </row>
    <row r="290" hidden="1">
      <c r="A290" s="26">
        <v>44419.87277320602</v>
      </c>
      <c r="B290" s="20" t="s">
        <v>414</v>
      </c>
      <c r="C290" s="20">
        <v>40.0</v>
      </c>
      <c r="D290" s="27"/>
    </row>
    <row r="291" hidden="1">
      <c r="A291" s="26">
        <v>44419.87383776621</v>
      </c>
      <c r="B291" s="20" t="s">
        <v>203</v>
      </c>
      <c r="C291" s="20">
        <v>20.0</v>
      </c>
      <c r="D291" s="27"/>
    </row>
    <row r="292" hidden="1">
      <c r="A292" s="26">
        <v>44419.87955353009</v>
      </c>
      <c r="B292" s="20" t="s">
        <v>884</v>
      </c>
      <c r="C292" s="20">
        <v>15.0</v>
      </c>
      <c r="D292" s="27"/>
    </row>
    <row r="293" hidden="1">
      <c r="A293" s="26">
        <v>44419.88032803241</v>
      </c>
      <c r="B293" s="20" t="s">
        <v>437</v>
      </c>
      <c r="C293" s="20">
        <v>34.0</v>
      </c>
      <c r="D293" s="27"/>
    </row>
    <row r="294" hidden="1">
      <c r="A294" s="26">
        <v>44419.88162564815</v>
      </c>
      <c r="B294" s="20" t="s">
        <v>760</v>
      </c>
      <c r="C294" s="20">
        <v>40.0</v>
      </c>
      <c r="D294" s="27"/>
    </row>
    <row r="295" hidden="1">
      <c r="A295" s="26">
        <v>44419.886055752315</v>
      </c>
      <c r="B295" s="20" t="s">
        <v>855</v>
      </c>
      <c r="C295" s="20">
        <v>36.0</v>
      </c>
      <c r="D295" s="27"/>
    </row>
    <row r="296" hidden="1">
      <c r="A296" s="26">
        <v>44419.89190015046</v>
      </c>
      <c r="B296" s="20" t="s">
        <v>842</v>
      </c>
      <c r="C296" s="20">
        <v>36.0</v>
      </c>
      <c r="D296" s="27"/>
    </row>
    <row r="297" hidden="1">
      <c r="A297" s="26">
        <v>44419.89305622685</v>
      </c>
      <c r="B297" s="20" t="s">
        <v>869</v>
      </c>
      <c r="C297" s="20">
        <v>35.0</v>
      </c>
      <c r="D297" s="27"/>
    </row>
    <row r="298" hidden="1">
      <c r="A298" s="26">
        <v>44419.89500550926</v>
      </c>
      <c r="B298" s="20" t="s">
        <v>885</v>
      </c>
      <c r="C298" s="20">
        <v>13.0</v>
      </c>
      <c r="D298" s="27"/>
    </row>
    <row r="299" hidden="1">
      <c r="A299" s="26">
        <v>44419.931650162034</v>
      </c>
      <c r="B299" s="32" t="s">
        <v>882</v>
      </c>
      <c r="C299" s="20">
        <v>80.0</v>
      </c>
      <c r="D299" s="27"/>
    </row>
    <row r="300" hidden="1">
      <c r="A300" s="26">
        <v>44420.66543994213</v>
      </c>
      <c r="B300" s="20" t="s">
        <v>203</v>
      </c>
      <c r="C300" s="20">
        <v>17.0</v>
      </c>
      <c r="D300" s="27"/>
    </row>
    <row r="301" hidden="1">
      <c r="A301" s="26">
        <v>44420.71614038195</v>
      </c>
      <c r="B301" s="20" t="s">
        <v>761</v>
      </c>
      <c r="C301" s="20">
        <v>22.5</v>
      </c>
      <c r="D301" s="27"/>
    </row>
    <row r="302" hidden="1">
      <c r="A302" s="26">
        <v>44420.71904303241</v>
      </c>
      <c r="B302" s="20" t="s">
        <v>886</v>
      </c>
      <c r="C302" s="20">
        <v>5.0</v>
      </c>
      <c r="D302" s="27"/>
    </row>
    <row r="303" hidden="1">
      <c r="A303" s="26">
        <v>44420.87722646991</v>
      </c>
      <c r="B303" s="20" t="s">
        <v>844</v>
      </c>
      <c r="C303" s="20">
        <v>5.0</v>
      </c>
      <c r="D303" s="27"/>
    </row>
    <row r="304" hidden="1">
      <c r="A304" s="26">
        <v>44420.88247440972</v>
      </c>
      <c r="B304" s="20" t="s">
        <v>437</v>
      </c>
      <c r="C304" s="20">
        <v>6.0</v>
      </c>
      <c r="D304" s="27"/>
    </row>
    <row r="305" hidden="1">
      <c r="A305" s="26">
        <v>44420.88739724537</v>
      </c>
      <c r="B305" s="20" t="s">
        <v>787</v>
      </c>
      <c r="C305" s="20">
        <v>25.0</v>
      </c>
      <c r="D305" s="27"/>
    </row>
    <row r="306" hidden="1">
      <c r="A306" s="26">
        <v>44420.9199752662</v>
      </c>
      <c r="B306" s="20" t="s">
        <v>49</v>
      </c>
      <c r="C306" s="20">
        <v>60.0</v>
      </c>
      <c r="D306" s="27"/>
    </row>
    <row r="307" hidden="1">
      <c r="A307" s="26">
        <v>44420.92040207176</v>
      </c>
      <c r="B307" s="20" t="s">
        <v>855</v>
      </c>
      <c r="C307" s="20">
        <v>36.0</v>
      </c>
      <c r="D307" s="27"/>
    </row>
    <row r="308" hidden="1">
      <c r="A308" s="26">
        <v>44420.92079928241</v>
      </c>
      <c r="B308" s="20" t="s">
        <v>847</v>
      </c>
      <c r="C308" s="20">
        <v>34.0</v>
      </c>
      <c r="D308" s="27"/>
    </row>
    <row r="309" hidden="1">
      <c r="A309" s="26">
        <v>44421.759600000005</v>
      </c>
      <c r="B309" s="20" t="s">
        <v>885</v>
      </c>
      <c r="C309" s="20">
        <v>44.0</v>
      </c>
      <c r="D309" s="27"/>
    </row>
    <row r="310" hidden="1">
      <c r="A310" s="26">
        <v>44422.734202673615</v>
      </c>
      <c r="B310" s="20" t="s">
        <v>91</v>
      </c>
      <c r="C310" s="20">
        <v>6.0</v>
      </c>
      <c r="D310" s="27"/>
    </row>
    <row r="311" hidden="1">
      <c r="A311" s="26">
        <v>44422.74620826389</v>
      </c>
      <c r="B311" s="20" t="s">
        <v>300</v>
      </c>
      <c r="C311" s="20">
        <v>35.0</v>
      </c>
      <c r="D311" s="27"/>
    </row>
    <row r="312" hidden="1">
      <c r="A312" s="26">
        <v>44422.74734783565</v>
      </c>
      <c r="B312" s="20" t="s">
        <v>865</v>
      </c>
      <c r="C312" s="20">
        <v>33.0</v>
      </c>
      <c r="D312" s="27"/>
    </row>
    <row r="313" hidden="1">
      <c r="A313" s="26">
        <v>44422.76018135417</v>
      </c>
      <c r="B313" s="20" t="s">
        <v>884</v>
      </c>
      <c r="C313" s="20">
        <v>23.0</v>
      </c>
      <c r="D313" s="27"/>
    </row>
    <row r="314" hidden="1">
      <c r="A314" s="26">
        <v>44422.77316780093</v>
      </c>
      <c r="B314" s="20" t="s">
        <v>869</v>
      </c>
      <c r="C314" s="20">
        <v>5.0</v>
      </c>
      <c r="D314" s="27"/>
    </row>
    <row r="315" hidden="1">
      <c r="A315" s="26">
        <v>44422.77507315972</v>
      </c>
      <c r="B315" s="20" t="s">
        <v>855</v>
      </c>
      <c r="C315" s="20">
        <v>12.0</v>
      </c>
      <c r="D315" s="27"/>
    </row>
    <row r="316" hidden="1">
      <c r="A316" s="26">
        <v>44423.64697335648</v>
      </c>
      <c r="B316" s="20" t="s">
        <v>800</v>
      </c>
      <c r="C316" s="20">
        <v>1.0</v>
      </c>
      <c r="D316" s="27"/>
      <c r="E316" s="20" t="s">
        <v>887</v>
      </c>
    </row>
    <row r="317" hidden="1">
      <c r="A317" s="26">
        <v>44423.68200598379</v>
      </c>
      <c r="B317" s="20" t="s">
        <v>888</v>
      </c>
      <c r="C317" s="20">
        <v>40.0</v>
      </c>
      <c r="D317" s="27"/>
    </row>
    <row r="318" hidden="1">
      <c r="A318" s="26">
        <v>44423.68316090278</v>
      </c>
      <c r="B318" s="20" t="s">
        <v>875</v>
      </c>
      <c r="C318" s="20">
        <v>40.0</v>
      </c>
      <c r="D318" s="27"/>
    </row>
    <row r="319" hidden="1">
      <c r="A319" s="26">
        <v>44425.71460479166</v>
      </c>
      <c r="B319" s="20" t="s">
        <v>761</v>
      </c>
      <c r="C319" s="20">
        <v>14.8</v>
      </c>
      <c r="D319" s="27"/>
    </row>
    <row r="320" hidden="1">
      <c r="A320" s="26">
        <v>44425.71623962963</v>
      </c>
      <c r="B320" s="20" t="s">
        <v>889</v>
      </c>
      <c r="C320" s="20">
        <v>15.0</v>
      </c>
      <c r="D320" s="27"/>
    </row>
    <row r="321" hidden="1">
      <c r="A321" s="26">
        <v>44425.723373229164</v>
      </c>
      <c r="B321" s="20" t="s">
        <v>780</v>
      </c>
      <c r="C321" s="20">
        <v>17.0</v>
      </c>
      <c r="D321" s="27"/>
    </row>
    <row r="322" hidden="1">
      <c r="A322" s="26">
        <v>44426.69542982639</v>
      </c>
      <c r="B322" s="20" t="s">
        <v>885</v>
      </c>
      <c r="C322" s="20">
        <v>23.0</v>
      </c>
      <c r="D322" s="27"/>
    </row>
    <row r="323" hidden="1">
      <c r="A323" s="26">
        <v>44426.70217319444</v>
      </c>
      <c r="B323" s="20" t="s">
        <v>885</v>
      </c>
      <c r="C323" s="20">
        <v>7.0</v>
      </c>
      <c r="D323" s="27"/>
    </row>
    <row r="324" hidden="1">
      <c r="A324" s="26">
        <v>44426.730098252316</v>
      </c>
      <c r="B324" s="20" t="s">
        <v>855</v>
      </c>
      <c r="C324" s="20">
        <v>39.0</v>
      </c>
      <c r="D324" s="27"/>
    </row>
    <row r="325" hidden="1">
      <c r="A325" s="26">
        <v>44426.73037832176</v>
      </c>
      <c r="B325" s="20" t="s">
        <v>869</v>
      </c>
      <c r="C325" s="20">
        <v>19.0</v>
      </c>
      <c r="D325" s="27"/>
    </row>
    <row r="326" hidden="1">
      <c r="A326" s="26">
        <v>44426.73045284722</v>
      </c>
      <c r="B326" s="20" t="s">
        <v>214</v>
      </c>
      <c r="C326" s="20">
        <v>40.0</v>
      </c>
      <c r="D326" s="27"/>
    </row>
    <row r="327" hidden="1">
      <c r="A327" s="26">
        <v>44427.710414305555</v>
      </c>
      <c r="B327" s="20" t="s">
        <v>886</v>
      </c>
      <c r="C327" s="20">
        <v>15.0</v>
      </c>
      <c r="D327" s="27"/>
    </row>
    <row r="328" hidden="1">
      <c r="A328" s="26">
        <v>44427.71111928241</v>
      </c>
      <c r="B328" s="20" t="s">
        <v>163</v>
      </c>
      <c r="C328" s="20">
        <v>21.0</v>
      </c>
      <c r="D328" s="27"/>
      <c r="E328" s="20" t="s">
        <v>890</v>
      </c>
    </row>
    <row r="329" hidden="1">
      <c r="A329" s="26">
        <v>44427.71164155092</v>
      </c>
      <c r="B329" s="20" t="s">
        <v>163</v>
      </c>
      <c r="C329" s="20">
        <v>23.0</v>
      </c>
      <c r="D329" s="27"/>
    </row>
    <row r="330" hidden="1">
      <c r="A330" s="26">
        <v>44427.71223483796</v>
      </c>
      <c r="B330" s="20" t="s">
        <v>809</v>
      </c>
      <c r="C330" s="20">
        <v>33.0</v>
      </c>
      <c r="D330" s="27"/>
    </row>
    <row r="331" hidden="1">
      <c r="A331" s="26">
        <v>44427.85965046297</v>
      </c>
      <c r="B331" s="20" t="s">
        <v>801</v>
      </c>
      <c r="C331" s="20">
        <v>14.0</v>
      </c>
      <c r="D331" s="27"/>
    </row>
    <row r="332" hidden="1">
      <c r="A332" s="26">
        <v>44427.86427666667</v>
      </c>
      <c r="B332" s="20" t="s">
        <v>167</v>
      </c>
      <c r="C332" s="20">
        <v>23.0</v>
      </c>
      <c r="D332" s="27"/>
    </row>
    <row r="333" hidden="1">
      <c r="A333" s="26">
        <v>44427.865326875</v>
      </c>
      <c r="B333" s="20" t="s">
        <v>835</v>
      </c>
      <c r="C333" s="20">
        <v>36.0</v>
      </c>
      <c r="D333" s="27"/>
    </row>
    <row r="334" hidden="1">
      <c r="A334" s="26">
        <v>44427.8670115625</v>
      </c>
      <c r="B334" s="20" t="s">
        <v>869</v>
      </c>
      <c r="C334" s="20">
        <v>11.0</v>
      </c>
      <c r="D334" s="27"/>
    </row>
    <row r="335" hidden="1">
      <c r="A335" s="26">
        <v>44427.86738542824</v>
      </c>
      <c r="B335" s="20" t="s">
        <v>891</v>
      </c>
      <c r="C335" s="20">
        <v>16.0</v>
      </c>
      <c r="D335" s="27"/>
    </row>
    <row r="336" hidden="1">
      <c r="A336" s="26">
        <v>44427.87530225694</v>
      </c>
      <c r="B336" s="20" t="s">
        <v>884</v>
      </c>
      <c r="C336" s="20">
        <v>24.0</v>
      </c>
      <c r="D336" s="27"/>
    </row>
    <row r="337" hidden="1">
      <c r="A337" s="26">
        <v>44428.71006885417</v>
      </c>
      <c r="B337" s="20" t="s">
        <v>780</v>
      </c>
      <c r="C337" s="20">
        <v>11.0</v>
      </c>
      <c r="D337" s="27"/>
    </row>
    <row r="338" hidden="1">
      <c r="A338" s="26">
        <v>44428.716336840276</v>
      </c>
      <c r="B338" s="20" t="s">
        <v>576</v>
      </c>
      <c r="C338" s="20">
        <v>12.0</v>
      </c>
      <c r="D338" s="27"/>
    </row>
    <row r="339" hidden="1">
      <c r="A339" s="26">
        <v>44428.845030717595</v>
      </c>
      <c r="B339" s="20" t="s">
        <v>288</v>
      </c>
      <c r="C339" s="20">
        <v>11.0</v>
      </c>
      <c r="D339" s="27"/>
    </row>
    <row r="340" hidden="1">
      <c r="A340" s="26">
        <v>44429.7311141088</v>
      </c>
      <c r="B340" s="20" t="s">
        <v>774</v>
      </c>
      <c r="C340" s="20">
        <v>3.0</v>
      </c>
      <c r="D340" s="27"/>
    </row>
    <row r="341" hidden="1">
      <c r="A341" s="26">
        <v>44429.73291334491</v>
      </c>
      <c r="B341" s="20" t="s">
        <v>892</v>
      </c>
      <c r="C341" s="20">
        <v>8.0</v>
      </c>
      <c r="D341" s="27"/>
    </row>
    <row r="342" hidden="1">
      <c r="A342" s="26">
        <v>44429.73394993055</v>
      </c>
      <c r="B342" s="20" t="s">
        <v>91</v>
      </c>
      <c r="C342" s="20">
        <v>9.0</v>
      </c>
      <c r="D342" s="27"/>
    </row>
    <row r="343" hidden="1">
      <c r="A343" s="26">
        <v>44429.73781574074</v>
      </c>
      <c r="B343" s="20" t="s">
        <v>893</v>
      </c>
      <c r="C343" s="20">
        <v>31.0</v>
      </c>
      <c r="D343" s="27"/>
    </row>
    <row r="344" hidden="1">
      <c r="A344" s="26">
        <v>44429.73882979166</v>
      </c>
      <c r="B344" s="20" t="s">
        <v>178</v>
      </c>
      <c r="C344" s="20">
        <v>5.0</v>
      </c>
      <c r="D344" s="27"/>
    </row>
    <row r="345" hidden="1">
      <c r="A345" s="26">
        <v>44429.75108420139</v>
      </c>
      <c r="B345" s="20" t="s">
        <v>894</v>
      </c>
      <c r="C345" s="20">
        <v>36.0</v>
      </c>
      <c r="D345" s="27"/>
    </row>
    <row r="346" hidden="1">
      <c r="A346" s="26">
        <v>44429.757288113426</v>
      </c>
      <c r="B346" s="20" t="s">
        <v>895</v>
      </c>
      <c r="C346" s="20">
        <v>32.0</v>
      </c>
      <c r="D346" s="27"/>
    </row>
    <row r="347" hidden="1">
      <c r="A347" s="26">
        <v>44430.673131006944</v>
      </c>
      <c r="B347" s="20" t="s">
        <v>896</v>
      </c>
      <c r="C347" s="20">
        <v>44.0</v>
      </c>
      <c r="D347" s="27"/>
      <c r="E347" s="20" t="s">
        <v>897</v>
      </c>
    </row>
    <row r="348" hidden="1">
      <c r="A348" s="26">
        <v>44430.673569942126</v>
      </c>
      <c r="B348" s="20" t="s">
        <v>877</v>
      </c>
      <c r="C348" s="20">
        <v>40.0</v>
      </c>
      <c r="D348" s="27"/>
    </row>
    <row r="349" hidden="1">
      <c r="A349" s="26">
        <v>44430.6738903588</v>
      </c>
      <c r="B349" s="20" t="s">
        <v>898</v>
      </c>
      <c r="C349" s="20">
        <v>38.0</v>
      </c>
      <c r="D349" s="27"/>
    </row>
    <row r="350" hidden="1">
      <c r="A350" s="26">
        <v>44430.685393946755</v>
      </c>
      <c r="B350" s="20" t="s">
        <v>214</v>
      </c>
      <c r="C350" s="20">
        <v>33.0</v>
      </c>
      <c r="D350" s="27"/>
    </row>
    <row r="351" hidden="1">
      <c r="A351" s="26">
        <v>44430.687222974535</v>
      </c>
      <c r="B351" s="20" t="s">
        <v>298</v>
      </c>
      <c r="C351" s="20">
        <v>180.0</v>
      </c>
      <c r="D351" s="27"/>
    </row>
    <row r="352" hidden="1">
      <c r="A352" s="26">
        <v>44432.68276358796</v>
      </c>
      <c r="B352" s="20" t="s">
        <v>780</v>
      </c>
      <c r="C352" s="20">
        <v>19.0</v>
      </c>
      <c r="D352" s="27"/>
    </row>
    <row r="353" hidden="1">
      <c r="A353" s="26">
        <v>44432.68291694444</v>
      </c>
      <c r="B353" s="20" t="s">
        <v>899</v>
      </c>
      <c r="C353" s="20">
        <v>21.0</v>
      </c>
      <c r="D353" s="27"/>
    </row>
    <row r="354" hidden="1">
      <c r="A354" s="26">
        <v>44433.867872800925</v>
      </c>
      <c r="B354" s="20" t="s">
        <v>900</v>
      </c>
      <c r="C354" s="20">
        <v>17.0</v>
      </c>
      <c r="D354" s="27"/>
    </row>
    <row r="355" hidden="1">
      <c r="A355" s="26">
        <v>44433.87510585648</v>
      </c>
      <c r="B355" s="20" t="s">
        <v>214</v>
      </c>
      <c r="C355" s="20">
        <v>45.0</v>
      </c>
      <c r="D355" s="27"/>
    </row>
    <row r="356" hidden="1">
      <c r="A356" s="26">
        <v>44433.87653912037</v>
      </c>
      <c r="B356" s="20" t="s">
        <v>901</v>
      </c>
      <c r="C356" s="20">
        <v>12.0</v>
      </c>
      <c r="D356" s="27"/>
    </row>
    <row r="357" hidden="1">
      <c r="A357" s="26">
        <v>44433.87674453703</v>
      </c>
      <c r="B357" s="20" t="s">
        <v>787</v>
      </c>
      <c r="C357" s="20">
        <v>13.0</v>
      </c>
      <c r="D357" s="27"/>
    </row>
    <row r="358" hidden="1">
      <c r="A358" s="26">
        <v>44433.87778844907</v>
      </c>
      <c r="B358" s="20" t="s">
        <v>884</v>
      </c>
      <c r="C358" s="20">
        <v>21.0</v>
      </c>
      <c r="D358" s="27"/>
    </row>
    <row r="359" hidden="1">
      <c r="A359" s="26">
        <v>44433.87880614583</v>
      </c>
      <c r="B359" s="20" t="s">
        <v>902</v>
      </c>
      <c r="C359" s="20">
        <v>41.0</v>
      </c>
      <c r="D359" s="27"/>
    </row>
    <row r="360" hidden="1">
      <c r="A360" s="26">
        <v>44433.880183078705</v>
      </c>
      <c r="B360" s="20" t="s">
        <v>437</v>
      </c>
      <c r="C360" s="20">
        <v>23.0</v>
      </c>
      <c r="D360" s="27"/>
    </row>
    <row r="361" hidden="1">
      <c r="A361" s="26">
        <v>44433.880355138885</v>
      </c>
      <c r="B361" s="20" t="s">
        <v>800</v>
      </c>
      <c r="C361" s="20">
        <v>5.0</v>
      </c>
      <c r="D361" s="27"/>
      <c r="E361" s="20" t="s">
        <v>903</v>
      </c>
    </row>
    <row r="362" hidden="1">
      <c r="A362" s="26">
        <v>44433.88062325232</v>
      </c>
      <c r="B362" s="20" t="s">
        <v>760</v>
      </c>
      <c r="C362" s="20">
        <v>38.0</v>
      </c>
      <c r="D362" s="27"/>
    </row>
    <row r="363" hidden="1">
      <c r="A363" s="26">
        <v>44433.88077613426</v>
      </c>
      <c r="B363" s="20" t="s">
        <v>888</v>
      </c>
      <c r="C363" s="20">
        <v>32.0</v>
      </c>
      <c r="D363" s="27"/>
    </row>
    <row r="364" hidden="1">
      <c r="A364" s="26">
        <v>44433.884807650466</v>
      </c>
      <c r="B364" s="20" t="s">
        <v>842</v>
      </c>
      <c r="C364" s="20">
        <v>32.0</v>
      </c>
      <c r="D364" s="27"/>
    </row>
    <row r="365" hidden="1">
      <c r="A365" s="26">
        <v>44434.705928553245</v>
      </c>
      <c r="B365" s="20" t="s">
        <v>658</v>
      </c>
      <c r="C365" s="20">
        <v>20.0</v>
      </c>
      <c r="D365" s="27"/>
    </row>
    <row r="366" hidden="1">
      <c r="A366" s="26">
        <v>44434.70792965278</v>
      </c>
      <c r="B366" s="20" t="s">
        <v>49</v>
      </c>
      <c r="C366" s="20">
        <v>25.0</v>
      </c>
      <c r="D366" s="27"/>
    </row>
    <row r="367" hidden="1">
      <c r="A367" s="26">
        <v>44434.71786844908</v>
      </c>
      <c r="B367" s="20" t="s">
        <v>163</v>
      </c>
      <c r="C367" s="20">
        <v>7.0</v>
      </c>
      <c r="D367" s="27"/>
    </row>
    <row r="368" hidden="1">
      <c r="A368" s="26">
        <v>44434.71904216435</v>
      </c>
      <c r="B368" s="20" t="s">
        <v>904</v>
      </c>
      <c r="C368" s="20">
        <v>20.0</v>
      </c>
      <c r="D368" s="27"/>
    </row>
    <row r="369" hidden="1">
      <c r="A369" s="26">
        <v>44434.71924576389</v>
      </c>
      <c r="B369" s="20" t="s">
        <v>809</v>
      </c>
      <c r="C369" s="20">
        <v>24.0</v>
      </c>
      <c r="D369" s="27"/>
    </row>
    <row r="370" hidden="1">
      <c r="A370" s="26">
        <v>44434.719505925925</v>
      </c>
      <c r="B370" s="20" t="s">
        <v>327</v>
      </c>
      <c r="C370" s="20">
        <v>8.0</v>
      </c>
      <c r="D370" s="27"/>
    </row>
    <row r="371" hidden="1">
      <c r="A371" s="26">
        <v>44434.86410378473</v>
      </c>
      <c r="B371" s="20" t="s">
        <v>844</v>
      </c>
      <c r="C371" s="20">
        <v>31.0</v>
      </c>
      <c r="D371" s="27"/>
    </row>
    <row r="372" hidden="1">
      <c r="A372" s="26">
        <v>44434.865357187504</v>
      </c>
      <c r="B372" s="20" t="s">
        <v>167</v>
      </c>
      <c r="C372" s="20">
        <v>20.0</v>
      </c>
      <c r="D372" s="27"/>
    </row>
    <row r="373" hidden="1">
      <c r="A373" s="26">
        <v>44434.86611479167</v>
      </c>
      <c r="B373" s="20" t="s">
        <v>437</v>
      </c>
      <c r="C373" s="20">
        <v>14.0</v>
      </c>
      <c r="D373" s="27"/>
    </row>
    <row r="374" hidden="1">
      <c r="A374" s="26">
        <v>44435.697466122685</v>
      </c>
      <c r="B374" s="20" t="s">
        <v>780</v>
      </c>
      <c r="C374" s="20">
        <v>11.0</v>
      </c>
      <c r="D374" s="27"/>
    </row>
    <row r="375" hidden="1">
      <c r="A375" s="26">
        <v>44435.69815952546</v>
      </c>
      <c r="B375" s="20" t="s">
        <v>905</v>
      </c>
      <c r="C375" s="20">
        <v>9.0</v>
      </c>
      <c r="D375" s="27"/>
    </row>
    <row r="376" hidden="1">
      <c r="A376" s="26">
        <v>44435.722862361115</v>
      </c>
      <c r="B376" s="20" t="s">
        <v>191</v>
      </c>
      <c r="C376" s="20">
        <v>17.0</v>
      </c>
      <c r="D376" s="27"/>
    </row>
    <row r="377" hidden="1">
      <c r="A377" s="26">
        <v>44436.513316331024</v>
      </c>
      <c r="B377" s="20" t="s">
        <v>906</v>
      </c>
      <c r="C377" s="20">
        <v>3.0</v>
      </c>
      <c r="D377" s="27"/>
    </row>
    <row r="378" hidden="1">
      <c r="A378" s="26">
        <v>44436.780082060184</v>
      </c>
      <c r="B378" s="20" t="s">
        <v>795</v>
      </c>
      <c r="C378" s="20">
        <v>5.0</v>
      </c>
      <c r="D378" s="27"/>
    </row>
    <row r="379" hidden="1">
      <c r="A379" s="26">
        <v>44436.789546342596</v>
      </c>
      <c r="B379" s="20" t="s">
        <v>203</v>
      </c>
      <c r="C379" s="20">
        <v>2.0</v>
      </c>
      <c r="D379" s="27"/>
    </row>
    <row r="380" hidden="1">
      <c r="A380" s="26">
        <v>44436.79129493056</v>
      </c>
      <c r="B380" s="20" t="s">
        <v>907</v>
      </c>
      <c r="C380" s="20">
        <v>28.0</v>
      </c>
      <c r="D380" s="27"/>
    </row>
    <row r="381" hidden="1">
      <c r="A381" s="26">
        <v>44436.79185949074</v>
      </c>
      <c r="B381" s="20" t="s">
        <v>884</v>
      </c>
      <c r="C381" s="20">
        <v>27.0</v>
      </c>
      <c r="D381" s="27"/>
    </row>
    <row r="382" hidden="1">
      <c r="A382" s="26">
        <v>44436.80022833333</v>
      </c>
    </row>
    <row r="383" hidden="1">
      <c r="A383" s="26">
        <v>44437.66720715278</v>
      </c>
      <c r="B383" s="20" t="s">
        <v>908</v>
      </c>
      <c r="C383" s="20">
        <v>8.0</v>
      </c>
      <c r="D383" s="27"/>
    </row>
    <row r="384" hidden="1">
      <c r="A384" s="26">
        <v>44437.67885648148</v>
      </c>
      <c r="B384" s="20" t="s">
        <v>799</v>
      </c>
      <c r="C384" s="20">
        <v>36.0</v>
      </c>
      <c r="D384" s="27"/>
    </row>
    <row r="385" hidden="1">
      <c r="A385" s="26">
        <v>44437.679082476854</v>
      </c>
      <c r="B385" s="20" t="s">
        <v>909</v>
      </c>
      <c r="C385" s="20">
        <v>35.0</v>
      </c>
      <c r="D385" s="27"/>
    </row>
    <row r="386" hidden="1">
      <c r="A386" s="26">
        <v>44439.711065763884</v>
      </c>
      <c r="B386" s="20" t="s">
        <v>658</v>
      </c>
      <c r="C386" s="20">
        <v>17.0</v>
      </c>
      <c r="D386" s="27"/>
    </row>
    <row r="387" hidden="1">
      <c r="A387" s="26">
        <v>44439.71726337963</v>
      </c>
      <c r="B387" s="20" t="s">
        <v>214</v>
      </c>
      <c r="C387" s="20">
        <v>25.0</v>
      </c>
      <c r="D387" s="27"/>
    </row>
    <row r="388" hidden="1">
      <c r="A388" s="26">
        <v>44439.71964778935</v>
      </c>
      <c r="B388" s="20" t="s">
        <v>780</v>
      </c>
      <c r="C388" s="20">
        <v>17.0</v>
      </c>
      <c r="D388" s="27"/>
    </row>
    <row r="389" hidden="1">
      <c r="A389" s="26">
        <v>44439.72316127315</v>
      </c>
      <c r="B389" s="20" t="s">
        <v>191</v>
      </c>
      <c r="C389" s="20">
        <v>16.0</v>
      </c>
      <c r="D389" s="27"/>
    </row>
    <row r="390" hidden="1">
      <c r="A390" s="26">
        <v>44441.70741908565</v>
      </c>
      <c r="B390" s="20" t="s">
        <v>658</v>
      </c>
      <c r="C390" s="20">
        <v>12.0</v>
      </c>
      <c r="D390" s="27"/>
    </row>
    <row r="391" hidden="1">
      <c r="A391" s="26">
        <v>44441.71479405093</v>
      </c>
      <c r="B391" s="20" t="s">
        <v>809</v>
      </c>
      <c r="C391" s="20">
        <v>26.3</v>
      </c>
      <c r="D391" s="27"/>
    </row>
    <row r="392" hidden="1">
      <c r="A392" s="26">
        <v>44441.71502131944</v>
      </c>
      <c r="B392" s="20" t="s">
        <v>327</v>
      </c>
      <c r="C392" s="20">
        <v>5.2</v>
      </c>
      <c r="D392" s="27"/>
    </row>
    <row r="393" hidden="1">
      <c r="A393" s="26">
        <v>44441.71537034722</v>
      </c>
      <c r="B393" s="20" t="s">
        <v>904</v>
      </c>
      <c r="C393" s="20">
        <v>33.0</v>
      </c>
      <c r="D393" s="27"/>
    </row>
    <row r="394" hidden="1">
      <c r="A394" s="26">
        <v>44441.870209120374</v>
      </c>
      <c r="B394" s="20" t="s">
        <v>910</v>
      </c>
      <c r="C394" s="20">
        <v>17.0</v>
      </c>
      <c r="D394" s="27"/>
    </row>
    <row r="395" hidden="1">
      <c r="A395" s="26">
        <v>44441.871284293986</v>
      </c>
      <c r="B395" s="20" t="s">
        <v>896</v>
      </c>
      <c r="C395" s="20">
        <v>39.0</v>
      </c>
      <c r="D395" s="27"/>
      <c r="E395" s="20" t="s">
        <v>911</v>
      </c>
    </row>
    <row r="396" hidden="1">
      <c r="A396" s="26">
        <v>44441.871398738425</v>
      </c>
      <c r="B396" s="20" t="s">
        <v>799</v>
      </c>
      <c r="C396" s="20">
        <v>3.0</v>
      </c>
      <c r="D396" s="27"/>
    </row>
    <row r="397" hidden="1">
      <c r="A397" s="26">
        <v>44441.87140819445</v>
      </c>
      <c r="B397" s="20" t="s">
        <v>618</v>
      </c>
      <c r="C397" s="20">
        <v>40.0</v>
      </c>
      <c r="D397" s="27"/>
    </row>
    <row r="398" hidden="1">
      <c r="A398" s="26">
        <v>44441.87496094908</v>
      </c>
      <c r="B398" s="20" t="s">
        <v>869</v>
      </c>
      <c r="C398" s="20">
        <v>24.0</v>
      </c>
      <c r="D398" s="27"/>
    </row>
    <row r="399" hidden="1">
      <c r="A399" s="26">
        <v>44441.88428305555</v>
      </c>
      <c r="B399" s="20" t="s">
        <v>167</v>
      </c>
      <c r="C399" s="20">
        <v>22.0</v>
      </c>
      <c r="D399" s="27"/>
    </row>
    <row r="400" hidden="1">
      <c r="A400" s="26">
        <v>44442.718496817135</v>
      </c>
      <c r="B400" s="20" t="s">
        <v>576</v>
      </c>
      <c r="C400" s="20">
        <v>21.0</v>
      </c>
      <c r="D400" s="27"/>
    </row>
    <row r="401" hidden="1">
      <c r="A401" s="26">
        <v>44443.507534687495</v>
      </c>
      <c r="B401" s="20" t="s">
        <v>912</v>
      </c>
      <c r="C401" s="20">
        <v>8.0</v>
      </c>
      <c r="D401" s="27"/>
    </row>
    <row r="402" hidden="1">
      <c r="A402" s="26">
        <v>44443.74803145834</v>
      </c>
      <c r="B402" s="20" t="s">
        <v>861</v>
      </c>
      <c r="C402" s="20">
        <v>8.0</v>
      </c>
      <c r="D402" s="27"/>
    </row>
    <row r="403" hidden="1">
      <c r="A403" s="26">
        <v>44443.76261524306</v>
      </c>
      <c r="B403" s="20" t="s">
        <v>203</v>
      </c>
      <c r="C403" s="20">
        <v>20.0</v>
      </c>
      <c r="D403" s="27"/>
    </row>
    <row r="404" hidden="1">
      <c r="A404" s="26">
        <v>44443.77148472222</v>
      </c>
      <c r="B404" s="20" t="s">
        <v>884</v>
      </c>
      <c r="C404" s="20">
        <v>22.0</v>
      </c>
      <c r="D404" s="27"/>
    </row>
    <row r="405" hidden="1">
      <c r="A405" s="26">
        <v>44443.808411666665</v>
      </c>
      <c r="B405" s="20" t="s">
        <v>300</v>
      </c>
      <c r="C405" s="20">
        <v>34.0</v>
      </c>
      <c r="D405" s="27"/>
    </row>
    <row r="406" hidden="1">
      <c r="A406" s="26">
        <v>44444.63718023148</v>
      </c>
      <c r="B406" s="20" t="s">
        <v>913</v>
      </c>
      <c r="C406" s="20">
        <v>20.0</v>
      </c>
      <c r="D406" s="27"/>
    </row>
    <row r="407" hidden="1">
      <c r="A407" s="26">
        <v>44444.65030340278</v>
      </c>
      <c r="B407" s="20" t="s">
        <v>914</v>
      </c>
      <c r="C407" s="20">
        <v>30.0</v>
      </c>
      <c r="D407" s="27"/>
    </row>
    <row r="408" hidden="1">
      <c r="A408" s="26">
        <v>44444.68008417824</v>
      </c>
      <c r="B408" s="20" t="s">
        <v>888</v>
      </c>
      <c r="C408" s="20">
        <v>37.0</v>
      </c>
      <c r="D408" s="27"/>
    </row>
    <row r="409" hidden="1">
      <c r="A409" s="26">
        <v>44444.68067636574</v>
      </c>
      <c r="B409" s="20" t="s">
        <v>777</v>
      </c>
      <c r="C409" s="20">
        <v>40.0</v>
      </c>
      <c r="D409" s="27"/>
    </row>
    <row r="410" hidden="1">
      <c r="A410" s="26">
        <v>44444.68318172454</v>
      </c>
      <c r="B410" s="20" t="s">
        <v>214</v>
      </c>
      <c r="C410" s="20">
        <v>40.0</v>
      </c>
      <c r="D410" s="27"/>
    </row>
    <row r="411" hidden="1">
      <c r="A411" s="26">
        <v>44444.70252344907</v>
      </c>
      <c r="B411" s="20" t="s">
        <v>915</v>
      </c>
      <c r="C411" s="20">
        <v>55.0</v>
      </c>
      <c r="D411" s="27"/>
    </row>
    <row r="412" hidden="1">
      <c r="A412" s="26">
        <v>44444.71044435185</v>
      </c>
      <c r="B412" s="20" t="s">
        <v>193</v>
      </c>
      <c r="C412" s="20">
        <v>21.0</v>
      </c>
      <c r="D412" s="27"/>
    </row>
    <row r="413" hidden="1">
      <c r="A413" s="26">
        <v>44446.686674502314</v>
      </c>
      <c r="B413" s="20" t="s">
        <v>761</v>
      </c>
      <c r="C413" s="20">
        <v>26.0</v>
      </c>
      <c r="D413" s="27"/>
    </row>
    <row r="414" hidden="1">
      <c r="A414" s="26">
        <v>44447.73648947917</v>
      </c>
      <c r="B414" s="20" t="s">
        <v>916</v>
      </c>
      <c r="C414" s="20">
        <v>480.0</v>
      </c>
      <c r="D414" s="27"/>
    </row>
    <row r="415" hidden="1">
      <c r="A415" s="26">
        <v>44447.772714652776</v>
      </c>
      <c r="B415" s="20" t="s">
        <v>177</v>
      </c>
      <c r="C415" s="20">
        <v>5.0</v>
      </c>
      <c r="D415" s="27"/>
    </row>
    <row r="416" hidden="1">
      <c r="A416" s="26">
        <v>44447.85977898148</v>
      </c>
      <c r="B416" s="20" t="s">
        <v>821</v>
      </c>
      <c r="C416" s="20">
        <v>11.0</v>
      </c>
      <c r="D416" s="27"/>
    </row>
    <row r="417" hidden="1">
      <c r="A417" s="26">
        <v>44447.86000547453</v>
      </c>
      <c r="B417" s="20" t="s">
        <v>203</v>
      </c>
      <c r="C417" s="20">
        <v>2.0</v>
      </c>
      <c r="D417" s="27"/>
    </row>
    <row r="418" hidden="1">
      <c r="A418" s="26">
        <v>44447.860223993055</v>
      </c>
      <c r="B418" s="20" t="s">
        <v>902</v>
      </c>
      <c r="C418" s="20">
        <v>41.0</v>
      </c>
      <c r="D418" s="27"/>
    </row>
    <row r="419" hidden="1">
      <c r="A419" s="26">
        <v>44447.86065641204</v>
      </c>
      <c r="B419" s="20" t="s">
        <v>787</v>
      </c>
      <c r="C419" s="20">
        <v>11.0</v>
      </c>
      <c r="D419" s="27"/>
    </row>
    <row r="420" hidden="1">
      <c r="A420" s="26">
        <v>44447.86250310185</v>
      </c>
      <c r="B420" s="20" t="s">
        <v>599</v>
      </c>
      <c r="C420" s="20">
        <v>26.0</v>
      </c>
      <c r="D420" s="27"/>
    </row>
    <row r="421" hidden="1">
      <c r="A421" s="26">
        <v>44447.86289513889</v>
      </c>
      <c r="B421" s="20" t="s">
        <v>800</v>
      </c>
      <c r="C421" s="20">
        <v>15.0</v>
      </c>
      <c r="D421" s="27"/>
      <c r="E421" s="20" t="s">
        <v>917</v>
      </c>
    </row>
    <row r="422" hidden="1">
      <c r="A422" s="26">
        <v>44447.86631491898</v>
      </c>
      <c r="B422" s="20" t="s">
        <v>842</v>
      </c>
      <c r="C422" s="20">
        <v>10.0</v>
      </c>
      <c r="D422" s="27"/>
    </row>
    <row r="423" hidden="1">
      <c r="A423" s="26">
        <v>44448.706011250004</v>
      </c>
      <c r="B423" s="20" t="s">
        <v>870</v>
      </c>
      <c r="C423" s="20">
        <v>18.0</v>
      </c>
      <c r="D423" s="27"/>
    </row>
    <row r="424" hidden="1">
      <c r="A424" s="26">
        <v>44448.71609806713</v>
      </c>
      <c r="B424" s="20" t="s">
        <v>326</v>
      </c>
      <c r="C424" s="20">
        <v>7.0</v>
      </c>
      <c r="D424" s="27"/>
    </row>
    <row r="425" hidden="1">
      <c r="A425" s="26">
        <v>44448.71900449074</v>
      </c>
      <c r="B425" s="20" t="s">
        <v>904</v>
      </c>
      <c r="C425" s="20">
        <v>25.0</v>
      </c>
      <c r="D425" s="27"/>
    </row>
    <row r="426" hidden="1">
      <c r="A426" s="26">
        <v>44448.86625111111</v>
      </c>
      <c r="B426" s="20" t="s">
        <v>813</v>
      </c>
      <c r="C426" s="20">
        <v>6.0</v>
      </c>
      <c r="D426" s="27"/>
    </row>
    <row r="427" hidden="1">
      <c r="A427" s="26">
        <v>44448.868787280095</v>
      </c>
      <c r="B427" s="20" t="s">
        <v>820</v>
      </c>
      <c r="C427" s="20">
        <v>1.0</v>
      </c>
      <c r="D427" s="27"/>
    </row>
    <row r="428" hidden="1">
      <c r="A428" s="26">
        <v>44448.87483996528</v>
      </c>
      <c r="B428" s="20" t="s">
        <v>167</v>
      </c>
      <c r="C428" s="20">
        <v>27.0</v>
      </c>
      <c r="D428" s="27"/>
    </row>
    <row r="429" hidden="1">
      <c r="A429" s="26">
        <v>44448.87982</v>
      </c>
      <c r="B429" s="20" t="s">
        <v>896</v>
      </c>
      <c r="C429" s="20">
        <v>29.0</v>
      </c>
      <c r="D429" s="27"/>
    </row>
    <row r="430" hidden="1">
      <c r="A430" s="26">
        <v>44448.881044560185</v>
      </c>
      <c r="B430" s="20" t="s">
        <v>437</v>
      </c>
      <c r="C430" s="20">
        <v>14.0</v>
      </c>
      <c r="D430" s="27"/>
    </row>
    <row r="431" hidden="1">
      <c r="A431" s="26">
        <v>44448.88383013889</v>
      </c>
      <c r="B431" s="20" t="s">
        <v>203</v>
      </c>
      <c r="C431" s="20">
        <v>20.0</v>
      </c>
      <c r="D431" s="27"/>
    </row>
    <row r="432" hidden="1">
      <c r="A432" s="26">
        <v>44449.57997550926</v>
      </c>
      <c r="B432" s="20" t="s">
        <v>918</v>
      </c>
      <c r="C432" s="20">
        <v>29.0</v>
      </c>
      <c r="D432" s="27"/>
    </row>
    <row r="433" hidden="1">
      <c r="A433" s="26">
        <v>44449.692260868054</v>
      </c>
      <c r="B433" s="20" t="s">
        <v>780</v>
      </c>
      <c r="C433" s="20">
        <v>31.0</v>
      </c>
      <c r="D433" s="27"/>
    </row>
    <row r="434" hidden="1">
      <c r="A434" s="26">
        <v>44450.49906296296</v>
      </c>
      <c r="B434" s="20" t="s">
        <v>919</v>
      </c>
      <c r="C434" s="20">
        <v>11.0</v>
      </c>
      <c r="D434" s="27"/>
    </row>
    <row r="435" hidden="1">
      <c r="A435" s="26">
        <v>44450.53841983796</v>
      </c>
      <c r="B435" s="20" t="s">
        <v>177</v>
      </c>
      <c r="C435" s="20">
        <v>15.0</v>
      </c>
      <c r="D435" s="27"/>
    </row>
    <row r="436" hidden="1">
      <c r="A436" s="26">
        <v>44450.65885706019</v>
      </c>
      <c r="B436" s="20" t="s">
        <v>913</v>
      </c>
      <c r="C436" s="20">
        <v>7.0</v>
      </c>
      <c r="D436" s="27"/>
    </row>
    <row r="437" hidden="1">
      <c r="A437" s="26">
        <v>44450.75145203704</v>
      </c>
      <c r="B437" s="20" t="s">
        <v>861</v>
      </c>
      <c r="C437" s="20">
        <v>7.0</v>
      </c>
      <c r="D437" s="27"/>
    </row>
    <row r="438" hidden="1">
      <c r="A438" s="26">
        <v>44450.754893715275</v>
      </c>
      <c r="B438" s="20" t="s">
        <v>779</v>
      </c>
      <c r="C438" s="20">
        <v>19.0</v>
      </c>
      <c r="D438" s="27"/>
    </row>
    <row r="439" hidden="1">
      <c r="A439" s="26">
        <v>44450.7598478125</v>
      </c>
      <c r="B439" s="20" t="s">
        <v>178</v>
      </c>
      <c r="C439" s="20">
        <v>8.0</v>
      </c>
      <c r="D439" s="27"/>
    </row>
    <row r="440" hidden="1">
      <c r="A440" s="26">
        <v>44450.76161696759</v>
      </c>
      <c r="B440" s="20" t="s">
        <v>920</v>
      </c>
      <c r="C440" s="20">
        <v>11.0</v>
      </c>
      <c r="D440" s="27"/>
    </row>
    <row r="441" hidden="1">
      <c r="A441" s="26">
        <v>44450.76885449074</v>
      </c>
      <c r="B441" s="20" t="s">
        <v>869</v>
      </c>
      <c r="C441" s="20">
        <v>40.0</v>
      </c>
      <c r="D441" s="27"/>
    </row>
    <row r="442" hidden="1">
      <c r="A442" s="26">
        <v>44450.78873086805</v>
      </c>
      <c r="B442" s="20" t="s">
        <v>300</v>
      </c>
      <c r="C442" s="20">
        <v>28.0</v>
      </c>
      <c r="D442" s="27"/>
    </row>
    <row r="443" hidden="1">
      <c r="A443" s="26">
        <v>44450.79030096065</v>
      </c>
      <c r="B443" s="20" t="s">
        <v>203</v>
      </c>
      <c r="C443" s="20">
        <v>6.0</v>
      </c>
      <c r="D443" s="27"/>
    </row>
    <row r="444" hidden="1">
      <c r="A444" s="26">
        <v>44450.79827850695</v>
      </c>
      <c r="B444" s="20" t="s">
        <v>884</v>
      </c>
      <c r="C444" s="20">
        <v>28.0</v>
      </c>
      <c r="D444" s="27"/>
    </row>
    <row r="445" hidden="1">
      <c r="A445" s="26">
        <v>44450.79864784722</v>
      </c>
      <c r="B445" s="20" t="s">
        <v>796</v>
      </c>
      <c r="C445" s="20">
        <v>16.0</v>
      </c>
      <c r="D445" s="27"/>
    </row>
    <row r="446" hidden="1">
      <c r="A446" s="26">
        <v>44451.669343842594</v>
      </c>
      <c r="B446" s="20" t="s">
        <v>776</v>
      </c>
      <c r="C446" s="20">
        <v>28.0</v>
      </c>
      <c r="D446" s="27"/>
    </row>
    <row r="447" hidden="1">
      <c r="A447" s="26">
        <v>44451.67785612268</v>
      </c>
      <c r="B447" s="20" t="s">
        <v>909</v>
      </c>
      <c r="C447" s="20">
        <v>34.0</v>
      </c>
      <c r="D447" s="27"/>
    </row>
    <row r="448" hidden="1">
      <c r="A448" s="26">
        <v>44452.187700069444</v>
      </c>
      <c r="B448" s="20" t="s">
        <v>191</v>
      </c>
      <c r="C448" s="20">
        <v>86.0</v>
      </c>
      <c r="D448" s="27"/>
      <c r="E448" s="20" t="s">
        <v>921</v>
      </c>
    </row>
    <row r="449" hidden="1">
      <c r="A449" s="26">
        <v>44453.71067375</v>
      </c>
      <c r="B449" s="20" t="s">
        <v>922</v>
      </c>
      <c r="C449" s="20">
        <v>6.0</v>
      </c>
      <c r="D449" s="27"/>
      <c r="E449" s="20" t="s">
        <v>923</v>
      </c>
    </row>
    <row r="450" hidden="1">
      <c r="A450" s="26">
        <v>44453.719528842594</v>
      </c>
      <c r="B450" s="20" t="s">
        <v>163</v>
      </c>
      <c r="C450" s="20">
        <v>21.0</v>
      </c>
      <c r="D450" s="27"/>
    </row>
    <row r="451" hidden="1">
      <c r="A451" s="26">
        <v>44453.72052821759</v>
      </c>
      <c r="B451" s="20" t="s">
        <v>924</v>
      </c>
      <c r="C451" s="20">
        <v>38.0</v>
      </c>
      <c r="D451" s="27"/>
      <c r="E451" s="20" t="s">
        <v>890</v>
      </c>
    </row>
    <row r="452" hidden="1">
      <c r="A452" s="26">
        <v>44453.7226621875</v>
      </c>
      <c r="B452" s="20" t="s">
        <v>193</v>
      </c>
      <c r="C452" s="20">
        <v>16.0</v>
      </c>
      <c r="D452" s="27"/>
    </row>
    <row r="453" hidden="1">
      <c r="A453" s="26">
        <v>44453.72290721065</v>
      </c>
      <c r="B453" s="20" t="s">
        <v>193</v>
      </c>
      <c r="C453" s="20">
        <v>15.0</v>
      </c>
      <c r="D453" s="27"/>
      <c r="E453" s="20" t="s">
        <v>890</v>
      </c>
    </row>
    <row r="454" hidden="1">
      <c r="A454" s="26">
        <v>44454.700995300926</v>
      </c>
      <c r="B454" s="20" t="s">
        <v>203</v>
      </c>
      <c r="C454" s="20">
        <v>14.0</v>
      </c>
      <c r="D454" s="27"/>
      <c r="E454" s="20" t="s">
        <v>890</v>
      </c>
    </row>
    <row r="455" hidden="1">
      <c r="A455" s="26">
        <v>44454.70111299769</v>
      </c>
      <c r="B455" s="20" t="s">
        <v>203</v>
      </c>
      <c r="C455" s="20">
        <v>7.0</v>
      </c>
      <c r="D455" s="27"/>
    </row>
    <row r="456" hidden="1">
      <c r="A456" s="26">
        <v>44454.71521525463</v>
      </c>
      <c r="B456" s="20" t="s">
        <v>798</v>
      </c>
      <c r="C456" s="20">
        <v>27.0</v>
      </c>
      <c r="D456" s="27"/>
    </row>
    <row r="457" hidden="1">
      <c r="A457" s="26">
        <v>44454.73137700232</v>
      </c>
      <c r="B457" s="20" t="s">
        <v>235</v>
      </c>
      <c r="C457" s="20">
        <v>34.0</v>
      </c>
      <c r="D457" s="27"/>
    </row>
    <row r="458" hidden="1">
      <c r="A458" s="26">
        <v>44454.73152100694</v>
      </c>
      <c r="B458" s="20" t="s">
        <v>177</v>
      </c>
      <c r="C458" s="20">
        <v>39.0</v>
      </c>
      <c r="D458" s="27"/>
    </row>
    <row r="459" hidden="1">
      <c r="A459" s="26">
        <v>44454.859968564815</v>
      </c>
      <c r="B459" s="20" t="s">
        <v>821</v>
      </c>
      <c r="C459" s="20">
        <v>18.0</v>
      </c>
      <c r="D459" s="27"/>
    </row>
    <row r="460" hidden="1">
      <c r="A460" s="26">
        <v>44454.86627355324</v>
      </c>
      <c r="B460" s="20" t="s">
        <v>925</v>
      </c>
      <c r="C460" s="20">
        <v>33.0</v>
      </c>
      <c r="D460" s="27"/>
    </row>
    <row r="461" hidden="1">
      <c r="A461" s="26">
        <v>44454.86829297454</v>
      </c>
      <c r="B461" s="20" t="s">
        <v>414</v>
      </c>
      <c r="C461" s="20">
        <v>37.0</v>
      </c>
      <c r="D461" s="27"/>
    </row>
    <row r="462" hidden="1">
      <c r="A462" s="26">
        <v>44454.86880435185</v>
      </c>
      <c r="B462" s="20" t="s">
        <v>869</v>
      </c>
      <c r="C462" s="20">
        <v>26.0</v>
      </c>
      <c r="D462" s="27"/>
    </row>
    <row r="463" hidden="1">
      <c r="A463" s="26">
        <v>44454.86947168982</v>
      </c>
      <c r="B463" s="20" t="s">
        <v>842</v>
      </c>
      <c r="C463" s="20">
        <v>31.0</v>
      </c>
      <c r="D463" s="27"/>
    </row>
    <row r="464" hidden="1">
      <c r="A464" s="26">
        <v>44454.87257393519</v>
      </c>
      <c r="B464" s="20" t="s">
        <v>214</v>
      </c>
      <c r="C464" s="20">
        <v>43.0</v>
      </c>
      <c r="D464" s="27"/>
    </row>
    <row r="465" hidden="1">
      <c r="A465" s="26">
        <v>44454.87545797454</v>
      </c>
      <c r="B465" s="20" t="s">
        <v>800</v>
      </c>
      <c r="C465" s="20">
        <v>26.0</v>
      </c>
      <c r="D465" s="27"/>
    </row>
    <row r="466" hidden="1">
      <c r="A466" s="26">
        <v>44454.87570925926</v>
      </c>
      <c r="B466" s="20" t="s">
        <v>926</v>
      </c>
      <c r="C466" s="20">
        <v>40.0</v>
      </c>
      <c r="D466" s="27"/>
    </row>
    <row r="467" hidden="1">
      <c r="A467" s="26">
        <v>44454.87985946759</v>
      </c>
      <c r="B467" s="20" t="s">
        <v>824</v>
      </c>
      <c r="C467" s="20">
        <v>40.0</v>
      </c>
      <c r="D467" s="27"/>
    </row>
    <row r="468" hidden="1">
      <c r="A468" s="26">
        <v>44454.88289282407</v>
      </c>
      <c r="B468" s="20" t="s">
        <v>437</v>
      </c>
      <c r="C468" s="20">
        <v>25.0</v>
      </c>
      <c r="D468" s="27"/>
    </row>
    <row r="469" hidden="1">
      <c r="A469" s="26">
        <v>44455.708276226855</v>
      </c>
      <c r="B469" s="20" t="s">
        <v>203</v>
      </c>
      <c r="C469" s="20">
        <v>20.0</v>
      </c>
      <c r="D469" s="27"/>
      <c r="E469" s="20" t="s">
        <v>890</v>
      </c>
    </row>
    <row r="470" hidden="1">
      <c r="A470" s="26">
        <v>44455.70899344907</v>
      </c>
      <c r="B470" s="20" t="s">
        <v>203</v>
      </c>
      <c r="C470" s="20">
        <v>10.0</v>
      </c>
      <c r="D470" s="27"/>
    </row>
    <row r="471" hidden="1">
      <c r="A471" s="26">
        <v>44455.71619630787</v>
      </c>
      <c r="B471" s="20" t="s">
        <v>242</v>
      </c>
      <c r="C471" s="20">
        <v>46.0</v>
      </c>
      <c r="D471" s="27"/>
    </row>
    <row r="472" hidden="1">
      <c r="A472" s="26">
        <v>44455.71637115741</v>
      </c>
      <c r="B472" s="20" t="s">
        <v>163</v>
      </c>
      <c r="C472" s="20">
        <v>11.0</v>
      </c>
      <c r="D472" s="27"/>
    </row>
    <row r="473" hidden="1">
      <c r="A473" s="26">
        <v>44455.717494780096</v>
      </c>
      <c r="B473" s="20" t="s">
        <v>927</v>
      </c>
      <c r="C473" s="20">
        <v>24.0</v>
      </c>
      <c r="D473" s="27"/>
    </row>
    <row r="474" hidden="1">
      <c r="A474" s="26">
        <v>44455.717836701384</v>
      </c>
      <c r="B474" s="20" t="s">
        <v>242</v>
      </c>
      <c r="C474" s="20">
        <v>8.0</v>
      </c>
      <c r="D474" s="27"/>
    </row>
    <row r="475" hidden="1">
      <c r="A475" s="26">
        <v>44455.87187888889</v>
      </c>
      <c r="B475" s="20" t="s">
        <v>167</v>
      </c>
      <c r="C475" s="20">
        <v>24.0</v>
      </c>
      <c r="D475" s="27"/>
    </row>
    <row r="476" hidden="1">
      <c r="A476" s="26">
        <v>44455.87442773148</v>
      </c>
      <c r="B476" s="20" t="s">
        <v>437</v>
      </c>
      <c r="C476" s="20">
        <v>14.0</v>
      </c>
      <c r="D476" s="27"/>
    </row>
    <row r="477" hidden="1">
      <c r="A477" s="26">
        <v>44455.87536564815</v>
      </c>
    </row>
    <row r="478" hidden="1">
      <c r="A478" s="26">
        <v>44456.57533224537</v>
      </c>
      <c r="B478" s="20" t="s">
        <v>928</v>
      </c>
      <c r="C478" s="20">
        <v>19.0</v>
      </c>
      <c r="D478" s="27"/>
    </row>
    <row r="479" hidden="1">
      <c r="A479" s="26">
        <v>44456.6889669213</v>
      </c>
      <c r="B479" s="20" t="s">
        <v>260</v>
      </c>
      <c r="C479" s="20">
        <v>22.0</v>
      </c>
      <c r="D479" s="27"/>
    </row>
    <row r="480" hidden="1">
      <c r="A480" s="26">
        <v>44456.69326850695</v>
      </c>
      <c r="B480" s="20" t="s">
        <v>780</v>
      </c>
      <c r="C480" s="20">
        <v>28.1</v>
      </c>
      <c r="D480" s="27"/>
    </row>
    <row r="481" hidden="1">
      <c r="A481" s="26">
        <v>44456.70133134259</v>
      </c>
      <c r="B481" s="20" t="s">
        <v>326</v>
      </c>
      <c r="C481" s="20">
        <v>6.0</v>
      </c>
      <c r="D481" s="27"/>
    </row>
    <row r="482" hidden="1">
      <c r="A482" s="26">
        <v>44456.703718715275</v>
      </c>
      <c r="B482" s="20" t="s">
        <v>904</v>
      </c>
      <c r="C482" s="20">
        <v>34.0</v>
      </c>
      <c r="D482" s="27"/>
    </row>
    <row r="483" hidden="1">
      <c r="A483" s="26">
        <v>44456.72059671296</v>
      </c>
      <c r="B483" s="20" t="s">
        <v>929</v>
      </c>
      <c r="C483" s="20">
        <v>7.0</v>
      </c>
      <c r="D483" s="27"/>
    </row>
    <row r="484" hidden="1">
      <c r="A484" s="26">
        <v>44457.74696942129</v>
      </c>
      <c r="B484" s="20" t="s">
        <v>344</v>
      </c>
      <c r="C484" s="20">
        <v>17.0</v>
      </c>
      <c r="D484" s="27"/>
    </row>
    <row r="485" hidden="1">
      <c r="A485" s="26">
        <v>44457.7470613426</v>
      </c>
      <c r="B485" s="20" t="s">
        <v>203</v>
      </c>
      <c r="C485" s="20">
        <v>0.8</v>
      </c>
      <c r="D485" s="27"/>
    </row>
    <row r="486" hidden="1">
      <c r="A486" s="26">
        <v>44457.74804681713</v>
      </c>
      <c r="B486" s="20" t="s">
        <v>178</v>
      </c>
      <c r="C486" s="20">
        <v>8.0</v>
      </c>
      <c r="D486" s="27"/>
    </row>
    <row r="487" hidden="1">
      <c r="A487" s="26">
        <v>44457.748059351856</v>
      </c>
      <c r="B487" s="20" t="s">
        <v>869</v>
      </c>
      <c r="C487" s="20">
        <v>13.0</v>
      </c>
      <c r="D487" s="27"/>
    </row>
    <row r="488" hidden="1">
      <c r="A488" s="26">
        <v>44457.74911748843</v>
      </c>
      <c r="B488" s="20" t="s">
        <v>930</v>
      </c>
      <c r="C488" s="20">
        <v>10.0</v>
      </c>
      <c r="D488" s="27"/>
    </row>
    <row r="489" hidden="1">
      <c r="A489" s="26">
        <v>44457.75525861111</v>
      </c>
      <c r="B489" s="20" t="s">
        <v>796</v>
      </c>
      <c r="C489" s="20">
        <v>11.0</v>
      </c>
      <c r="D489" s="27"/>
    </row>
    <row r="490" hidden="1">
      <c r="A490" s="26">
        <v>44458.64619945602</v>
      </c>
      <c r="B490" s="20" t="s">
        <v>67</v>
      </c>
      <c r="C490" s="20">
        <v>130.0</v>
      </c>
      <c r="D490" s="27"/>
    </row>
    <row r="491" hidden="1">
      <c r="A491" s="26">
        <v>44458.667585682866</v>
      </c>
      <c r="B491" s="20" t="s">
        <v>776</v>
      </c>
      <c r="C491" s="20">
        <v>17.0</v>
      </c>
      <c r="D491" s="27"/>
    </row>
    <row r="492" hidden="1">
      <c r="A492" s="26">
        <v>44458.67134905093</v>
      </c>
      <c r="B492" s="20" t="s">
        <v>777</v>
      </c>
      <c r="C492" s="20">
        <v>33.0</v>
      </c>
      <c r="D492" s="27"/>
    </row>
    <row r="493" hidden="1">
      <c r="A493" s="26">
        <v>44460.719172349534</v>
      </c>
      <c r="B493" s="20" t="s">
        <v>658</v>
      </c>
      <c r="C493" s="20">
        <v>21.0</v>
      </c>
      <c r="D493" s="27"/>
    </row>
    <row r="494" hidden="1">
      <c r="A494" s="26">
        <v>44460.71991829861</v>
      </c>
      <c r="B494" s="20" t="s">
        <v>163</v>
      </c>
      <c r="C494" s="20">
        <v>15.0</v>
      </c>
      <c r="D494" s="27"/>
    </row>
    <row r="495" hidden="1">
      <c r="A495" s="26">
        <v>44460.7206299074</v>
      </c>
      <c r="B495" s="20" t="s">
        <v>931</v>
      </c>
      <c r="C495" s="20">
        <v>27.0</v>
      </c>
      <c r="D495" s="27"/>
    </row>
    <row r="496" hidden="1">
      <c r="A496" s="26">
        <v>44460.72649202547</v>
      </c>
      <c r="B496" s="20" t="s">
        <v>203</v>
      </c>
      <c r="C496" s="20">
        <v>19.0</v>
      </c>
      <c r="D496" s="27"/>
      <c r="E496" s="20" t="s">
        <v>890</v>
      </c>
    </row>
    <row r="497" hidden="1">
      <c r="A497" s="26">
        <v>44460.726726967594</v>
      </c>
      <c r="B497" s="20" t="s">
        <v>203</v>
      </c>
      <c r="C497" s="20">
        <v>6.0</v>
      </c>
      <c r="D497" s="27"/>
    </row>
    <row r="498" hidden="1">
      <c r="A498" s="26">
        <v>44460.731707175924</v>
      </c>
      <c r="B498" s="20" t="s">
        <v>191</v>
      </c>
      <c r="C498" s="20">
        <v>26.0</v>
      </c>
      <c r="D498" s="27"/>
    </row>
    <row r="499" hidden="1">
      <c r="A499" s="26">
        <v>44460.7325946875</v>
      </c>
      <c r="B499" s="20" t="s">
        <v>191</v>
      </c>
      <c r="C499" s="20">
        <v>12.0</v>
      </c>
      <c r="D499" s="27"/>
      <c r="E499" s="20" t="s">
        <v>890</v>
      </c>
    </row>
    <row r="500" hidden="1">
      <c r="A500" s="26">
        <v>44461.66577324074</v>
      </c>
      <c r="B500" s="20" t="s">
        <v>203</v>
      </c>
      <c r="C500" s="20">
        <v>17.0</v>
      </c>
      <c r="D500" s="27"/>
      <c r="E500" s="20" t="s">
        <v>890</v>
      </c>
    </row>
    <row r="501" hidden="1">
      <c r="A501" s="26">
        <v>44461.66658171296</v>
      </c>
      <c r="B501" s="20" t="s">
        <v>203</v>
      </c>
      <c r="C501" s="20">
        <v>13.0</v>
      </c>
      <c r="D501" s="27"/>
    </row>
    <row r="502" hidden="1">
      <c r="A502" s="26">
        <v>44461.73296424768</v>
      </c>
      <c r="B502" s="20" t="s">
        <v>798</v>
      </c>
      <c r="C502" s="20">
        <v>21.5</v>
      </c>
      <c r="D502" s="27"/>
    </row>
    <row r="503" hidden="1">
      <c r="A503" s="26">
        <v>44461.78708653935</v>
      </c>
      <c r="B503" s="20" t="s">
        <v>177</v>
      </c>
      <c r="C503" s="20">
        <v>10.0</v>
      </c>
      <c r="D503" s="27"/>
    </row>
    <row r="504" hidden="1">
      <c r="A504" s="26">
        <v>44461.78815738426</v>
      </c>
      <c r="B504" s="20" t="s">
        <v>242</v>
      </c>
      <c r="C504" s="20">
        <v>3.0</v>
      </c>
      <c r="D504" s="27"/>
    </row>
    <row r="505" hidden="1">
      <c r="A505" s="26">
        <v>44461.85823363426</v>
      </c>
      <c r="B505" s="20" t="s">
        <v>821</v>
      </c>
      <c r="C505" s="20">
        <v>11.0</v>
      </c>
      <c r="D505" s="27"/>
    </row>
    <row r="506" hidden="1">
      <c r="A506" s="26">
        <v>44461.865977546295</v>
      </c>
      <c r="B506" s="20" t="s">
        <v>760</v>
      </c>
      <c r="C506" s="20">
        <v>40.0</v>
      </c>
      <c r="D506" s="27"/>
    </row>
    <row r="507" hidden="1">
      <c r="A507" s="26">
        <v>44461.87141763889</v>
      </c>
      <c r="B507" s="20" t="s">
        <v>800</v>
      </c>
      <c r="C507" s="20">
        <v>40.0</v>
      </c>
      <c r="D507" s="27"/>
    </row>
    <row r="508" hidden="1">
      <c r="A508" s="26">
        <v>44461.87515578704</v>
      </c>
      <c r="B508" s="20" t="s">
        <v>842</v>
      </c>
      <c r="C508" s="20">
        <v>28.0</v>
      </c>
      <c r="D508" s="27"/>
    </row>
    <row r="509" hidden="1">
      <c r="A509" s="26">
        <v>44461.87635121528</v>
      </c>
      <c r="B509" s="20" t="s">
        <v>437</v>
      </c>
      <c r="C509" s="20">
        <v>37.0</v>
      </c>
      <c r="D509" s="27"/>
    </row>
    <row r="510" hidden="1">
      <c r="A510" s="26">
        <v>44461.87646706018</v>
      </c>
      <c r="B510" s="20" t="s">
        <v>847</v>
      </c>
      <c r="C510" s="20">
        <v>34.0</v>
      </c>
      <c r="D510" s="27"/>
    </row>
    <row r="511" hidden="1">
      <c r="A511" s="26">
        <v>44462.70488052083</v>
      </c>
      <c r="B511" s="20" t="s">
        <v>932</v>
      </c>
      <c r="C511" s="20">
        <v>43.0</v>
      </c>
      <c r="D511" s="27"/>
    </row>
    <row r="512" hidden="1">
      <c r="A512" s="26">
        <v>44462.70825210648</v>
      </c>
      <c r="B512" s="20" t="s">
        <v>163</v>
      </c>
      <c r="C512" s="20">
        <v>15.0</v>
      </c>
      <c r="D512" s="27"/>
    </row>
    <row r="513" hidden="1">
      <c r="A513" s="26">
        <v>44462.70878701389</v>
      </c>
      <c r="B513" s="20" t="s">
        <v>931</v>
      </c>
      <c r="C513" s="20">
        <v>4.0</v>
      </c>
      <c r="D513" s="27"/>
    </row>
    <row r="514" hidden="1">
      <c r="A514" s="26">
        <v>44462.71694613426</v>
      </c>
      <c r="B514" s="20" t="s">
        <v>904</v>
      </c>
      <c r="C514" s="20">
        <v>26.0</v>
      </c>
      <c r="D514" s="27"/>
    </row>
    <row r="515" hidden="1">
      <c r="A515" s="26">
        <v>44462.71731945602</v>
      </c>
      <c r="B515" s="20" t="s">
        <v>327</v>
      </c>
      <c r="C515" s="20">
        <v>10.0</v>
      </c>
      <c r="D515" s="27"/>
    </row>
    <row r="516" hidden="1">
      <c r="A516" s="26">
        <v>44462.86449399305</v>
      </c>
      <c r="B516" s="20" t="s">
        <v>910</v>
      </c>
      <c r="C516" s="20">
        <v>24.0</v>
      </c>
      <c r="D516" s="27"/>
    </row>
    <row r="517" hidden="1">
      <c r="A517" s="26">
        <v>44462.873111030094</v>
      </c>
      <c r="B517" s="20" t="s">
        <v>167</v>
      </c>
      <c r="C517" s="20">
        <v>23.0</v>
      </c>
      <c r="D517" s="27"/>
    </row>
    <row r="518" hidden="1">
      <c r="A518" s="26">
        <v>44463.7139480787</v>
      </c>
      <c r="B518" s="20" t="s">
        <v>780</v>
      </c>
      <c r="C518" s="20">
        <v>13.0</v>
      </c>
      <c r="D518" s="27"/>
    </row>
    <row r="519" hidden="1">
      <c r="A519" s="26">
        <v>44463.71566400463</v>
      </c>
      <c r="B519" s="20" t="s">
        <v>233</v>
      </c>
      <c r="C519" s="20">
        <v>2.0</v>
      </c>
      <c r="D519" s="27"/>
    </row>
    <row r="520" hidden="1">
      <c r="A520" s="26">
        <v>44463.72451883102</v>
      </c>
      <c r="B520" s="20" t="s">
        <v>344</v>
      </c>
      <c r="C520" s="20">
        <v>16.0</v>
      </c>
      <c r="D520" s="27"/>
    </row>
    <row r="521" hidden="1">
      <c r="A521" s="26">
        <v>44463.73111122685</v>
      </c>
      <c r="B521" s="20" t="s">
        <v>801</v>
      </c>
      <c r="C521" s="20">
        <v>21.0</v>
      </c>
      <c r="D521" s="27"/>
    </row>
    <row r="522" hidden="1">
      <c r="A522" s="26">
        <v>44464.50295969908</v>
      </c>
      <c r="B522" s="20" t="s">
        <v>912</v>
      </c>
      <c r="C522" s="20">
        <v>5.0</v>
      </c>
      <c r="D522" s="27"/>
    </row>
    <row r="523" hidden="1">
      <c r="A523" s="26">
        <v>44464.51944434027</v>
      </c>
      <c r="B523" s="20" t="s">
        <v>177</v>
      </c>
      <c r="C523" s="20">
        <v>22.0</v>
      </c>
      <c r="D523" s="27"/>
    </row>
    <row r="524" hidden="1">
      <c r="A524" s="26">
        <v>44464.74099333333</v>
      </c>
      <c r="B524" s="20" t="s">
        <v>300</v>
      </c>
      <c r="C524" s="20">
        <v>37.0</v>
      </c>
      <c r="D524" s="27"/>
    </row>
    <row r="525" hidden="1">
      <c r="A525" s="26">
        <v>44464.74202107639</v>
      </c>
      <c r="B525" s="20" t="s">
        <v>91</v>
      </c>
      <c r="C525" s="20">
        <v>9.0</v>
      </c>
      <c r="D525" s="27"/>
    </row>
    <row r="526" hidden="1">
      <c r="A526" s="26">
        <v>44464.74342537037</v>
      </c>
      <c r="B526" s="20" t="s">
        <v>884</v>
      </c>
      <c r="C526" s="20">
        <v>21.0</v>
      </c>
      <c r="D526" s="27"/>
    </row>
    <row r="527" hidden="1">
      <c r="A527" s="26">
        <v>44464.74546665509</v>
      </c>
      <c r="B527" s="20" t="s">
        <v>178</v>
      </c>
      <c r="C527" s="20">
        <v>8.0</v>
      </c>
      <c r="D527" s="27"/>
    </row>
    <row r="528" hidden="1">
      <c r="A528" s="26">
        <v>44464.74717686343</v>
      </c>
      <c r="B528" s="20" t="s">
        <v>933</v>
      </c>
      <c r="C528" s="20">
        <v>31.0</v>
      </c>
      <c r="D528" s="27"/>
    </row>
    <row r="529" hidden="1">
      <c r="A529" s="26">
        <v>44464.74730844908</v>
      </c>
      <c r="B529" s="20" t="s">
        <v>794</v>
      </c>
      <c r="C529" s="20">
        <v>14.0</v>
      </c>
      <c r="D529" s="27"/>
    </row>
    <row r="530" hidden="1">
      <c r="A530" s="26">
        <v>44464.74749728009</v>
      </c>
      <c r="B530" s="20" t="s">
        <v>193</v>
      </c>
      <c r="C530" s="20">
        <v>14.0</v>
      </c>
      <c r="D530" s="27"/>
    </row>
    <row r="531" hidden="1">
      <c r="A531" s="26">
        <v>44465.66798590278</v>
      </c>
      <c r="B531" s="20" t="s">
        <v>193</v>
      </c>
      <c r="C531" s="20">
        <v>15.0</v>
      </c>
      <c r="D531" s="27"/>
      <c r="E531" s="20" t="s">
        <v>890</v>
      </c>
    </row>
    <row r="532" hidden="1">
      <c r="A532" s="26">
        <v>44465.67156408565</v>
      </c>
      <c r="B532" s="20" t="s">
        <v>877</v>
      </c>
      <c r="C532" s="20">
        <v>35.0</v>
      </c>
      <c r="D532" s="27"/>
    </row>
    <row r="533" hidden="1">
      <c r="A533" s="26">
        <v>44465.67197328704</v>
      </c>
      <c r="B533" s="20" t="s">
        <v>875</v>
      </c>
      <c r="C533" s="20">
        <v>37.0</v>
      </c>
      <c r="D533" s="27"/>
    </row>
    <row r="534" hidden="1">
      <c r="A534" s="26">
        <v>44465.67783410879</v>
      </c>
      <c r="B534" s="20" t="s">
        <v>913</v>
      </c>
      <c r="C534" s="20">
        <v>25.0</v>
      </c>
      <c r="D534" s="27"/>
      <c r="E534" s="20" t="s">
        <v>890</v>
      </c>
    </row>
    <row r="535" hidden="1">
      <c r="A535" s="26">
        <v>44465.69075863426</v>
      </c>
      <c r="B535" s="20" t="s">
        <v>193</v>
      </c>
      <c r="C535" s="20">
        <v>2.0</v>
      </c>
      <c r="D535" s="27"/>
      <c r="E535" s="20" t="s">
        <v>934</v>
      </c>
    </row>
    <row r="536" hidden="1">
      <c r="A536" s="26">
        <v>44465.698134039354</v>
      </c>
      <c r="B536" s="20" t="s">
        <v>203</v>
      </c>
      <c r="C536" s="20">
        <v>12.0</v>
      </c>
      <c r="D536" s="27"/>
    </row>
    <row r="537" hidden="1">
      <c r="A537" s="26">
        <v>44465.880573206014</v>
      </c>
      <c r="B537" s="20" t="s">
        <v>298</v>
      </c>
      <c r="C537" s="20">
        <v>200.0</v>
      </c>
      <c r="D537" s="27"/>
    </row>
    <row r="538" hidden="1">
      <c r="A538" s="26">
        <v>44467.697102314814</v>
      </c>
      <c r="B538" s="20" t="s">
        <v>935</v>
      </c>
      <c r="C538" s="20">
        <v>23.0</v>
      </c>
      <c r="D538" s="27"/>
    </row>
    <row r="539" hidden="1">
      <c r="A539" s="26">
        <v>44467.707792824076</v>
      </c>
      <c r="B539" s="20" t="s">
        <v>153</v>
      </c>
      <c r="C539" s="20">
        <v>10.0</v>
      </c>
      <c r="D539" s="27"/>
    </row>
    <row r="540" hidden="1">
      <c r="A540" s="26">
        <v>44467.70798885416</v>
      </c>
      <c r="B540" s="20" t="s">
        <v>936</v>
      </c>
      <c r="C540" s="20">
        <v>6.0</v>
      </c>
      <c r="D540" s="27"/>
      <c r="E540" s="20" t="s">
        <v>890</v>
      </c>
    </row>
    <row r="541" hidden="1">
      <c r="A541" s="26">
        <v>44467.71247075232</v>
      </c>
      <c r="B541" s="20" t="s">
        <v>203</v>
      </c>
      <c r="C541" s="20">
        <v>24.0</v>
      </c>
      <c r="D541" s="27"/>
      <c r="E541" s="20" t="s">
        <v>890</v>
      </c>
    </row>
    <row r="542" hidden="1">
      <c r="A542" s="26">
        <v>44467.715275625</v>
      </c>
      <c r="B542" s="20" t="s">
        <v>334</v>
      </c>
      <c r="C542" s="20">
        <v>18.0</v>
      </c>
      <c r="D542" s="27"/>
    </row>
    <row r="543" hidden="1">
      <c r="A543" s="26">
        <v>44467.71547034722</v>
      </c>
      <c r="B543" s="20" t="s">
        <v>334</v>
      </c>
      <c r="C543" s="20">
        <v>31.0</v>
      </c>
      <c r="D543" s="27"/>
      <c r="E543" s="20" t="s">
        <v>890</v>
      </c>
    </row>
    <row r="544" hidden="1">
      <c r="A544" s="26">
        <v>44467.71865096065</v>
      </c>
      <c r="B544" s="20" t="s">
        <v>937</v>
      </c>
      <c r="C544" s="20">
        <v>116.0</v>
      </c>
      <c r="D544" s="27"/>
      <c r="E544" s="20" t="s">
        <v>890</v>
      </c>
    </row>
    <row r="545" hidden="1">
      <c r="A545" s="26">
        <v>44468.71548017361</v>
      </c>
      <c r="B545" s="20" t="s">
        <v>163</v>
      </c>
      <c r="C545" s="20">
        <v>40.0</v>
      </c>
      <c r="D545" s="27"/>
    </row>
    <row r="546" hidden="1">
      <c r="A546" s="26">
        <v>44468.71571185185</v>
      </c>
      <c r="B546" s="20" t="s">
        <v>938</v>
      </c>
      <c r="C546" s="20">
        <v>32.0</v>
      </c>
      <c r="D546" s="27"/>
    </row>
    <row r="547" hidden="1">
      <c r="A547" s="26">
        <v>44468.715884143516</v>
      </c>
      <c r="B547" s="20" t="s">
        <v>242</v>
      </c>
      <c r="C547" s="20">
        <v>15.0</v>
      </c>
      <c r="D547" s="27"/>
    </row>
    <row r="548" hidden="1">
      <c r="A548" s="26">
        <v>44468.71875219907</v>
      </c>
      <c r="B548" s="20" t="s">
        <v>939</v>
      </c>
      <c r="C548" s="20">
        <v>1.0</v>
      </c>
      <c r="D548" s="27"/>
    </row>
    <row r="549" hidden="1">
      <c r="A549" s="26">
        <v>44468.719315752314</v>
      </c>
      <c r="B549" s="20" t="s">
        <v>940</v>
      </c>
      <c r="C549" s="20">
        <v>17.0</v>
      </c>
      <c r="D549" s="27"/>
    </row>
    <row r="550" hidden="1">
      <c r="A550" s="26">
        <v>44468.85920037037</v>
      </c>
      <c r="B550" s="20" t="s">
        <v>941</v>
      </c>
      <c r="C550" s="20">
        <v>5.0</v>
      </c>
      <c r="D550" s="27"/>
    </row>
    <row r="551" hidden="1">
      <c r="A551" s="26">
        <v>44468.86980423611</v>
      </c>
      <c r="B551" s="20" t="s">
        <v>800</v>
      </c>
      <c r="C551" s="20">
        <v>35.0</v>
      </c>
      <c r="D551" s="27"/>
    </row>
    <row r="552" hidden="1">
      <c r="A552" s="26">
        <v>44468.87010943287</v>
      </c>
      <c r="B552" s="20" t="s">
        <v>786</v>
      </c>
      <c r="C552" s="20">
        <v>19.0</v>
      </c>
      <c r="D552" s="27"/>
    </row>
    <row r="553" hidden="1">
      <c r="A553" s="26">
        <v>44468.87166355324</v>
      </c>
      <c r="B553" s="20" t="s">
        <v>787</v>
      </c>
      <c r="C553" s="20">
        <v>22.0</v>
      </c>
      <c r="D553" s="27"/>
    </row>
    <row r="554" hidden="1">
      <c r="A554" s="26">
        <v>44468.87341366898</v>
      </c>
      <c r="B554" s="20" t="s">
        <v>942</v>
      </c>
      <c r="C554" s="20">
        <v>31.0</v>
      </c>
      <c r="D554" s="27"/>
    </row>
    <row r="555" hidden="1">
      <c r="A555" s="26">
        <v>44468.87369586805</v>
      </c>
      <c r="B555" s="20" t="s">
        <v>437</v>
      </c>
      <c r="C555" s="20">
        <v>39.0</v>
      </c>
      <c r="D555" s="27"/>
    </row>
    <row r="556" hidden="1">
      <c r="A556" s="26">
        <v>44469.70619859954</v>
      </c>
      <c r="B556" s="20" t="s">
        <v>658</v>
      </c>
      <c r="C556" s="20">
        <v>24.0</v>
      </c>
      <c r="D556" s="27"/>
    </row>
    <row r="557" hidden="1">
      <c r="A557" s="26">
        <v>44469.72269510417</v>
      </c>
      <c r="B557" s="20" t="s">
        <v>904</v>
      </c>
      <c r="C557" s="20">
        <v>33.0</v>
      </c>
      <c r="D557" s="27"/>
    </row>
    <row r="558" hidden="1">
      <c r="A558" s="26">
        <v>44469.72352918981</v>
      </c>
      <c r="B558" s="20" t="s">
        <v>943</v>
      </c>
      <c r="C558" s="20">
        <v>42.0</v>
      </c>
      <c r="D558" s="27"/>
    </row>
    <row r="559" hidden="1">
      <c r="A559" s="26">
        <v>44469.72452758102</v>
      </c>
      <c r="B559" s="20" t="s">
        <v>944</v>
      </c>
      <c r="C559" s="20">
        <v>43.0</v>
      </c>
      <c r="D559" s="27"/>
      <c r="E559" s="20" t="s">
        <v>890</v>
      </c>
    </row>
    <row r="560" hidden="1">
      <c r="A560" s="26">
        <v>44469.72636230324</v>
      </c>
      <c r="B560" s="20" t="s">
        <v>760</v>
      </c>
      <c r="C560" s="20">
        <v>27.0</v>
      </c>
      <c r="D560" s="27"/>
    </row>
    <row r="561" hidden="1">
      <c r="A561" s="26">
        <v>44469.868331770835</v>
      </c>
      <c r="B561" s="20" t="s">
        <v>167</v>
      </c>
      <c r="C561" s="20">
        <v>28.0</v>
      </c>
      <c r="D561" s="27"/>
    </row>
    <row r="562" hidden="1">
      <c r="A562" s="26">
        <v>44470.70076325232</v>
      </c>
      <c r="B562" s="20" t="s">
        <v>929</v>
      </c>
      <c r="C562" s="20">
        <v>7.0</v>
      </c>
      <c r="D562" s="27"/>
    </row>
    <row r="563" hidden="1">
      <c r="A563" s="26">
        <v>44470.70648047454</v>
      </c>
      <c r="B563" s="20" t="s">
        <v>945</v>
      </c>
      <c r="C563" s="20">
        <v>4.0</v>
      </c>
      <c r="D563" s="27"/>
    </row>
    <row r="564" hidden="1">
      <c r="A564" s="26">
        <v>44470.707197592594</v>
      </c>
      <c r="B564" s="20" t="s">
        <v>344</v>
      </c>
      <c r="C564" s="20">
        <v>17.0</v>
      </c>
      <c r="D564" s="27"/>
    </row>
    <row r="565" hidden="1">
      <c r="A565" s="26">
        <v>44470.71507828704</v>
      </c>
      <c r="B565" s="20" t="s">
        <v>260</v>
      </c>
      <c r="C565" s="20">
        <v>21.0</v>
      </c>
      <c r="D565" s="27"/>
    </row>
    <row r="566" hidden="1">
      <c r="A566" s="26">
        <v>44470.72394693287</v>
      </c>
      <c r="B566" s="20" t="s">
        <v>233</v>
      </c>
      <c r="C566" s="20">
        <v>4.0</v>
      </c>
      <c r="D566" s="27"/>
    </row>
    <row r="567" hidden="1">
      <c r="A567" s="26">
        <v>44471.51364167824</v>
      </c>
      <c r="B567" s="20" t="s">
        <v>946</v>
      </c>
      <c r="C567" s="20" t="s">
        <v>947</v>
      </c>
      <c r="D567" s="27"/>
    </row>
    <row r="568" hidden="1">
      <c r="A568" s="26">
        <v>44471.74095564814</v>
      </c>
      <c r="B568" s="20" t="s">
        <v>327</v>
      </c>
      <c r="C568" s="20" t="s">
        <v>948</v>
      </c>
      <c r="D568" s="27"/>
    </row>
    <row r="569" hidden="1">
      <c r="A569" s="26">
        <v>44471.746875428245</v>
      </c>
      <c r="B569" s="20" t="s">
        <v>91</v>
      </c>
      <c r="C569" s="20">
        <v>10.0</v>
      </c>
      <c r="D569" s="27"/>
    </row>
    <row r="570" hidden="1">
      <c r="A570" s="26">
        <v>44471.74902072917</v>
      </c>
      <c r="B570" s="20" t="s">
        <v>178</v>
      </c>
      <c r="C570" s="20">
        <v>14.0</v>
      </c>
      <c r="D570" s="27"/>
    </row>
    <row r="571" hidden="1">
      <c r="A571" s="26">
        <v>44471.751289293985</v>
      </c>
      <c r="B571" s="20" t="s">
        <v>949</v>
      </c>
      <c r="C571" s="20">
        <v>34.0</v>
      </c>
      <c r="D571" s="27"/>
    </row>
    <row r="572" hidden="1">
      <c r="A572" s="26">
        <v>44471.751824837964</v>
      </c>
      <c r="B572" s="20" t="s">
        <v>242</v>
      </c>
      <c r="C572" s="20">
        <v>10.0</v>
      </c>
      <c r="D572" s="27"/>
    </row>
    <row r="573" hidden="1">
      <c r="A573" s="26">
        <v>44471.77087857639</v>
      </c>
      <c r="B573" s="20" t="s">
        <v>300</v>
      </c>
      <c r="C573" s="20" t="s">
        <v>950</v>
      </c>
      <c r="D573" s="27"/>
    </row>
    <row r="574" hidden="1">
      <c r="A574" s="26">
        <v>44472.67122829861</v>
      </c>
      <c r="B574" s="20" t="s">
        <v>909</v>
      </c>
      <c r="C574" s="20">
        <v>36.0</v>
      </c>
      <c r="D574" s="27"/>
    </row>
    <row r="575" hidden="1">
      <c r="A575" s="26">
        <v>44472.671274583336</v>
      </c>
      <c r="B575" s="20" t="s">
        <v>875</v>
      </c>
      <c r="C575" s="20">
        <v>27.0</v>
      </c>
      <c r="D575" s="27"/>
    </row>
    <row r="576" hidden="1">
      <c r="A576" s="26">
        <v>44472.67250061342</v>
      </c>
      <c r="B576" s="20" t="s">
        <v>888</v>
      </c>
      <c r="C576" s="20">
        <v>40.0</v>
      </c>
      <c r="D576" s="27"/>
    </row>
    <row r="577" hidden="1">
      <c r="A577" s="26">
        <v>44472.755063460645</v>
      </c>
      <c r="B577" s="20" t="s">
        <v>951</v>
      </c>
      <c r="C577" s="20">
        <v>19.0</v>
      </c>
      <c r="D577" s="27"/>
    </row>
    <row r="578" hidden="1">
      <c r="A578" s="26">
        <v>44472.75526899306</v>
      </c>
      <c r="B578" s="20" t="s">
        <v>951</v>
      </c>
      <c r="C578" s="20" t="s">
        <v>952</v>
      </c>
      <c r="D578" s="27"/>
    </row>
    <row r="579" hidden="1">
      <c r="A579" s="26">
        <v>44472.755502280095</v>
      </c>
      <c r="B579" s="20" t="s">
        <v>193</v>
      </c>
      <c r="C579" s="20">
        <v>22.0</v>
      </c>
      <c r="D579" s="27"/>
    </row>
    <row r="580" hidden="1">
      <c r="A580" s="26">
        <v>44474.71155111111</v>
      </c>
      <c r="B580" s="20" t="s">
        <v>153</v>
      </c>
      <c r="C580" s="20" t="s">
        <v>953</v>
      </c>
      <c r="D580" s="27"/>
    </row>
    <row r="581" hidden="1">
      <c r="A581" s="26">
        <v>44474.71165222222</v>
      </c>
      <c r="B581" s="20" t="s">
        <v>939</v>
      </c>
      <c r="C581" s="20">
        <v>1.0</v>
      </c>
      <c r="D581" s="27"/>
    </row>
    <row r="582" hidden="1">
      <c r="A582" s="26">
        <v>44474.71455898148</v>
      </c>
      <c r="B582" s="20" t="s">
        <v>870</v>
      </c>
      <c r="C582" s="20">
        <v>19.0</v>
      </c>
      <c r="D582" s="27"/>
    </row>
    <row r="583" hidden="1">
      <c r="A583" s="26">
        <v>44474.71751886574</v>
      </c>
      <c r="B583" s="20" t="s">
        <v>954</v>
      </c>
      <c r="C583" s="20">
        <v>17.0</v>
      </c>
      <c r="D583" s="27"/>
    </row>
    <row r="584" hidden="1">
      <c r="A584" s="26">
        <v>44474.717847708336</v>
      </c>
      <c r="B584" s="20" t="s">
        <v>809</v>
      </c>
      <c r="C584" s="20">
        <v>8.0</v>
      </c>
      <c r="D584" s="27"/>
    </row>
    <row r="585" hidden="1">
      <c r="A585" s="26">
        <v>44474.71840760417</v>
      </c>
      <c r="B585" s="20" t="s">
        <v>955</v>
      </c>
      <c r="C585" s="20">
        <v>29.0</v>
      </c>
      <c r="D585" s="27"/>
    </row>
    <row r="586" hidden="1">
      <c r="A586" s="26">
        <v>44474.71936512731</v>
      </c>
      <c r="B586" s="20" t="s">
        <v>931</v>
      </c>
      <c r="C586" s="20">
        <v>28.0</v>
      </c>
      <c r="D586" s="27"/>
    </row>
    <row r="587" hidden="1">
      <c r="A587" s="26">
        <v>44474.7198143287</v>
      </c>
      <c r="B587" s="20" t="s">
        <v>163</v>
      </c>
      <c r="C587" s="20">
        <v>13.0</v>
      </c>
      <c r="D587" s="27"/>
    </row>
    <row r="588" hidden="1">
      <c r="A588" s="26">
        <v>44474.72191746528</v>
      </c>
      <c r="B588" s="20" t="s">
        <v>956</v>
      </c>
      <c r="C588" s="20">
        <v>33.0</v>
      </c>
      <c r="D588" s="27"/>
    </row>
    <row r="589" hidden="1">
      <c r="A589" s="26">
        <v>44474.7243028125</v>
      </c>
      <c r="B589" s="20" t="s">
        <v>957</v>
      </c>
      <c r="C589" s="20">
        <v>5.0</v>
      </c>
      <c r="D589" s="27"/>
    </row>
    <row r="590" hidden="1">
      <c r="A590" s="26">
        <v>44475.097378645834</v>
      </c>
      <c r="B590" s="20" t="s">
        <v>958</v>
      </c>
      <c r="C590" s="20">
        <v>11.0</v>
      </c>
      <c r="D590" s="27"/>
    </row>
    <row r="591" hidden="1">
      <c r="A591" s="26">
        <v>44475.7313837963</v>
      </c>
      <c r="B591" s="20" t="s">
        <v>153</v>
      </c>
      <c r="C591" s="20" t="s">
        <v>959</v>
      </c>
      <c r="D591" s="27"/>
    </row>
    <row r="592" hidden="1">
      <c r="A592" s="26">
        <v>44475.84421967593</v>
      </c>
      <c r="B592" s="20" t="s">
        <v>177</v>
      </c>
      <c r="C592" s="20">
        <v>14.0</v>
      </c>
      <c r="D592" s="27"/>
    </row>
    <row r="593" hidden="1">
      <c r="A593" s="26">
        <v>44475.86906696759</v>
      </c>
      <c r="B593" s="20" t="s">
        <v>941</v>
      </c>
      <c r="C593" s="20">
        <v>10.0</v>
      </c>
      <c r="D593" s="27"/>
    </row>
    <row r="594" hidden="1">
      <c r="A594" s="26">
        <v>44475.87433363426</v>
      </c>
      <c r="B594" s="20" t="s">
        <v>960</v>
      </c>
      <c r="C594" s="20">
        <v>42.0</v>
      </c>
      <c r="D594" s="27"/>
    </row>
    <row r="595" hidden="1">
      <c r="A595" s="26">
        <v>44475.87456059028</v>
      </c>
      <c r="B595" s="20" t="s">
        <v>414</v>
      </c>
      <c r="C595" s="20">
        <v>39.0</v>
      </c>
      <c r="D595" s="27"/>
    </row>
    <row r="596" hidden="1">
      <c r="A596" s="26">
        <v>44475.874926261575</v>
      </c>
      <c r="B596" s="20" t="s">
        <v>787</v>
      </c>
      <c r="C596" s="20">
        <v>29.0</v>
      </c>
      <c r="D596" s="27"/>
    </row>
    <row r="597" hidden="1">
      <c r="A597" s="26">
        <v>44475.87609268518</v>
      </c>
      <c r="B597" s="20" t="s">
        <v>896</v>
      </c>
      <c r="C597" s="20">
        <v>19.0</v>
      </c>
      <c r="D597" s="27"/>
    </row>
    <row r="598" hidden="1">
      <c r="A598" s="26">
        <v>44475.87716307871</v>
      </c>
      <c r="B598" s="20" t="s">
        <v>437</v>
      </c>
      <c r="C598" s="20">
        <v>23.0</v>
      </c>
      <c r="D598" s="27"/>
    </row>
    <row r="599" hidden="1">
      <c r="A599" s="26">
        <v>44475.877602395834</v>
      </c>
      <c r="B599" s="20" t="s">
        <v>784</v>
      </c>
      <c r="C599" s="20">
        <v>28.0</v>
      </c>
      <c r="D599" s="27"/>
    </row>
    <row r="600" hidden="1">
      <c r="A600" s="26">
        <v>44475.8777429051</v>
      </c>
      <c r="B600" s="20" t="s">
        <v>45</v>
      </c>
      <c r="C600" s="20">
        <v>13.0</v>
      </c>
      <c r="D600" s="27"/>
    </row>
    <row r="601" hidden="1">
      <c r="A601" s="26">
        <v>44476.70380483796</v>
      </c>
      <c r="B601" s="20" t="s">
        <v>870</v>
      </c>
      <c r="C601" s="20">
        <v>28.0</v>
      </c>
      <c r="D601" s="27"/>
    </row>
    <row r="602" hidden="1">
      <c r="A602" s="26">
        <v>44476.707667662035</v>
      </c>
      <c r="B602" s="20" t="s">
        <v>961</v>
      </c>
      <c r="C602" s="20">
        <v>13.0</v>
      </c>
      <c r="D602" s="27"/>
    </row>
    <row r="603" hidden="1">
      <c r="A603" s="26">
        <v>44476.70814674768</v>
      </c>
      <c r="B603" s="20" t="s">
        <v>962</v>
      </c>
      <c r="C603" s="20">
        <v>28.0</v>
      </c>
      <c r="D603" s="27"/>
    </row>
    <row r="604" hidden="1">
      <c r="A604" s="26">
        <v>44476.70851863426</v>
      </c>
      <c r="B604" s="20" t="s">
        <v>963</v>
      </c>
      <c r="C604" s="20">
        <v>7.0</v>
      </c>
      <c r="D604" s="27"/>
    </row>
    <row r="605" hidden="1">
      <c r="A605" s="26">
        <v>44476.70929626157</v>
      </c>
      <c r="B605" s="20" t="s">
        <v>964</v>
      </c>
      <c r="C605" s="20">
        <v>7.0</v>
      </c>
      <c r="D605" s="27"/>
    </row>
    <row r="606" hidden="1">
      <c r="A606" s="26">
        <v>44476.71032568287</v>
      </c>
      <c r="B606" s="20" t="s">
        <v>965</v>
      </c>
      <c r="C606" s="20">
        <v>19.0</v>
      </c>
      <c r="D606" s="27"/>
    </row>
    <row r="607" hidden="1">
      <c r="A607" s="26">
        <v>44476.71081899306</v>
      </c>
      <c r="B607" s="20" t="s">
        <v>966</v>
      </c>
      <c r="C607" s="20">
        <v>14.0</v>
      </c>
      <c r="D607" s="27"/>
    </row>
    <row r="608" hidden="1">
      <c r="A608" s="26">
        <v>44476.71106584491</v>
      </c>
      <c r="B608" s="20" t="s">
        <v>163</v>
      </c>
      <c r="C608" s="20">
        <v>3.0</v>
      </c>
      <c r="D608" s="27"/>
    </row>
    <row r="609" hidden="1">
      <c r="A609" s="26">
        <v>44476.71162990741</v>
      </c>
      <c r="B609" s="20" t="s">
        <v>967</v>
      </c>
      <c r="C609" s="20">
        <v>39.0</v>
      </c>
      <c r="D609" s="27"/>
    </row>
    <row r="610" hidden="1">
      <c r="A610" s="26">
        <v>44476.71224234954</v>
      </c>
      <c r="B610" s="20" t="s">
        <v>968</v>
      </c>
      <c r="C610" s="20">
        <v>7.0</v>
      </c>
      <c r="D610" s="27"/>
    </row>
    <row r="611" hidden="1">
      <c r="A611" s="26">
        <v>44476.71277305555</v>
      </c>
      <c r="B611" s="20" t="s">
        <v>969</v>
      </c>
      <c r="C611" s="20">
        <v>17.0</v>
      </c>
      <c r="D611" s="27"/>
    </row>
    <row r="612" hidden="1">
      <c r="A612" s="26">
        <v>44476.881841145834</v>
      </c>
      <c r="B612" s="20" t="s">
        <v>437</v>
      </c>
      <c r="C612" s="20">
        <v>16.0</v>
      </c>
      <c r="D612" s="27"/>
    </row>
    <row r="613" hidden="1">
      <c r="A613" s="26">
        <v>44476.883815821755</v>
      </c>
      <c r="B613" s="20" t="s">
        <v>970</v>
      </c>
      <c r="C613" s="20">
        <v>21.0</v>
      </c>
      <c r="D613" s="27"/>
    </row>
    <row r="614" hidden="1">
      <c r="A614" s="26">
        <v>44476.88384165509</v>
      </c>
      <c r="B614" s="20" t="s">
        <v>971</v>
      </c>
      <c r="C614" s="20">
        <v>17.0</v>
      </c>
      <c r="D614" s="27"/>
    </row>
    <row r="615" hidden="1">
      <c r="A615" s="26">
        <v>44476.886765752315</v>
      </c>
      <c r="B615" s="20" t="s">
        <v>167</v>
      </c>
      <c r="C615" s="20">
        <v>24.0</v>
      </c>
      <c r="D615" s="27"/>
    </row>
    <row r="616" hidden="1">
      <c r="A616" s="26">
        <v>44477.587572916666</v>
      </c>
      <c r="B616" s="20" t="s">
        <v>785</v>
      </c>
      <c r="C616" s="20">
        <v>7.0</v>
      </c>
      <c r="D616" s="27"/>
    </row>
    <row r="617" hidden="1">
      <c r="A617" s="26">
        <v>44477.71653118056</v>
      </c>
      <c r="B617" s="20" t="s">
        <v>344</v>
      </c>
      <c r="C617" s="20">
        <v>20.0</v>
      </c>
      <c r="D617" s="27"/>
    </row>
    <row r="618" hidden="1">
      <c r="A618" s="26">
        <v>44477.71788643519</v>
      </c>
      <c r="B618" s="20" t="s">
        <v>972</v>
      </c>
      <c r="C618" s="20">
        <v>14.0</v>
      </c>
      <c r="D618" s="27"/>
    </row>
    <row r="619" hidden="1">
      <c r="A619" s="26">
        <v>44477.7199456713</v>
      </c>
      <c r="B619" s="20" t="s">
        <v>973</v>
      </c>
      <c r="C619" s="20">
        <v>11.0</v>
      </c>
      <c r="D619" s="27"/>
    </row>
    <row r="620" hidden="1">
      <c r="A620" s="26">
        <v>44477.7232128125</v>
      </c>
      <c r="B620" s="20" t="s">
        <v>974</v>
      </c>
      <c r="C620" s="20">
        <v>18.0</v>
      </c>
      <c r="D620" s="27"/>
    </row>
    <row r="621" hidden="1">
      <c r="A621" s="26">
        <v>44477.73095837963</v>
      </c>
      <c r="B621" s="20" t="s">
        <v>193</v>
      </c>
      <c r="C621" s="20">
        <v>16.0</v>
      </c>
      <c r="D621" s="27"/>
    </row>
    <row r="622" hidden="1">
      <c r="A622" s="26">
        <v>44478.69741508102</v>
      </c>
      <c r="B622" s="20" t="s">
        <v>91</v>
      </c>
      <c r="C622" s="20">
        <v>10.0</v>
      </c>
      <c r="D622" s="27"/>
    </row>
    <row r="623" hidden="1">
      <c r="A623" s="26">
        <v>44478.70600679398</v>
      </c>
      <c r="B623" s="20" t="s">
        <v>971</v>
      </c>
      <c r="C623" s="20">
        <v>20.0</v>
      </c>
      <c r="D623" s="27"/>
    </row>
    <row r="624" hidden="1">
      <c r="A624" s="26">
        <v>44478.71017171296</v>
      </c>
      <c r="B624" s="20" t="s">
        <v>975</v>
      </c>
      <c r="C624" s="20">
        <v>20.0</v>
      </c>
      <c r="D624" s="27"/>
    </row>
    <row r="625" hidden="1">
      <c r="A625" s="26">
        <v>44478.71099877315</v>
      </c>
      <c r="B625" s="20" t="s">
        <v>976</v>
      </c>
      <c r="C625" s="20">
        <v>20.0</v>
      </c>
      <c r="D625" s="27"/>
    </row>
    <row r="626" hidden="1">
      <c r="A626" s="26">
        <v>44478.711338113426</v>
      </c>
      <c r="B626" s="20" t="s">
        <v>977</v>
      </c>
      <c r="C626" s="20">
        <v>18.5</v>
      </c>
      <c r="D626" s="27"/>
    </row>
    <row r="627" hidden="1">
      <c r="A627" s="26">
        <v>44478.71166</v>
      </c>
      <c r="B627" s="20" t="s">
        <v>978</v>
      </c>
      <c r="C627" s="20">
        <v>20.0</v>
      </c>
      <c r="D627" s="27"/>
    </row>
    <row r="628" hidden="1">
      <c r="A628" s="26">
        <v>44478.714510254635</v>
      </c>
      <c r="B628" s="20" t="s">
        <v>217</v>
      </c>
      <c r="C628" s="20">
        <v>20.0</v>
      </c>
      <c r="D628" s="27"/>
    </row>
    <row r="629" hidden="1">
      <c r="A629" s="26">
        <v>44478.71471461805</v>
      </c>
      <c r="B629" s="20" t="s">
        <v>831</v>
      </c>
      <c r="C629" s="20">
        <v>20.0</v>
      </c>
      <c r="D629" s="27"/>
    </row>
    <row r="630" hidden="1">
      <c r="A630" s="26">
        <v>44478.723515729165</v>
      </c>
      <c r="B630" s="20" t="s">
        <v>203</v>
      </c>
      <c r="C630" s="20">
        <v>6.0</v>
      </c>
      <c r="D630" s="27"/>
    </row>
    <row r="631" hidden="1">
      <c r="A631" s="26">
        <v>44478.725794513884</v>
      </c>
      <c r="B631" s="20" t="s">
        <v>979</v>
      </c>
      <c r="C631" s="20">
        <v>13.0</v>
      </c>
      <c r="D631" s="27"/>
    </row>
    <row r="632" hidden="1">
      <c r="A632" s="26">
        <v>44478.73466707176</v>
      </c>
      <c r="B632" s="20" t="s">
        <v>191</v>
      </c>
      <c r="C632" s="20">
        <v>12.0</v>
      </c>
      <c r="D632" s="27"/>
    </row>
    <row r="633" hidden="1">
      <c r="A633" s="26">
        <v>44479.67670740741</v>
      </c>
      <c r="B633" s="20" t="s">
        <v>980</v>
      </c>
      <c r="C633" s="20">
        <v>11.0</v>
      </c>
      <c r="D633" s="27"/>
    </row>
    <row r="634" hidden="1">
      <c r="A634" s="26">
        <v>44479.68035206018</v>
      </c>
      <c r="B634" s="20" t="s">
        <v>799</v>
      </c>
      <c r="C634" s="20" t="s">
        <v>981</v>
      </c>
      <c r="D634" s="27"/>
    </row>
    <row r="635" hidden="1">
      <c r="A635" s="26">
        <v>44479.68382171296</v>
      </c>
      <c r="B635" s="20" t="s">
        <v>982</v>
      </c>
      <c r="C635" s="20">
        <v>16.9</v>
      </c>
      <c r="D635" s="27"/>
    </row>
    <row r="636" hidden="1">
      <c r="A636" s="26">
        <v>44479.684233657405</v>
      </c>
      <c r="B636" s="20" t="s">
        <v>983</v>
      </c>
      <c r="C636" s="20">
        <v>21.0</v>
      </c>
      <c r="D636" s="27"/>
    </row>
    <row r="637" hidden="1">
      <c r="A637" s="26">
        <v>44479.68453732639</v>
      </c>
      <c r="B637" s="20" t="s">
        <v>242</v>
      </c>
      <c r="C637" s="20" t="s">
        <v>984</v>
      </c>
      <c r="D637" s="27"/>
    </row>
    <row r="638" hidden="1">
      <c r="A638" s="26">
        <v>44479.686489976855</v>
      </c>
      <c r="B638" s="20" t="s">
        <v>144</v>
      </c>
      <c r="C638" s="20">
        <v>20.0</v>
      </c>
      <c r="D638" s="27"/>
    </row>
    <row r="639" hidden="1">
      <c r="A639" s="26">
        <v>44479.69454115741</v>
      </c>
      <c r="B639" s="20" t="s">
        <v>193</v>
      </c>
      <c r="C639" s="20" t="s">
        <v>985</v>
      </c>
      <c r="D639" s="27"/>
    </row>
    <row r="640" hidden="1">
      <c r="A640" s="26">
        <v>44479.69517719907</v>
      </c>
      <c r="B640" s="20" t="s">
        <v>203</v>
      </c>
      <c r="C640" s="20" t="s">
        <v>986</v>
      </c>
      <c r="D640" s="27"/>
    </row>
    <row r="641" hidden="1">
      <c r="A641" s="26">
        <v>44479.69639210648</v>
      </c>
      <c r="B641" s="20" t="s">
        <v>203</v>
      </c>
      <c r="C641" s="20" t="s">
        <v>987</v>
      </c>
      <c r="D641" s="27"/>
    </row>
    <row r="642" hidden="1">
      <c r="A642" s="26">
        <v>44479.6979234375</v>
      </c>
      <c r="B642" s="20" t="s">
        <v>191</v>
      </c>
      <c r="C642" s="20">
        <v>35.0</v>
      </c>
      <c r="D642" s="27"/>
    </row>
    <row r="643" hidden="1">
      <c r="A643" s="26">
        <v>44479.69904511574</v>
      </c>
      <c r="B643" s="20" t="s">
        <v>193</v>
      </c>
      <c r="C643" s="20" t="s">
        <v>988</v>
      </c>
      <c r="D643" s="27"/>
    </row>
    <row r="644" hidden="1">
      <c r="A644" s="26">
        <v>44479.86960813658</v>
      </c>
      <c r="B644" s="20" t="s">
        <v>989</v>
      </c>
      <c r="C644" s="20">
        <v>88.0</v>
      </c>
      <c r="D644" s="27"/>
    </row>
    <row r="645" hidden="1">
      <c r="A645" s="26">
        <v>44481.71309791667</v>
      </c>
      <c r="B645" s="20" t="s">
        <v>870</v>
      </c>
      <c r="C645" s="20">
        <v>22.0</v>
      </c>
      <c r="D645" s="27"/>
    </row>
    <row r="646" hidden="1">
      <c r="A646" s="26">
        <v>44481.71349594908</v>
      </c>
      <c r="B646" s="20" t="s">
        <v>214</v>
      </c>
      <c r="C646" s="20">
        <v>19.0</v>
      </c>
      <c r="D646" s="27"/>
    </row>
    <row r="647" hidden="1">
      <c r="A647" s="26">
        <v>44481.71451200232</v>
      </c>
      <c r="B647" s="20" t="s">
        <v>990</v>
      </c>
      <c r="C647" s="20">
        <v>31.0</v>
      </c>
      <c r="D647" s="27"/>
    </row>
    <row r="648" hidden="1">
      <c r="A648" s="26">
        <v>44481.71486601852</v>
      </c>
      <c r="B648" s="20" t="s">
        <v>991</v>
      </c>
      <c r="C648" s="20">
        <v>23.0</v>
      </c>
      <c r="D648" s="27"/>
    </row>
    <row r="649" hidden="1">
      <c r="A649" s="26">
        <v>44481.71514608796</v>
      </c>
      <c r="B649" s="20" t="s">
        <v>809</v>
      </c>
      <c r="C649" s="20">
        <v>30.0</v>
      </c>
      <c r="D649" s="27"/>
    </row>
    <row r="650" hidden="1">
      <c r="A650" s="26">
        <v>44481.715530497684</v>
      </c>
      <c r="B650" s="20" t="s">
        <v>992</v>
      </c>
      <c r="C650" s="20">
        <v>28.0</v>
      </c>
      <c r="D650" s="27"/>
    </row>
    <row r="651" hidden="1">
      <c r="A651" s="26">
        <v>44481.715724884256</v>
      </c>
      <c r="B651" s="20" t="s">
        <v>993</v>
      </c>
      <c r="C651" s="20">
        <v>30.0</v>
      </c>
      <c r="D651" s="27"/>
    </row>
    <row r="652" hidden="1">
      <c r="A652" s="26">
        <v>44481.716145185186</v>
      </c>
      <c r="B652" s="20" t="s">
        <v>994</v>
      </c>
      <c r="C652" s="20">
        <v>13.0</v>
      </c>
      <c r="D652" s="27"/>
    </row>
    <row r="653" hidden="1">
      <c r="A653" s="26">
        <v>44481.71631314815</v>
      </c>
      <c r="B653" s="20" t="s">
        <v>995</v>
      </c>
      <c r="C653" s="20">
        <v>6.0</v>
      </c>
      <c r="D653" s="27"/>
    </row>
    <row r="654" hidden="1">
      <c r="A654" s="26">
        <v>44481.71862584491</v>
      </c>
      <c r="B654" s="20" t="s">
        <v>996</v>
      </c>
      <c r="C654" s="20">
        <v>23.0</v>
      </c>
      <c r="D654" s="27"/>
    </row>
    <row r="655" hidden="1">
      <c r="A655" s="26">
        <v>44481.721400625</v>
      </c>
      <c r="B655" s="20" t="s">
        <v>945</v>
      </c>
      <c r="C655" s="20">
        <v>10.0</v>
      </c>
      <c r="D655" s="27"/>
    </row>
    <row r="656" hidden="1">
      <c r="A656" s="26">
        <v>44481.72808929398</v>
      </c>
      <c r="B656" s="20" t="s">
        <v>193</v>
      </c>
      <c r="C656" s="20">
        <v>18.0</v>
      </c>
      <c r="D656" s="27"/>
    </row>
    <row r="657" hidden="1">
      <c r="A657" s="26">
        <v>44481.72821241898</v>
      </c>
      <c r="B657" s="20" t="s">
        <v>193</v>
      </c>
      <c r="C657" s="20" t="s">
        <v>997</v>
      </c>
      <c r="D657" s="27"/>
    </row>
    <row r="658" hidden="1">
      <c r="A658" s="26">
        <v>44482.71984440972</v>
      </c>
      <c r="B658" s="20" t="s">
        <v>886</v>
      </c>
      <c r="C658" s="20">
        <v>4.0</v>
      </c>
      <c r="D658" s="27"/>
    </row>
    <row r="659" hidden="1">
      <c r="A659" s="26">
        <v>44482.72906440972</v>
      </c>
      <c r="B659" s="20" t="s">
        <v>904</v>
      </c>
      <c r="C659" s="20">
        <v>16.0</v>
      </c>
      <c r="D659" s="27"/>
    </row>
    <row r="660" hidden="1">
      <c r="A660" s="26">
        <v>44482.72978974537</v>
      </c>
      <c r="B660" s="20" t="s">
        <v>927</v>
      </c>
      <c r="C660" s="20" t="s">
        <v>998</v>
      </c>
      <c r="D660" s="27"/>
    </row>
    <row r="661" hidden="1">
      <c r="A661" s="26">
        <v>44482.7900490625</v>
      </c>
      <c r="B661" s="20" t="s">
        <v>177</v>
      </c>
      <c r="C661" s="20">
        <v>2.0</v>
      </c>
      <c r="D661" s="27"/>
    </row>
    <row r="662" hidden="1">
      <c r="A662" s="26">
        <v>44482.795152210645</v>
      </c>
      <c r="B662" s="20" t="s">
        <v>235</v>
      </c>
    </row>
    <row r="663" hidden="1">
      <c r="A663" s="26">
        <v>44482.85172568287</v>
      </c>
      <c r="B663" s="20" t="s">
        <v>888</v>
      </c>
      <c r="C663" s="20">
        <v>19.89</v>
      </c>
      <c r="D663" s="27"/>
    </row>
    <row r="664" hidden="1">
      <c r="A664" s="26">
        <v>44482.855793043986</v>
      </c>
      <c r="B664" s="20" t="s">
        <v>983</v>
      </c>
      <c r="C664" s="20" t="s">
        <v>999</v>
      </c>
      <c r="D664" s="27"/>
    </row>
    <row r="665" hidden="1">
      <c r="A665" s="26">
        <v>44482.85603614584</v>
      </c>
      <c r="B665" s="20" t="s">
        <v>818</v>
      </c>
      <c r="C665" s="20" t="s">
        <v>1000</v>
      </c>
      <c r="D665" s="27"/>
    </row>
    <row r="666" hidden="1">
      <c r="A666" s="26">
        <v>44482.85783451389</v>
      </c>
      <c r="B666" s="20" t="s">
        <v>787</v>
      </c>
      <c r="C666" s="20">
        <v>19.0</v>
      </c>
      <c r="D666" s="27"/>
    </row>
    <row r="667" hidden="1">
      <c r="A667" s="26">
        <v>44482.85835155092</v>
      </c>
      <c r="B667" s="20" t="s">
        <v>786</v>
      </c>
      <c r="C667" s="20">
        <v>20.0</v>
      </c>
      <c r="D667" s="27"/>
    </row>
    <row r="668" hidden="1">
      <c r="A668" s="26">
        <v>44482.85880614583</v>
      </c>
      <c r="B668" s="20" t="s">
        <v>842</v>
      </c>
      <c r="C668" s="20">
        <v>18.0</v>
      </c>
      <c r="D668" s="27"/>
    </row>
    <row r="669" hidden="1">
      <c r="A669" s="26">
        <v>44482.86037701389</v>
      </c>
      <c r="B669" s="20" t="s">
        <v>800</v>
      </c>
      <c r="C669" s="20">
        <v>19.0</v>
      </c>
      <c r="D669" s="27"/>
    </row>
    <row r="670" hidden="1">
      <c r="A670" s="26">
        <v>44482.86046037037</v>
      </c>
      <c r="B670" s="20" t="s">
        <v>599</v>
      </c>
      <c r="C670" s="20">
        <v>20.0</v>
      </c>
      <c r="D670" s="27"/>
    </row>
    <row r="671" hidden="1">
      <c r="A671" s="26">
        <v>44482.863318159725</v>
      </c>
      <c r="B671" s="20" t="s">
        <v>760</v>
      </c>
      <c r="C671" s="20">
        <v>16.0</v>
      </c>
      <c r="D671" s="27"/>
    </row>
    <row r="672" hidden="1">
      <c r="A672" s="26">
        <v>44483.70769094907</v>
      </c>
      <c r="B672" s="20" t="s">
        <v>870</v>
      </c>
      <c r="C672" s="20">
        <v>21.0</v>
      </c>
      <c r="D672" s="27"/>
    </row>
    <row r="673" hidden="1">
      <c r="A673" s="26">
        <v>44483.739668368056</v>
      </c>
      <c r="B673" s="20" t="s">
        <v>1001</v>
      </c>
      <c r="C673" s="20">
        <v>36.0</v>
      </c>
      <c r="D673" s="27"/>
    </row>
    <row r="674" hidden="1">
      <c r="A674" s="26">
        <v>44483.880813055555</v>
      </c>
      <c r="B674" s="20" t="s">
        <v>896</v>
      </c>
      <c r="C674" s="20">
        <v>18.0</v>
      </c>
      <c r="D674" s="27"/>
    </row>
    <row r="675" hidden="1">
      <c r="A675" s="26">
        <v>44483.88330785879</v>
      </c>
      <c r="B675" s="20" t="s">
        <v>437</v>
      </c>
      <c r="C675" s="20">
        <v>20.0</v>
      </c>
      <c r="D675" s="27"/>
    </row>
    <row r="676" hidden="1">
      <c r="A676" s="26">
        <v>44483.88331832176</v>
      </c>
      <c r="B676" s="20" t="s">
        <v>820</v>
      </c>
      <c r="C676" s="20" t="s">
        <v>1002</v>
      </c>
      <c r="D676" s="27"/>
    </row>
    <row r="677" hidden="1">
      <c r="A677" s="26">
        <v>44483.88804150463</v>
      </c>
      <c r="B677" s="20" t="s">
        <v>167</v>
      </c>
      <c r="C677" s="20">
        <v>26.0</v>
      </c>
      <c r="D677" s="27"/>
    </row>
    <row r="678" hidden="1">
      <c r="A678" s="26">
        <v>44483.889814849535</v>
      </c>
      <c r="B678" s="20" t="s">
        <v>1003</v>
      </c>
      <c r="C678" s="20">
        <v>21.0</v>
      </c>
      <c r="D678" s="27"/>
    </row>
    <row r="679" hidden="1">
      <c r="A679" s="26">
        <v>44483.89233099537</v>
      </c>
      <c r="B679" s="20" t="s">
        <v>235</v>
      </c>
      <c r="C679" s="20" t="s">
        <v>1004</v>
      </c>
      <c r="D679" s="27"/>
    </row>
    <row r="680" hidden="1">
      <c r="A680" s="26">
        <v>44483.89445799768</v>
      </c>
      <c r="B680" s="20" t="s">
        <v>242</v>
      </c>
      <c r="C680" s="20">
        <v>4.1</v>
      </c>
      <c r="D680" s="27"/>
    </row>
    <row r="681" hidden="1">
      <c r="A681" s="26">
        <v>44483.894807986115</v>
      </c>
      <c r="B681" s="20" t="s">
        <v>975</v>
      </c>
      <c r="C681" s="20">
        <v>20.0</v>
      </c>
      <c r="D681" s="27"/>
    </row>
    <row r="682" hidden="1">
      <c r="A682" s="26">
        <v>44484.69887327546</v>
      </c>
      <c r="B682" s="20" t="s">
        <v>929</v>
      </c>
      <c r="C682" s="20">
        <v>19.0</v>
      </c>
      <c r="D682" s="27"/>
    </row>
    <row r="683" hidden="1">
      <c r="A683" s="26">
        <v>44484.70606780093</v>
      </c>
      <c r="B683" s="20" t="s">
        <v>1005</v>
      </c>
      <c r="C683" s="20">
        <v>7.0</v>
      </c>
      <c r="D683" s="27"/>
    </row>
    <row r="684" hidden="1">
      <c r="A684" s="26">
        <v>44484.70767883102</v>
      </c>
      <c r="B684" s="20" t="s">
        <v>1006</v>
      </c>
      <c r="C684" s="20">
        <v>12.0</v>
      </c>
      <c r="D684" s="27"/>
    </row>
    <row r="685" hidden="1">
      <c r="A685" s="26">
        <v>44484.71512961805</v>
      </c>
      <c r="B685" s="20" t="s">
        <v>233</v>
      </c>
      <c r="C685" s="20">
        <v>3.0</v>
      </c>
      <c r="D685" s="27"/>
    </row>
    <row r="686" hidden="1">
      <c r="A686" s="26">
        <v>44485.73570575232</v>
      </c>
      <c r="B686" s="20" t="s">
        <v>91</v>
      </c>
      <c r="C686" s="20">
        <v>7.0</v>
      </c>
      <c r="D686" s="27"/>
    </row>
    <row r="687" hidden="1">
      <c r="A687" s="26">
        <v>44485.73724657408</v>
      </c>
      <c r="B687" s="20" t="s">
        <v>300</v>
      </c>
      <c r="C687" s="20" t="s">
        <v>950</v>
      </c>
      <c r="D687" s="27"/>
    </row>
    <row r="688" hidden="1">
      <c r="A688" s="26">
        <v>44485.74157023148</v>
      </c>
      <c r="B688" s="20" t="s">
        <v>1007</v>
      </c>
      <c r="C688" s="20">
        <v>20.0</v>
      </c>
      <c r="D688" s="27"/>
    </row>
    <row r="689" hidden="1">
      <c r="A689" s="26">
        <v>44485.74210282408</v>
      </c>
      <c r="B689" s="20" t="s">
        <v>971</v>
      </c>
      <c r="C689" s="20">
        <v>20.0</v>
      </c>
      <c r="D689" s="27"/>
    </row>
    <row r="690" hidden="1">
      <c r="A690" s="26">
        <v>44485.74307681713</v>
      </c>
      <c r="B690" s="20" t="s">
        <v>975</v>
      </c>
      <c r="C690" s="20">
        <v>21.0</v>
      </c>
      <c r="D690" s="27"/>
    </row>
    <row r="691" hidden="1">
      <c r="A691" s="26">
        <v>44485.74543782407</v>
      </c>
      <c r="B691" s="20" t="s">
        <v>178</v>
      </c>
      <c r="C691" s="20">
        <v>14.0</v>
      </c>
      <c r="D691" s="27"/>
    </row>
    <row r="692" hidden="1">
      <c r="A692" s="26">
        <v>44486.68382686343</v>
      </c>
      <c r="B692" s="20" t="s">
        <v>982</v>
      </c>
      <c r="C692" s="20">
        <v>18.1</v>
      </c>
      <c r="D692" s="27"/>
    </row>
    <row r="693" hidden="1">
      <c r="A693" s="26">
        <v>44486.687301921294</v>
      </c>
      <c r="B693" s="20" t="s">
        <v>79</v>
      </c>
      <c r="C693" s="20">
        <v>18.1</v>
      </c>
      <c r="D693" s="27"/>
    </row>
    <row r="694" hidden="1">
      <c r="A694" s="26">
        <v>44488.70646243056</v>
      </c>
      <c r="B694" s="20" t="s">
        <v>1008</v>
      </c>
      <c r="C694" s="20" t="s">
        <v>1009</v>
      </c>
      <c r="D694" s="27"/>
    </row>
    <row r="695" hidden="1">
      <c r="A695" s="26">
        <v>44488.71576738426</v>
      </c>
      <c r="B695" s="20" t="s">
        <v>995</v>
      </c>
      <c r="C695" s="20">
        <v>19.0</v>
      </c>
      <c r="D695" s="27"/>
    </row>
    <row r="696" hidden="1">
      <c r="A696" s="26">
        <v>44488.71625429398</v>
      </c>
      <c r="B696" s="20" t="s">
        <v>995</v>
      </c>
      <c r="C696" s="20">
        <v>11.0</v>
      </c>
      <c r="D696" s="27"/>
    </row>
    <row r="697" hidden="1">
      <c r="A697" s="26">
        <v>44488.71939712963</v>
      </c>
      <c r="B697" s="20" t="s">
        <v>1010</v>
      </c>
      <c r="C697" s="20">
        <v>54.0</v>
      </c>
      <c r="D697" s="27"/>
    </row>
    <row r="698" hidden="1">
      <c r="A698" s="26">
        <v>44488.72031943287</v>
      </c>
      <c r="B698" s="20" t="s">
        <v>163</v>
      </c>
      <c r="C698" s="20">
        <v>9.0</v>
      </c>
      <c r="D698" s="27"/>
    </row>
    <row r="699" hidden="1">
      <c r="A699" s="26">
        <v>44488.722067152776</v>
      </c>
      <c r="B699" s="20" t="s">
        <v>870</v>
      </c>
      <c r="C699" s="20">
        <v>23.0</v>
      </c>
      <c r="D699" s="27"/>
    </row>
    <row r="700" hidden="1">
      <c r="A700" s="26">
        <v>44488.7264008912</v>
      </c>
      <c r="B700" s="20" t="s">
        <v>235</v>
      </c>
      <c r="C700" s="20">
        <v>142.0</v>
      </c>
      <c r="D700" s="27"/>
    </row>
    <row r="701" hidden="1">
      <c r="A701" s="26">
        <v>44488.74853829861</v>
      </c>
      <c r="B701" s="20" t="s">
        <v>193</v>
      </c>
      <c r="C701" s="20">
        <v>18.0</v>
      </c>
      <c r="D701" s="27"/>
    </row>
    <row r="702" hidden="1">
      <c r="A702" s="26">
        <v>44489.74189659722</v>
      </c>
      <c r="B702" s="20" t="s">
        <v>1011</v>
      </c>
      <c r="C702" s="20" t="s">
        <v>1012</v>
      </c>
      <c r="D702" s="27"/>
    </row>
    <row r="703" hidden="1">
      <c r="A703" s="26">
        <v>44489.74858863426</v>
      </c>
      <c r="B703" s="20" t="s">
        <v>242</v>
      </c>
      <c r="C703" s="20" t="s">
        <v>1013</v>
      </c>
      <c r="D703" s="27"/>
    </row>
    <row r="704" hidden="1">
      <c r="A704" s="26">
        <v>44489.76701640047</v>
      </c>
      <c r="B704" s="20" t="s">
        <v>236</v>
      </c>
      <c r="C704" s="20">
        <v>12.0</v>
      </c>
      <c r="D704" s="27"/>
    </row>
    <row r="705" hidden="1">
      <c r="A705" s="26">
        <v>44489.76834076389</v>
      </c>
      <c r="B705" s="20" t="s">
        <v>235</v>
      </c>
      <c r="C705" s="20">
        <v>7.0</v>
      </c>
      <c r="D705" s="27"/>
    </row>
    <row r="706" hidden="1">
      <c r="A706" s="26">
        <v>44489.88440715278</v>
      </c>
      <c r="B706" s="20" t="s">
        <v>821</v>
      </c>
      <c r="C706" s="20" t="s">
        <v>1014</v>
      </c>
      <c r="D706" s="27"/>
    </row>
    <row r="707" hidden="1">
      <c r="A707" s="26">
        <v>44489.88596753472</v>
      </c>
      <c r="B707" s="20" t="s">
        <v>800</v>
      </c>
      <c r="C707" s="20">
        <v>19.0</v>
      </c>
      <c r="D707" s="27"/>
    </row>
    <row r="708" hidden="1">
      <c r="A708" s="26">
        <v>44489.886354120375</v>
      </c>
      <c r="B708" s="20" t="s">
        <v>437</v>
      </c>
      <c r="C708" s="20">
        <v>20.0</v>
      </c>
      <c r="D708" s="27"/>
    </row>
    <row r="709" hidden="1">
      <c r="A709" s="26">
        <v>44489.889607812496</v>
      </c>
      <c r="B709" s="20" t="s">
        <v>786</v>
      </c>
      <c r="C709" s="20">
        <v>15.0</v>
      </c>
      <c r="D709" s="27"/>
    </row>
    <row r="710" hidden="1">
      <c r="A710" s="26">
        <v>44489.89115119213</v>
      </c>
      <c r="B710" s="20" t="s">
        <v>971</v>
      </c>
      <c r="C710" s="20">
        <v>19.0</v>
      </c>
      <c r="D710" s="27"/>
    </row>
    <row r="711" hidden="1">
      <c r="A711" s="26">
        <v>44489.89572908565</v>
      </c>
      <c r="B711" s="20" t="s">
        <v>842</v>
      </c>
      <c r="C711" s="20">
        <v>20.0</v>
      </c>
      <c r="D711" s="27"/>
    </row>
    <row r="712" hidden="1">
      <c r="A712" s="26">
        <v>44489.89709745371</v>
      </c>
      <c r="B712" s="20" t="s">
        <v>975</v>
      </c>
      <c r="C712" s="20">
        <v>21.0</v>
      </c>
      <c r="D712" s="27"/>
    </row>
    <row r="713" hidden="1">
      <c r="A713" s="26">
        <v>44489.89868729167</v>
      </c>
      <c r="B713" s="20" t="s">
        <v>760</v>
      </c>
      <c r="C713" s="20">
        <v>20.0</v>
      </c>
      <c r="D713" s="27"/>
    </row>
    <row r="714" hidden="1">
      <c r="A714" s="26">
        <v>44489.90540265046</v>
      </c>
      <c r="B714" s="20" t="s">
        <v>193</v>
      </c>
      <c r="C714" s="20">
        <v>21.0</v>
      </c>
      <c r="D714" s="27"/>
    </row>
    <row r="715" hidden="1">
      <c r="A715" s="26">
        <v>44489.905600451384</v>
      </c>
      <c r="B715" s="20" t="s">
        <v>193</v>
      </c>
      <c r="C715" s="20" t="s">
        <v>1015</v>
      </c>
      <c r="D715" s="27"/>
    </row>
    <row r="716" hidden="1">
      <c r="A716" s="26">
        <v>44490.710351064816</v>
      </c>
      <c r="B716" s="20" t="s">
        <v>809</v>
      </c>
      <c r="C716" s="20" t="s">
        <v>1016</v>
      </c>
      <c r="D716" s="27"/>
    </row>
    <row r="717" hidden="1">
      <c r="A717" s="26">
        <v>44490.71076425926</v>
      </c>
      <c r="B717" s="20" t="s">
        <v>809</v>
      </c>
      <c r="C717" s="20">
        <v>31.0</v>
      </c>
      <c r="D717" s="27"/>
    </row>
    <row r="718" hidden="1">
      <c r="A718" s="26">
        <v>44490.71127775463</v>
      </c>
      <c r="B718" s="20" t="s">
        <v>163</v>
      </c>
      <c r="C718" s="20" t="s">
        <v>1017</v>
      </c>
      <c r="D718" s="27"/>
    </row>
    <row r="719" hidden="1">
      <c r="A719" s="26">
        <v>44490.71149583333</v>
      </c>
      <c r="B719" s="20" t="s">
        <v>163</v>
      </c>
      <c r="C719" s="20" t="s">
        <v>1018</v>
      </c>
      <c r="D719" s="27"/>
    </row>
    <row r="720" hidden="1">
      <c r="A720" s="26">
        <v>44490.71178481482</v>
      </c>
      <c r="B720" s="20" t="s">
        <v>327</v>
      </c>
      <c r="C720" s="20">
        <v>14.0</v>
      </c>
      <c r="D720" s="27"/>
    </row>
    <row r="721" hidden="1">
      <c r="A721" s="26">
        <v>44490.713065324075</v>
      </c>
      <c r="B721" s="20" t="s">
        <v>809</v>
      </c>
      <c r="C721" s="20" t="s">
        <v>1019</v>
      </c>
      <c r="D721" s="27"/>
    </row>
    <row r="722" hidden="1">
      <c r="A722" s="26">
        <v>44490.71433783565</v>
      </c>
      <c r="B722" s="20" t="s">
        <v>1020</v>
      </c>
      <c r="C722" s="20" t="s">
        <v>1021</v>
      </c>
      <c r="D722" s="27"/>
    </row>
    <row r="723" hidden="1">
      <c r="A723" s="26">
        <v>44490.715058946764</v>
      </c>
      <c r="B723" s="20" t="s">
        <v>1020</v>
      </c>
      <c r="C723" s="20" t="s">
        <v>1022</v>
      </c>
      <c r="D723" s="27"/>
    </row>
    <row r="724" hidden="1">
      <c r="A724" s="26">
        <v>44490.71533443287</v>
      </c>
      <c r="B724" s="20" t="s">
        <v>1020</v>
      </c>
      <c r="C724" s="20" t="s">
        <v>1023</v>
      </c>
      <c r="D724" s="27"/>
    </row>
    <row r="725" hidden="1">
      <c r="A725" s="26">
        <v>44490.73902605324</v>
      </c>
      <c r="B725" s="20" t="s">
        <v>203</v>
      </c>
      <c r="C725" s="20" t="s">
        <v>1024</v>
      </c>
      <c r="D725" s="27"/>
    </row>
    <row r="726" hidden="1">
      <c r="A726" s="26">
        <v>44490.73922300926</v>
      </c>
      <c r="B726" s="20" t="s">
        <v>203</v>
      </c>
      <c r="C726" s="20" t="s">
        <v>1025</v>
      </c>
      <c r="D726" s="27"/>
    </row>
    <row r="727" hidden="1">
      <c r="A727" s="26">
        <v>44490.883954375</v>
      </c>
      <c r="B727" s="20" t="s">
        <v>820</v>
      </c>
      <c r="C727" s="20" t="s">
        <v>1026</v>
      </c>
      <c r="D727" s="27"/>
    </row>
    <row r="728" hidden="1">
      <c r="A728" s="26">
        <v>44490.88476609954</v>
      </c>
      <c r="B728" s="20" t="s">
        <v>167</v>
      </c>
      <c r="C728" s="20">
        <v>19.0</v>
      </c>
      <c r="D728" s="27"/>
    </row>
    <row r="729" hidden="1">
      <c r="A729" s="26">
        <v>44490.88751739584</v>
      </c>
      <c r="B729" s="20" t="s">
        <v>437</v>
      </c>
      <c r="C729" s="20">
        <v>20.0</v>
      </c>
      <c r="D729" s="27"/>
    </row>
    <row r="730" hidden="1">
      <c r="A730" s="26">
        <v>44491.68062170139</v>
      </c>
      <c r="B730" s="20" t="s">
        <v>203</v>
      </c>
      <c r="C730" s="20" t="s">
        <v>1027</v>
      </c>
      <c r="D730" s="27"/>
    </row>
    <row r="731" hidden="1">
      <c r="A731" s="26">
        <v>44491.69215091435</v>
      </c>
      <c r="B731" s="20" t="s">
        <v>929</v>
      </c>
      <c r="C731" s="20" t="s">
        <v>1028</v>
      </c>
      <c r="D731" s="27"/>
    </row>
    <row r="732" hidden="1">
      <c r="A732" s="26">
        <v>44491.70154085648</v>
      </c>
      <c r="B732" s="20" t="s">
        <v>260</v>
      </c>
      <c r="C732" s="20">
        <v>20.0</v>
      </c>
      <c r="D732" s="27"/>
    </row>
    <row r="733" hidden="1">
      <c r="A733" s="26">
        <v>44491.701962245366</v>
      </c>
      <c r="B733" s="20" t="s">
        <v>344</v>
      </c>
      <c r="C733" s="20" t="s">
        <v>1029</v>
      </c>
      <c r="D733" s="27"/>
    </row>
    <row r="734" hidden="1">
      <c r="A734" s="26">
        <v>44491.702456377316</v>
      </c>
      <c r="B734" s="20" t="s">
        <v>344</v>
      </c>
      <c r="C734" s="20">
        <v>17.0</v>
      </c>
      <c r="D734" s="27"/>
    </row>
    <row r="735" hidden="1">
      <c r="A735" s="26">
        <v>44491.7134302662</v>
      </c>
      <c r="B735" s="20" t="s">
        <v>193</v>
      </c>
      <c r="C735" s="20">
        <v>16.0</v>
      </c>
      <c r="D735" s="27"/>
    </row>
    <row r="736" hidden="1">
      <c r="A736" s="26">
        <v>44491.714143888894</v>
      </c>
      <c r="B736" s="20" t="s">
        <v>193</v>
      </c>
      <c r="C736" s="20" t="s">
        <v>1030</v>
      </c>
      <c r="D736" s="27"/>
    </row>
    <row r="737" hidden="1">
      <c r="A737" s="26">
        <v>44492.79099883102</v>
      </c>
      <c r="B737" s="20" t="s">
        <v>178</v>
      </c>
      <c r="C737" s="20">
        <v>11.0</v>
      </c>
      <c r="D737" s="27"/>
    </row>
    <row r="738" hidden="1">
      <c r="A738" s="26">
        <v>44492.79166984954</v>
      </c>
      <c r="B738" s="20" t="s">
        <v>971</v>
      </c>
      <c r="C738" s="20">
        <v>40.0</v>
      </c>
      <c r="D738" s="27"/>
    </row>
    <row r="739" hidden="1">
      <c r="A739" s="26">
        <v>44492.79392842593</v>
      </c>
      <c r="B739" s="20" t="s">
        <v>975</v>
      </c>
      <c r="C739" s="20">
        <v>41.0</v>
      </c>
      <c r="D739" s="27"/>
    </row>
    <row r="740" hidden="1">
      <c r="A740" s="26">
        <v>44493.67193167824</v>
      </c>
      <c r="B740" s="20" t="s">
        <v>909</v>
      </c>
      <c r="C740" s="20">
        <v>17.0</v>
      </c>
      <c r="D740" s="27"/>
    </row>
    <row r="741" hidden="1">
      <c r="A741" s="26">
        <v>44493.67788618055</v>
      </c>
      <c r="B741" s="20" t="s">
        <v>1031</v>
      </c>
      <c r="C741" s="20">
        <v>11.0</v>
      </c>
      <c r="D741" s="27"/>
    </row>
    <row r="742" hidden="1">
      <c r="A742" s="26">
        <v>44493.678513101855</v>
      </c>
      <c r="B742" s="20" t="s">
        <v>982</v>
      </c>
      <c r="C742" s="20">
        <v>10.4</v>
      </c>
      <c r="D742" s="27"/>
    </row>
    <row r="743" hidden="1">
      <c r="A743" s="26">
        <v>44493.67871658565</v>
      </c>
      <c r="B743" s="20" t="s">
        <v>144</v>
      </c>
      <c r="C743" s="20">
        <v>8.1</v>
      </c>
      <c r="D743" s="27"/>
    </row>
    <row r="744" hidden="1">
      <c r="A744" s="26">
        <v>44493.726286273144</v>
      </c>
      <c r="B744" s="20" t="s">
        <v>191</v>
      </c>
      <c r="C744" s="20">
        <v>16.0</v>
      </c>
      <c r="D744" s="27"/>
    </row>
    <row r="745" hidden="1">
      <c r="A745" s="26">
        <v>44493.7278059838</v>
      </c>
      <c r="B745" s="20" t="s">
        <v>191</v>
      </c>
      <c r="C745" s="20" t="s">
        <v>1032</v>
      </c>
      <c r="D745" s="27"/>
    </row>
    <row r="746" hidden="1">
      <c r="A746" s="26">
        <v>44493.728324490745</v>
      </c>
      <c r="B746" s="20" t="s">
        <v>203</v>
      </c>
      <c r="C746" s="20">
        <v>11.0</v>
      </c>
      <c r="D746" s="27"/>
    </row>
    <row r="747" hidden="1">
      <c r="A747" s="26">
        <v>44493.72899795139</v>
      </c>
      <c r="B747" s="20" t="s">
        <v>203</v>
      </c>
      <c r="C747" s="20" t="s">
        <v>1033</v>
      </c>
      <c r="D747" s="27"/>
    </row>
    <row r="748" hidden="1">
      <c r="A748" s="26">
        <v>44493.7674921412</v>
      </c>
      <c r="B748" s="20" t="s">
        <v>1034</v>
      </c>
      <c r="C748" s="20" t="s">
        <v>1035</v>
      </c>
      <c r="D748" s="27"/>
    </row>
    <row r="749" hidden="1">
      <c r="A749" s="26">
        <v>44493.85203537037</v>
      </c>
      <c r="B749" s="20" t="s">
        <v>1036</v>
      </c>
      <c r="C749" s="20">
        <v>190.0</v>
      </c>
      <c r="D749" s="27"/>
    </row>
    <row r="750" hidden="1">
      <c r="A750" s="26">
        <v>44495.702662094904</v>
      </c>
      <c r="B750" s="20" t="s">
        <v>922</v>
      </c>
      <c r="C750" s="20">
        <v>16.0</v>
      </c>
      <c r="D750" s="27"/>
    </row>
    <row r="751" hidden="1">
      <c r="A751" s="26">
        <v>44495.704686666664</v>
      </c>
      <c r="B751" s="20" t="s">
        <v>1037</v>
      </c>
      <c r="C751" s="20">
        <v>20.0</v>
      </c>
      <c r="D751" s="27"/>
    </row>
    <row r="752" hidden="1">
      <c r="A752" s="26">
        <v>44495.704961296295</v>
      </c>
      <c r="B752" s="20" t="s">
        <v>528</v>
      </c>
      <c r="C752" s="20">
        <v>11.8</v>
      </c>
      <c r="D752" s="27"/>
    </row>
    <row r="753" hidden="1">
      <c r="A753" s="26">
        <v>44495.70527553241</v>
      </c>
      <c r="B753" s="20" t="s">
        <v>1038</v>
      </c>
      <c r="C753" s="20">
        <v>9.0</v>
      </c>
      <c r="D753" s="27"/>
    </row>
    <row r="754" hidden="1">
      <c r="A754" s="26">
        <v>44495.705533518514</v>
      </c>
      <c r="B754" s="20" t="s">
        <v>1039</v>
      </c>
      <c r="C754" s="20">
        <v>19.5</v>
      </c>
      <c r="D754" s="27"/>
    </row>
    <row r="755" hidden="1">
      <c r="A755" s="26">
        <v>44495.7068315162</v>
      </c>
      <c r="B755" s="20" t="s">
        <v>956</v>
      </c>
      <c r="C755" s="20">
        <v>25.0</v>
      </c>
      <c r="D755" s="27"/>
    </row>
    <row r="756" hidden="1">
      <c r="A756" s="26">
        <v>44495.70783184028</v>
      </c>
      <c r="B756" s="20" t="s">
        <v>1040</v>
      </c>
      <c r="C756" s="20">
        <v>24.0</v>
      </c>
      <c r="D756" s="27"/>
    </row>
    <row r="757" hidden="1">
      <c r="A757" s="26">
        <v>44495.71079703704</v>
      </c>
      <c r="B757" s="20" t="s">
        <v>193</v>
      </c>
      <c r="C757" s="20" t="s">
        <v>953</v>
      </c>
      <c r="D757" s="27"/>
    </row>
    <row r="758" hidden="1">
      <c r="A758" s="26">
        <v>44495.710884942135</v>
      </c>
      <c r="B758" s="20" t="s">
        <v>1041</v>
      </c>
      <c r="C758" s="20">
        <v>66.0</v>
      </c>
      <c r="D758" s="27"/>
    </row>
    <row r="759" hidden="1">
      <c r="A759" s="26">
        <v>44495.71376108796</v>
      </c>
      <c r="B759" s="20" t="s">
        <v>1042</v>
      </c>
      <c r="C759" s="20">
        <v>29.0</v>
      </c>
      <c r="D759" s="27"/>
    </row>
    <row r="760" hidden="1">
      <c r="A760" s="26">
        <v>44495.716354675926</v>
      </c>
      <c r="B760" s="20" t="s">
        <v>191</v>
      </c>
      <c r="C760" s="20">
        <v>14.0</v>
      </c>
      <c r="D760" s="27"/>
    </row>
    <row r="761" hidden="1">
      <c r="A761" s="26">
        <v>44495.71794365741</v>
      </c>
      <c r="B761" s="20" t="s">
        <v>203</v>
      </c>
      <c r="C761" s="20" t="s">
        <v>1043</v>
      </c>
      <c r="D761" s="27"/>
    </row>
    <row r="762" hidden="1">
      <c r="A762" s="26">
        <v>44495.718013125</v>
      </c>
      <c r="B762" s="20" t="s">
        <v>163</v>
      </c>
      <c r="C762" s="20">
        <v>25.0</v>
      </c>
      <c r="D762" s="27"/>
    </row>
    <row r="763" hidden="1">
      <c r="A763" s="26">
        <v>44495.718293136575</v>
      </c>
      <c r="B763" s="20" t="s">
        <v>931</v>
      </c>
      <c r="C763" s="20">
        <v>66.0</v>
      </c>
      <c r="D763" s="27"/>
    </row>
    <row r="764" hidden="1">
      <c r="A764" s="26">
        <v>44496.76413648148</v>
      </c>
      <c r="B764" s="20" t="s">
        <v>177</v>
      </c>
      <c r="C764" s="20">
        <v>15.0</v>
      </c>
      <c r="D764" s="27"/>
    </row>
    <row r="765" hidden="1">
      <c r="A765" s="26">
        <v>44496.764574305555</v>
      </c>
      <c r="B765" s="20" t="s">
        <v>242</v>
      </c>
      <c r="C765" s="20">
        <v>9.0</v>
      </c>
      <c r="D765" s="27"/>
    </row>
    <row r="766" hidden="1">
      <c r="A766" s="26">
        <v>44496.89721549768</v>
      </c>
      <c r="B766" s="20" t="s">
        <v>821</v>
      </c>
      <c r="C766" s="20" t="s">
        <v>1044</v>
      </c>
      <c r="D766" s="27"/>
    </row>
    <row r="767" hidden="1">
      <c r="A767" s="26">
        <v>44496.900594861116</v>
      </c>
      <c r="B767" s="20" t="s">
        <v>787</v>
      </c>
      <c r="C767" s="20">
        <v>17.0</v>
      </c>
      <c r="D767" s="27"/>
    </row>
    <row r="768" hidden="1">
      <c r="A768" s="26">
        <v>44497.69245548611</v>
      </c>
      <c r="B768" s="20" t="s">
        <v>809</v>
      </c>
      <c r="C768" s="20" t="s">
        <v>1045</v>
      </c>
      <c r="D768" s="27"/>
    </row>
    <row r="769" hidden="1">
      <c r="A769" s="26">
        <v>44497.69276527778</v>
      </c>
      <c r="B769" s="20" t="s">
        <v>163</v>
      </c>
      <c r="C769" s="20" t="s">
        <v>1046</v>
      </c>
      <c r="D769" s="27"/>
    </row>
    <row r="770" hidden="1">
      <c r="A770" s="26">
        <v>44497.69279097222</v>
      </c>
      <c r="B770" s="20" t="s">
        <v>870</v>
      </c>
      <c r="C770" s="20">
        <v>11.0</v>
      </c>
      <c r="D770" s="27"/>
    </row>
    <row r="771" hidden="1">
      <c r="A771" s="26">
        <v>44497.693261875</v>
      </c>
      <c r="B771" s="20" t="s">
        <v>327</v>
      </c>
      <c r="C771" s="20" t="s">
        <v>1047</v>
      </c>
      <c r="D771" s="27"/>
    </row>
    <row r="772" hidden="1">
      <c r="A772" s="26">
        <v>44497.69525362269</v>
      </c>
      <c r="B772" s="20" t="s">
        <v>1048</v>
      </c>
      <c r="C772" s="20" t="s">
        <v>1049</v>
      </c>
      <c r="D772" s="27"/>
    </row>
    <row r="773" hidden="1">
      <c r="A773" s="26">
        <v>44497.696956099535</v>
      </c>
      <c r="B773" s="20" t="s">
        <v>1050</v>
      </c>
      <c r="C773" s="20" t="s">
        <v>1051</v>
      </c>
      <c r="D773" s="27"/>
    </row>
    <row r="774" hidden="1">
      <c r="A774" s="26">
        <v>44497.69991226852</v>
      </c>
      <c r="B774" s="20" t="s">
        <v>957</v>
      </c>
      <c r="C774" s="20">
        <v>21.0</v>
      </c>
      <c r="D774" s="27"/>
    </row>
    <row r="775" hidden="1">
      <c r="A775" s="26">
        <v>44497.86957811343</v>
      </c>
      <c r="B775" s="20" t="s">
        <v>813</v>
      </c>
      <c r="C775" s="20">
        <v>7.0</v>
      </c>
      <c r="D775" s="27"/>
    </row>
    <row r="776" hidden="1">
      <c r="A776" s="26">
        <v>44497.87043761574</v>
      </c>
      <c r="B776" s="20" t="s">
        <v>1052</v>
      </c>
      <c r="C776" s="20" t="s">
        <v>1053</v>
      </c>
      <c r="D776" s="27"/>
    </row>
    <row r="777" hidden="1">
      <c r="A777" s="26">
        <v>44497.87072954861</v>
      </c>
      <c r="B777" s="20" t="s">
        <v>813</v>
      </c>
      <c r="C777" s="20">
        <v>2.0</v>
      </c>
      <c r="D777" s="27"/>
    </row>
    <row r="778" hidden="1">
      <c r="A778" s="26">
        <v>44497.872657361106</v>
      </c>
      <c r="B778" s="20" t="s">
        <v>437</v>
      </c>
      <c r="C778" s="20">
        <v>20.0</v>
      </c>
      <c r="D778" s="27"/>
    </row>
    <row r="779" hidden="1">
      <c r="A779" s="26">
        <v>44497.87546083333</v>
      </c>
      <c r="B779" s="20" t="s">
        <v>167</v>
      </c>
      <c r="C779" s="20">
        <v>18.0</v>
      </c>
      <c r="D779" s="27"/>
    </row>
    <row r="780" hidden="1">
      <c r="A780" s="26">
        <v>44498.568388263884</v>
      </c>
      <c r="B780" s="20" t="s">
        <v>177</v>
      </c>
      <c r="C780" s="20">
        <v>161.0</v>
      </c>
      <c r="D780" s="27"/>
    </row>
    <row r="781" hidden="1">
      <c r="A781" s="26">
        <v>44499.744038055556</v>
      </c>
      <c r="B781" s="20" t="s">
        <v>91</v>
      </c>
      <c r="C781" s="20">
        <v>4.0</v>
      </c>
      <c r="D781" s="27"/>
    </row>
    <row r="782" hidden="1">
      <c r="A782" s="26">
        <v>44499.75510259259</v>
      </c>
      <c r="B782" s="20" t="s">
        <v>178</v>
      </c>
      <c r="C782" s="20">
        <v>10.0</v>
      </c>
      <c r="D782" s="27"/>
    </row>
    <row r="783" hidden="1">
      <c r="A783" s="26">
        <v>44499.75609284722</v>
      </c>
      <c r="B783" s="20" t="s">
        <v>300</v>
      </c>
      <c r="C783" s="20" t="s">
        <v>1054</v>
      </c>
      <c r="D783" s="27"/>
    </row>
    <row r="784" hidden="1">
      <c r="A784" s="26">
        <v>44500.012249074076</v>
      </c>
      <c r="B784" s="20" t="s">
        <v>178</v>
      </c>
      <c r="C784" s="20">
        <v>10.0</v>
      </c>
      <c r="D784" s="27"/>
    </row>
    <row r="785" hidden="1">
      <c r="A785" s="26">
        <v>44500.37001640046</v>
      </c>
      <c r="B785" s="20" t="s">
        <v>178</v>
      </c>
      <c r="C785" s="20">
        <v>10.0</v>
      </c>
      <c r="D785" s="27"/>
    </row>
    <row r="786" hidden="1">
      <c r="A786" s="26">
        <v>44500.67309010417</v>
      </c>
      <c r="B786" s="20" t="s">
        <v>995</v>
      </c>
      <c r="C786" s="20">
        <v>10.5</v>
      </c>
      <c r="D786" s="27"/>
    </row>
    <row r="787" hidden="1">
      <c r="A787" s="26">
        <v>44500.67968674768</v>
      </c>
      <c r="B787" s="20" t="s">
        <v>799</v>
      </c>
      <c r="C787" s="20">
        <v>18.5</v>
      </c>
      <c r="D787" s="27"/>
    </row>
    <row r="788" hidden="1">
      <c r="A788" s="26">
        <v>44500.683524340275</v>
      </c>
      <c r="B788" s="20" t="s">
        <v>79</v>
      </c>
      <c r="C788" s="20">
        <v>9.3</v>
      </c>
      <c r="D788" s="27"/>
    </row>
    <row r="789" hidden="1">
      <c r="A789" s="26">
        <v>44500.68386068287</v>
      </c>
      <c r="B789" s="20" t="s">
        <v>982</v>
      </c>
      <c r="C789" s="20">
        <v>13.4</v>
      </c>
      <c r="D789" s="27"/>
    </row>
    <row r="790" hidden="1">
      <c r="A790" s="26">
        <v>44500.68609609954</v>
      </c>
      <c r="B790" s="20" t="s">
        <v>193</v>
      </c>
      <c r="C790" s="20">
        <v>20.0</v>
      </c>
      <c r="D790" s="27"/>
    </row>
    <row r="791" hidden="1">
      <c r="A791" s="26">
        <v>44500.686322905094</v>
      </c>
      <c r="B791" s="20" t="s">
        <v>193</v>
      </c>
      <c r="C791" s="20" t="s">
        <v>1055</v>
      </c>
      <c r="D791" s="27"/>
    </row>
    <row r="792" hidden="1">
      <c r="A792" s="26">
        <v>44500.68636649306</v>
      </c>
      <c r="B792" s="20" t="s">
        <v>203</v>
      </c>
      <c r="C792" s="20">
        <v>23.0</v>
      </c>
      <c r="D792" s="27"/>
    </row>
    <row r="793" hidden="1">
      <c r="A793" s="26">
        <v>44500.942464618056</v>
      </c>
      <c r="B793" s="20" t="s">
        <v>298</v>
      </c>
      <c r="C793" s="20">
        <v>117.0</v>
      </c>
      <c r="D793" s="27"/>
    </row>
    <row r="794" hidden="1">
      <c r="A794" s="26">
        <v>44502.54528652778</v>
      </c>
      <c r="B794" s="20" t="s">
        <v>67</v>
      </c>
      <c r="C794" s="20">
        <v>35.0</v>
      </c>
      <c r="D794" s="27"/>
    </row>
    <row r="795" hidden="1">
      <c r="A795" s="26">
        <v>44502.65708954861</v>
      </c>
      <c r="B795" s="20" t="s">
        <v>203</v>
      </c>
      <c r="C795" s="20" t="s">
        <v>1056</v>
      </c>
      <c r="D795" s="27"/>
    </row>
    <row r="796" hidden="1">
      <c r="A796" s="26">
        <v>44502.657196898144</v>
      </c>
      <c r="B796" s="20" t="s">
        <v>203</v>
      </c>
      <c r="C796" s="20">
        <v>12.0</v>
      </c>
      <c r="D796" s="27"/>
    </row>
    <row r="797" hidden="1">
      <c r="A797" s="26">
        <v>44502.65745525463</v>
      </c>
      <c r="B797" s="20" t="s">
        <v>203</v>
      </c>
      <c r="C797" s="20" t="s">
        <v>1057</v>
      </c>
      <c r="D797" s="27"/>
    </row>
    <row r="798" hidden="1">
      <c r="A798" s="26">
        <v>44502.65762193287</v>
      </c>
      <c r="B798" s="20" t="s">
        <v>203</v>
      </c>
      <c r="C798" s="20" t="s">
        <v>1058</v>
      </c>
      <c r="D798" s="27"/>
    </row>
    <row r="799" hidden="1">
      <c r="A799" s="26">
        <v>44502.708423495365</v>
      </c>
      <c r="B799" s="20" t="s">
        <v>528</v>
      </c>
      <c r="C799" s="20">
        <v>19.6</v>
      </c>
      <c r="D799" s="27"/>
    </row>
    <row r="800" hidden="1">
      <c r="A800" s="26">
        <v>44502.70846966435</v>
      </c>
      <c r="B800" s="20" t="s">
        <v>1059</v>
      </c>
      <c r="C800" s="20">
        <v>19.0</v>
      </c>
      <c r="D800" s="27"/>
    </row>
    <row r="801" hidden="1">
      <c r="A801" s="26">
        <v>44502.70913741898</v>
      </c>
      <c r="B801" s="20" t="s">
        <v>1060</v>
      </c>
      <c r="C801" s="20">
        <v>18.0</v>
      </c>
      <c r="D801" s="27"/>
    </row>
    <row r="802" hidden="1">
      <c r="A802" s="26">
        <v>44502.70933726852</v>
      </c>
      <c r="B802" s="20" t="s">
        <v>214</v>
      </c>
      <c r="C802" s="20">
        <v>18.0</v>
      </c>
      <c r="D802" s="27"/>
    </row>
    <row r="803" hidden="1">
      <c r="A803" s="26">
        <v>44502.715245983796</v>
      </c>
      <c r="B803" s="20" t="s">
        <v>1061</v>
      </c>
      <c r="C803" s="20">
        <v>16.0</v>
      </c>
      <c r="D803" s="27"/>
    </row>
    <row r="804" hidden="1">
      <c r="A804" s="26">
        <v>44502.71678069445</v>
      </c>
      <c r="B804" s="20" t="s">
        <v>163</v>
      </c>
      <c r="C804" s="20">
        <v>29.0</v>
      </c>
      <c r="D804" s="27"/>
    </row>
    <row r="805" hidden="1">
      <c r="A805" s="26">
        <v>44502.71716702546</v>
      </c>
      <c r="B805" s="20" t="s">
        <v>1062</v>
      </c>
      <c r="C805" s="20">
        <v>14.0</v>
      </c>
      <c r="D805" s="27"/>
    </row>
    <row r="806" hidden="1">
      <c r="A806" s="26">
        <v>44502.717553738425</v>
      </c>
      <c r="B806" s="20" t="s">
        <v>1063</v>
      </c>
      <c r="C806" s="20">
        <v>6.0</v>
      </c>
      <c r="D806" s="27"/>
    </row>
    <row r="807" hidden="1">
      <c r="A807" s="26">
        <v>44502.74218898149</v>
      </c>
      <c r="B807" s="20" t="s">
        <v>193</v>
      </c>
      <c r="C807" s="20">
        <v>16.0</v>
      </c>
      <c r="D807" s="27"/>
    </row>
    <row r="808" hidden="1">
      <c r="A808" s="26">
        <v>44503.726141238425</v>
      </c>
      <c r="B808" s="20" t="s">
        <v>349</v>
      </c>
      <c r="C808" s="20">
        <v>13.0</v>
      </c>
      <c r="D808" s="27"/>
    </row>
    <row r="809" hidden="1">
      <c r="A809" s="26">
        <v>44503.75648578704</v>
      </c>
      <c r="B809" s="20" t="s">
        <v>177</v>
      </c>
      <c r="C809" s="20">
        <v>20.0</v>
      </c>
      <c r="D809" s="27"/>
    </row>
    <row r="810" hidden="1">
      <c r="A810" s="26">
        <v>44503.7634271875</v>
      </c>
      <c r="B810" s="20" t="s">
        <v>1048</v>
      </c>
      <c r="C810" s="20">
        <v>21.0</v>
      </c>
      <c r="D810" s="27"/>
    </row>
    <row r="811" hidden="1">
      <c r="A811" s="26">
        <v>44503.776088391205</v>
      </c>
      <c r="B811" s="20" t="s">
        <v>242</v>
      </c>
      <c r="C811" s="20">
        <v>15.0</v>
      </c>
      <c r="D811" s="27"/>
    </row>
    <row r="812" hidden="1">
      <c r="A812" s="26">
        <v>44503.88497114583</v>
      </c>
      <c r="B812" s="20" t="s">
        <v>437</v>
      </c>
      <c r="C812" s="20">
        <v>20.0</v>
      </c>
      <c r="D812" s="27"/>
    </row>
    <row r="813" hidden="1">
      <c r="A813" s="26">
        <v>44503.88505753472</v>
      </c>
      <c r="B813" s="20" t="s">
        <v>896</v>
      </c>
      <c r="C813" s="20">
        <v>18.0</v>
      </c>
      <c r="D813" s="27"/>
    </row>
    <row r="814" hidden="1">
      <c r="A814" s="26">
        <v>44503.89220001157</v>
      </c>
      <c r="B814" s="20" t="s">
        <v>818</v>
      </c>
      <c r="C814" s="20" t="s">
        <v>1044</v>
      </c>
      <c r="D814" s="27"/>
    </row>
    <row r="815" hidden="1">
      <c r="A815" s="26">
        <v>44503.89751085648</v>
      </c>
      <c r="B815" s="20" t="s">
        <v>786</v>
      </c>
      <c r="C815" s="20">
        <v>21.0</v>
      </c>
      <c r="D815" s="27"/>
    </row>
    <row r="816" hidden="1">
      <c r="A816" s="26">
        <v>44503.90281986111</v>
      </c>
      <c r="B816" s="20" t="s">
        <v>1064</v>
      </c>
      <c r="C816" s="20">
        <v>20.0</v>
      </c>
      <c r="D816" s="27"/>
    </row>
    <row r="817" hidden="1">
      <c r="A817" s="26">
        <v>44503.905733217594</v>
      </c>
      <c r="B817" s="20" t="s">
        <v>242</v>
      </c>
      <c r="C817" s="20">
        <v>29.0</v>
      </c>
      <c r="D817" s="27"/>
    </row>
    <row r="818" hidden="1">
      <c r="A818" s="26">
        <v>44503.90584101852</v>
      </c>
      <c r="B818" s="20" t="s">
        <v>1065</v>
      </c>
      <c r="C818" s="20" t="s">
        <v>1066</v>
      </c>
      <c r="D818" s="27"/>
    </row>
    <row r="819" hidden="1">
      <c r="A819" s="26">
        <v>44503.90655824074</v>
      </c>
      <c r="B819" s="20" t="s">
        <v>1067</v>
      </c>
      <c r="C819" s="20" t="s">
        <v>1068</v>
      </c>
      <c r="D819" s="27"/>
    </row>
    <row r="820" hidden="1">
      <c r="A820" s="26">
        <v>44503.90676337963</v>
      </c>
      <c r="B820" s="20" t="s">
        <v>1069</v>
      </c>
      <c r="C820" s="20">
        <v>6.0</v>
      </c>
      <c r="D820" s="27"/>
    </row>
    <row r="821" hidden="1">
      <c r="A821" s="26">
        <v>44503.90696684028</v>
      </c>
      <c r="B821" s="20" t="s">
        <v>842</v>
      </c>
      <c r="C821" s="20">
        <v>20.0</v>
      </c>
      <c r="D821" s="27"/>
    </row>
    <row r="822" hidden="1">
      <c r="A822" s="26">
        <v>44504.68408229167</v>
      </c>
      <c r="B822" s="20" t="s">
        <v>203</v>
      </c>
      <c r="C822" s="20" t="s">
        <v>1070</v>
      </c>
      <c r="D822" s="27"/>
    </row>
    <row r="823" hidden="1">
      <c r="A823" s="26">
        <v>44504.684201875</v>
      </c>
      <c r="B823" s="20" t="s">
        <v>203</v>
      </c>
      <c r="C823" s="20">
        <v>5.0</v>
      </c>
      <c r="D823" s="27"/>
    </row>
    <row r="824" hidden="1">
      <c r="A824" s="26">
        <v>44504.693667071755</v>
      </c>
      <c r="B824" s="20" t="s">
        <v>327</v>
      </c>
      <c r="C824" s="20" t="s">
        <v>1071</v>
      </c>
      <c r="D824" s="27"/>
    </row>
    <row r="825" hidden="1">
      <c r="A825" s="26">
        <v>44504.69417127315</v>
      </c>
      <c r="B825" s="20" t="s">
        <v>870</v>
      </c>
      <c r="C825" s="20">
        <v>20.6</v>
      </c>
      <c r="D825" s="27"/>
    </row>
    <row r="826" hidden="1">
      <c r="A826" s="26">
        <v>44504.87640633102</v>
      </c>
      <c r="B826" s="20" t="s">
        <v>820</v>
      </c>
      <c r="C826" s="20">
        <v>5.0</v>
      </c>
      <c r="D826" s="27"/>
    </row>
    <row r="827" hidden="1">
      <c r="A827" s="26">
        <v>44504.88393239584</v>
      </c>
      <c r="B827" s="20" t="s">
        <v>437</v>
      </c>
      <c r="C827" s="20">
        <v>19.8</v>
      </c>
      <c r="D827" s="27"/>
    </row>
    <row r="828" hidden="1">
      <c r="A828" s="26">
        <v>44504.88404311343</v>
      </c>
      <c r="B828" s="20" t="s">
        <v>896</v>
      </c>
      <c r="C828" s="20">
        <v>18.0</v>
      </c>
      <c r="D828" s="27"/>
    </row>
    <row r="829" hidden="1">
      <c r="A829" s="26">
        <v>44505.69219318287</v>
      </c>
      <c r="B829" s="20" t="s">
        <v>344</v>
      </c>
      <c r="C829" s="20" t="s">
        <v>1072</v>
      </c>
      <c r="D829" s="27"/>
    </row>
    <row r="830" hidden="1">
      <c r="A830" s="26">
        <v>44505.693686921295</v>
      </c>
      <c r="B830" s="20" t="s">
        <v>344</v>
      </c>
      <c r="C830" s="20">
        <v>28.0</v>
      </c>
      <c r="D830" s="27"/>
    </row>
    <row r="831" hidden="1">
      <c r="A831" s="26">
        <v>44505.70514797454</v>
      </c>
      <c r="B831" s="20" t="s">
        <v>844</v>
      </c>
      <c r="C831" s="20" t="s">
        <v>1073</v>
      </c>
      <c r="D831" s="27"/>
    </row>
    <row r="832" hidden="1">
      <c r="A832" s="26">
        <v>44505.71105388889</v>
      </c>
      <c r="B832" s="20" t="s">
        <v>260</v>
      </c>
      <c r="C832" s="20">
        <v>20.0</v>
      </c>
      <c r="D832" s="27"/>
    </row>
    <row r="833" hidden="1">
      <c r="A833" s="26">
        <v>44506.59267</v>
      </c>
      <c r="B833" s="20" t="s">
        <v>919</v>
      </c>
      <c r="C833" s="20">
        <v>20.0</v>
      </c>
      <c r="D833" s="27"/>
    </row>
    <row r="834" hidden="1">
      <c r="A834" s="26">
        <v>44506.67149680556</v>
      </c>
      <c r="B834" s="20" t="s">
        <v>1074</v>
      </c>
      <c r="C834" s="20" t="s">
        <v>1075</v>
      </c>
      <c r="D834" s="27"/>
    </row>
    <row r="835" hidden="1">
      <c r="A835" s="26">
        <v>44506.69711702546</v>
      </c>
      <c r="B835" s="20" t="s">
        <v>1076</v>
      </c>
      <c r="C835" s="20">
        <v>22.0</v>
      </c>
      <c r="D835" s="27"/>
    </row>
    <row r="836" hidden="1">
      <c r="A836" s="26">
        <v>44506.69758221065</v>
      </c>
      <c r="B836" s="20" t="s">
        <v>214</v>
      </c>
      <c r="C836" s="20">
        <v>5.0</v>
      </c>
      <c r="D836" s="27"/>
    </row>
    <row r="837" hidden="1">
      <c r="A837" s="26">
        <v>44506.70829605324</v>
      </c>
      <c r="B837" s="20" t="s">
        <v>1077</v>
      </c>
      <c r="C837" s="20">
        <v>19.0</v>
      </c>
      <c r="D837" s="27"/>
    </row>
    <row r="838" hidden="1">
      <c r="A838" s="26">
        <v>44506.70951577547</v>
      </c>
      <c r="B838" s="20" t="s">
        <v>975</v>
      </c>
      <c r="C838" s="20">
        <v>20.0</v>
      </c>
      <c r="D838" s="27"/>
    </row>
    <row r="839" hidden="1">
      <c r="A839" s="26">
        <v>44506.71014480324</v>
      </c>
      <c r="B839" s="20" t="s">
        <v>91</v>
      </c>
      <c r="C839" s="20">
        <v>7.0</v>
      </c>
      <c r="D839" s="27"/>
    </row>
    <row r="840" hidden="1">
      <c r="A840" s="26">
        <v>44506.71384239584</v>
      </c>
      <c r="B840" s="20" t="s">
        <v>971</v>
      </c>
      <c r="C840" s="20">
        <v>21.0</v>
      </c>
      <c r="D840" s="27"/>
    </row>
    <row r="841" hidden="1">
      <c r="A841" s="26">
        <v>44506.71428900463</v>
      </c>
      <c r="B841" s="20" t="s">
        <v>235</v>
      </c>
      <c r="C841" s="20">
        <v>4.0</v>
      </c>
      <c r="D841" s="27"/>
    </row>
    <row r="842" hidden="1">
      <c r="A842" s="26">
        <v>44506.71690884259</v>
      </c>
      <c r="B842" s="20" t="s">
        <v>178</v>
      </c>
      <c r="C842" s="20">
        <v>14.0</v>
      </c>
      <c r="D842" s="27"/>
    </row>
    <row r="843" hidden="1">
      <c r="A843" s="26">
        <v>44506.8570100463</v>
      </c>
      <c r="B843" s="20" t="s">
        <v>300</v>
      </c>
      <c r="C843" s="20" t="s">
        <v>1078</v>
      </c>
      <c r="D843" s="27"/>
    </row>
    <row r="844" hidden="1">
      <c r="A844" s="26">
        <v>44507.57319991898</v>
      </c>
      <c r="B844" s="20" t="s">
        <v>1079</v>
      </c>
      <c r="C844" s="20">
        <v>123.0</v>
      </c>
      <c r="D844" s="27"/>
    </row>
    <row r="845" hidden="1">
      <c r="A845" s="26">
        <v>44507.67394537037</v>
      </c>
      <c r="B845" s="20" t="s">
        <v>909</v>
      </c>
      <c r="C845" s="20">
        <v>20.0</v>
      </c>
      <c r="D845" s="27"/>
    </row>
    <row r="846" hidden="1">
      <c r="A846" s="26">
        <v>44507.67472596065</v>
      </c>
      <c r="B846" s="20" t="s">
        <v>799</v>
      </c>
      <c r="C846" s="20">
        <v>18.7</v>
      </c>
      <c r="D846" s="27"/>
    </row>
    <row r="847" hidden="1">
      <c r="A847" s="26">
        <v>44507.67521259259</v>
      </c>
      <c r="B847" s="20" t="s">
        <v>528</v>
      </c>
      <c r="C847" s="20">
        <v>19.2</v>
      </c>
      <c r="D847" s="27"/>
    </row>
    <row r="848" hidden="1">
      <c r="A848" s="26">
        <v>44507.675605937504</v>
      </c>
      <c r="B848" s="20" t="s">
        <v>528</v>
      </c>
      <c r="C848" s="20">
        <v>23.4</v>
      </c>
      <c r="D848" s="27"/>
    </row>
    <row r="849" hidden="1">
      <c r="A849" s="26">
        <v>44507.71522138889</v>
      </c>
      <c r="B849" s="20" t="s">
        <v>203</v>
      </c>
      <c r="C849" s="20" t="s">
        <v>1080</v>
      </c>
      <c r="D849" s="27"/>
    </row>
    <row r="850" hidden="1">
      <c r="A850" s="26">
        <v>44507.715380856476</v>
      </c>
      <c r="B850" s="20" t="s">
        <v>203</v>
      </c>
      <c r="C850" s="20">
        <v>12.0</v>
      </c>
      <c r="D850" s="27"/>
    </row>
    <row r="851" hidden="1">
      <c r="A851" s="26">
        <v>44507.8259633912</v>
      </c>
      <c r="B851" s="20" t="s">
        <v>298</v>
      </c>
      <c r="C851" s="20">
        <v>155.0</v>
      </c>
      <c r="D851" s="27"/>
    </row>
    <row r="852" hidden="1">
      <c r="A852" s="26">
        <v>44509.70945385417</v>
      </c>
      <c r="B852" s="20" t="s">
        <v>1008</v>
      </c>
      <c r="C852" s="20" t="s">
        <v>1081</v>
      </c>
      <c r="D852" s="27"/>
    </row>
    <row r="853" hidden="1">
      <c r="A853" s="26">
        <v>44509.7198512037</v>
      </c>
      <c r="B853" s="20" t="s">
        <v>870</v>
      </c>
      <c r="C853" s="20">
        <v>26.5</v>
      </c>
      <c r="D853" s="27"/>
    </row>
    <row r="854" hidden="1">
      <c r="A854" s="26">
        <v>44510.72523074074</v>
      </c>
      <c r="B854" s="20" t="s">
        <v>1082</v>
      </c>
      <c r="C854" s="20">
        <v>9.0</v>
      </c>
      <c r="D854" s="27"/>
    </row>
    <row r="855" hidden="1">
      <c r="A855" s="26">
        <v>44510.736682222225</v>
      </c>
      <c r="B855" s="20" t="s">
        <v>177</v>
      </c>
      <c r="C855" s="20">
        <v>20.0</v>
      </c>
      <c r="D855" s="27"/>
    </row>
    <row r="856" hidden="1">
      <c r="A856" s="26">
        <v>44510.85684851852</v>
      </c>
      <c r="B856" s="20" t="s">
        <v>818</v>
      </c>
      <c r="C856" s="20" t="s">
        <v>1083</v>
      </c>
      <c r="D856" s="27"/>
    </row>
    <row r="857" hidden="1">
      <c r="A857" s="26">
        <v>44510.858630358794</v>
      </c>
      <c r="B857" s="20" t="s">
        <v>1084</v>
      </c>
      <c r="C857" s="20" t="s">
        <v>1085</v>
      </c>
      <c r="D857" s="27"/>
    </row>
    <row r="858" hidden="1">
      <c r="A858" s="26">
        <v>44510.861745277776</v>
      </c>
      <c r="B858" s="20" t="s">
        <v>787</v>
      </c>
      <c r="C858" s="20">
        <v>22.0</v>
      </c>
      <c r="D858" s="27"/>
    </row>
    <row r="859" hidden="1">
      <c r="A859" s="26">
        <v>44510.86179697917</v>
      </c>
      <c r="B859" s="20" t="s">
        <v>1086</v>
      </c>
      <c r="C859" s="20">
        <v>9.0</v>
      </c>
      <c r="D859" s="27"/>
    </row>
    <row r="860" hidden="1">
      <c r="A860" s="26">
        <v>44510.86241829861</v>
      </c>
      <c r="B860" s="20" t="s">
        <v>1087</v>
      </c>
      <c r="C860" s="20" t="s">
        <v>1012</v>
      </c>
      <c r="D860" s="27"/>
    </row>
    <row r="861" hidden="1">
      <c r="A861" s="26">
        <v>44510.86251841435</v>
      </c>
      <c r="B861" s="20" t="s">
        <v>1088</v>
      </c>
      <c r="C861" s="20">
        <v>5.0</v>
      </c>
      <c r="D861" s="27"/>
    </row>
    <row r="862" hidden="1">
      <c r="A862" s="26">
        <v>44510.86271061342</v>
      </c>
      <c r="B862" s="20" t="s">
        <v>1089</v>
      </c>
      <c r="C862" s="20">
        <v>20.0</v>
      </c>
      <c r="D862" s="27"/>
    </row>
    <row r="863" hidden="1">
      <c r="A863" s="26">
        <v>44510.86448719907</v>
      </c>
      <c r="B863" s="20" t="s">
        <v>1090</v>
      </c>
      <c r="C863" s="20">
        <v>5.0</v>
      </c>
      <c r="D863" s="27"/>
    </row>
    <row r="864" hidden="1">
      <c r="A864" s="26">
        <v>44510.864527638885</v>
      </c>
      <c r="B864" s="20" t="s">
        <v>842</v>
      </c>
      <c r="C864" s="20">
        <v>18.0</v>
      </c>
      <c r="D864" s="27"/>
    </row>
    <row r="865" hidden="1">
      <c r="A865" s="26">
        <v>44510.86477354167</v>
      </c>
      <c r="B865" s="20" t="s">
        <v>1091</v>
      </c>
      <c r="C865" s="20">
        <v>20.0</v>
      </c>
      <c r="D865" s="27"/>
    </row>
    <row r="866" hidden="1">
      <c r="A866" s="26">
        <v>44510.86532737268</v>
      </c>
      <c r="B866" s="20" t="s">
        <v>1092</v>
      </c>
      <c r="C866" s="20">
        <v>7.0</v>
      </c>
      <c r="D866" s="27"/>
    </row>
    <row r="867" hidden="1">
      <c r="A867" s="26">
        <v>44510.86686417824</v>
      </c>
      <c r="B867" s="20" t="s">
        <v>1093</v>
      </c>
      <c r="C867" s="20">
        <v>12.0</v>
      </c>
      <c r="D867" s="27"/>
    </row>
    <row r="868" hidden="1">
      <c r="A868" s="26">
        <v>44510.867147060184</v>
      </c>
      <c r="B868" s="20" t="s">
        <v>1094</v>
      </c>
      <c r="C868" s="20">
        <v>20.0</v>
      </c>
      <c r="D868" s="27"/>
    </row>
    <row r="869" hidden="1">
      <c r="A869" s="26">
        <v>44510.86835803241</v>
      </c>
      <c r="B869" s="20" t="s">
        <v>772</v>
      </c>
      <c r="C869" s="20">
        <v>13.0</v>
      </c>
      <c r="D869" s="27"/>
    </row>
    <row r="870" hidden="1">
      <c r="A870" s="26">
        <v>44510.868908136574</v>
      </c>
      <c r="B870" s="20" t="s">
        <v>1095</v>
      </c>
      <c r="C870" s="20">
        <v>20.0</v>
      </c>
      <c r="D870" s="27"/>
    </row>
    <row r="871" hidden="1">
      <c r="A871" s="26">
        <v>44510.8729067824</v>
      </c>
      <c r="B871" s="20" t="s">
        <v>975</v>
      </c>
      <c r="C871" s="20">
        <v>20.0</v>
      </c>
      <c r="D871" s="27"/>
    </row>
    <row r="872" hidden="1">
      <c r="A872" s="26">
        <v>44510.87385377315</v>
      </c>
      <c r="B872" s="20" t="s">
        <v>975</v>
      </c>
      <c r="C872" s="20" t="s">
        <v>1096</v>
      </c>
      <c r="D872" s="27"/>
    </row>
    <row r="873" hidden="1">
      <c r="A873" s="26">
        <v>44510.875175451394</v>
      </c>
      <c r="B873" s="20" t="s">
        <v>786</v>
      </c>
      <c r="C873" s="20">
        <v>20.0</v>
      </c>
      <c r="D873" s="27"/>
    </row>
    <row r="874" hidden="1">
      <c r="A874" s="26">
        <v>44510.8770958449</v>
      </c>
      <c r="B874" s="20" t="s">
        <v>214</v>
      </c>
      <c r="C874" s="20">
        <v>17.0</v>
      </c>
      <c r="D874" s="27"/>
    </row>
    <row r="875" hidden="1">
      <c r="A875" s="26">
        <v>44510.87804494213</v>
      </c>
      <c r="B875" s="20" t="s">
        <v>971</v>
      </c>
      <c r="C875" s="20">
        <v>20.0</v>
      </c>
      <c r="D875" s="27"/>
    </row>
    <row r="876" hidden="1">
      <c r="A876" s="26">
        <v>44510.879778055554</v>
      </c>
      <c r="B876" s="20" t="s">
        <v>235</v>
      </c>
      <c r="C876" s="20">
        <v>3.0</v>
      </c>
      <c r="D876" s="27"/>
    </row>
    <row r="877" hidden="1">
      <c r="A877" s="26">
        <v>44510.88367476852</v>
      </c>
      <c r="B877" s="20" t="s">
        <v>437</v>
      </c>
      <c r="C877" s="20">
        <v>20.0</v>
      </c>
      <c r="D877" s="27"/>
    </row>
    <row r="878" hidden="1">
      <c r="A878" s="26">
        <v>44510.88393700232</v>
      </c>
      <c r="B878" s="20" t="s">
        <v>829</v>
      </c>
      <c r="C878" s="20">
        <v>20.0</v>
      </c>
      <c r="D878" s="27"/>
    </row>
    <row r="879" hidden="1">
      <c r="A879" s="26">
        <v>44510.885878761575</v>
      </c>
      <c r="B879" s="20" t="s">
        <v>760</v>
      </c>
      <c r="C879" s="20">
        <v>20.0</v>
      </c>
      <c r="D879" s="27"/>
    </row>
    <row r="880" hidden="1">
      <c r="A880" s="26">
        <v>44510.886549456016</v>
      </c>
      <c r="B880" s="20" t="s">
        <v>800</v>
      </c>
      <c r="C880" s="20">
        <v>22.0</v>
      </c>
      <c r="D880" s="27"/>
    </row>
    <row r="881" hidden="1">
      <c r="A881" s="26">
        <v>44511.704580034726</v>
      </c>
      <c r="B881" s="20" t="s">
        <v>809</v>
      </c>
      <c r="C881" s="20" t="s">
        <v>1097</v>
      </c>
      <c r="D881" s="27"/>
    </row>
    <row r="882" hidden="1">
      <c r="A882" s="26">
        <v>44511.704993900465</v>
      </c>
      <c r="B882" s="20" t="s">
        <v>327</v>
      </c>
      <c r="C882" s="20" t="s">
        <v>1098</v>
      </c>
      <c r="D882" s="27"/>
    </row>
    <row r="883" hidden="1">
      <c r="A883" s="26">
        <v>44511.711103078705</v>
      </c>
      <c r="B883" s="20" t="s">
        <v>203</v>
      </c>
      <c r="C883" s="20">
        <v>9.0</v>
      </c>
      <c r="D883" s="27"/>
    </row>
    <row r="884" hidden="1">
      <c r="A884" s="26">
        <v>44511.7112946875</v>
      </c>
      <c r="B884" s="20" t="s">
        <v>203</v>
      </c>
      <c r="C884" s="20" t="s">
        <v>1099</v>
      </c>
      <c r="D884" s="27"/>
    </row>
    <row r="885" hidden="1">
      <c r="A885" s="26">
        <v>44511.87480938657</v>
      </c>
      <c r="B885" s="20" t="s">
        <v>820</v>
      </c>
      <c r="C885" s="20" t="s">
        <v>1026</v>
      </c>
      <c r="D885" s="27"/>
    </row>
    <row r="886" hidden="1">
      <c r="A886" s="26">
        <v>44511.87655920139</v>
      </c>
      <c r="B886" s="20" t="s">
        <v>167</v>
      </c>
      <c r="C886" s="20">
        <v>20.0</v>
      </c>
      <c r="D886" s="27"/>
    </row>
    <row r="887" hidden="1">
      <c r="A887" s="26">
        <v>44511.87980559027</v>
      </c>
      <c r="B887" s="20" t="s">
        <v>896</v>
      </c>
      <c r="C887" s="20">
        <v>18.0</v>
      </c>
      <c r="D887" s="27"/>
    </row>
    <row r="888" hidden="1">
      <c r="A888" s="26">
        <v>44511.87997934028</v>
      </c>
      <c r="B888" s="20" t="s">
        <v>599</v>
      </c>
      <c r="C888" s="20">
        <v>20.0</v>
      </c>
      <c r="D888" s="27"/>
    </row>
    <row r="889" hidden="1">
      <c r="A889" s="26">
        <v>44512.66914179398</v>
      </c>
      <c r="B889" s="20" t="s">
        <v>203</v>
      </c>
      <c r="C889" s="20">
        <v>5.0</v>
      </c>
      <c r="D889" s="27"/>
    </row>
    <row r="890" hidden="1">
      <c r="A890" s="26">
        <v>44512.70590159722</v>
      </c>
      <c r="B890" s="20" t="s">
        <v>233</v>
      </c>
      <c r="C890" s="20">
        <v>8.0</v>
      </c>
      <c r="D890" s="27"/>
    </row>
    <row r="891" hidden="1">
      <c r="A891" s="26">
        <v>44512.71169834491</v>
      </c>
      <c r="B891" s="20" t="s">
        <v>193</v>
      </c>
      <c r="C891" s="20" t="s">
        <v>1100</v>
      </c>
      <c r="D891" s="27"/>
    </row>
    <row r="892" hidden="1">
      <c r="A892" s="26">
        <v>44512.715021365744</v>
      </c>
      <c r="B892" s="20" t="s">
        <v>193</v>
      </c>
      <c r="C892" s="20">
        <v>21.0</v>
      </c>
      <c r="D892" s="27"/>
    </row>
    <row r="893" hidden="1">
      <c r="A893" s="26">
        <v>44512.71672215278</v>
      </c>
      <c r="B893" s="20" t="s">
        <v>844</v>
      </c>
      <c r="C893" s="20" t="s">
        <v>1101</v>
      </c>
      <c r="D893" s="27"/>
    </row>
    <row r="894" hidden="1">
      <c r="A894" s="26">
        <v>44512.717729490745</v>
      </c>
      <c r="B894" s="20" t="s">
        <v>344</v>
      </c>
      <c r="C894" s="20">
        <v>22.0</v>
      </c>
      <c r="D894" s="27"/>
    </row>
    <row r="895" hidden="1">
      <c r="A895" s="26">
        <v>44512.718200752315</v>
      </c>
      <c r="B895" s="20" t="s">
        <v>344</v>
      </c>
      <c r="C895" s="20" t="s">
        <v>1102</v>
      </c>
      <c r="D895" s="27"/>
    </row>
    <row r="896" hidden="1">
      <c r="A896" s="26">
        <v>44513.68155407408</v>
      </c>
      <c r="B896" s="20" t="s">
        <v>1103</v>
      </c>
      <c r="C896" s="20">
        <v>19.0</v>
      </c>
      <c r="D896" s="27"/>
    </row>
    <row r="897" hidden="1">
      <c r="A897" s="26">
        <v>44513.71583966435</v>
      </c>
      <c r="B897" s="20" t="s">
        <v>300</v>
      </c>
      <c r="C897" s="20" t="s">
        <v>1012</v>
      </c>
      <c r="D897" s="27"/>
    </row>
    <row r="898" hidden="1">
      <c r="A898" s="26">
        <v>44513.71751086805</v>
      </c>
      <c r="B898" s="20" t="s">
        <v>91</v>
      </c>
      <c r="C898" s="20">
        <v>10.0</v>
      </c>
      <c r="D898" s="27"/>
    </row>
    <row r="899" hidden="1">
      <c r="A899" s="26">
        <v>44513.725499189815</v>
      </c>
      <c r="B899" s="20" t="s">
        <v>203</v>
      </c>
      <c r="C899" s="20">
        <v>1.5</v>
      </c>
      <c r="D899" s="27"/>
    </row>
    <row r="900" hidden="1">
      <c r="A900" s="26">
        <v>44513.72570726852</v>
      </c>
      <c r="B900" s="20" t="s">
        <v>971</v>
      </c>
      <c r="C900" s="20">
        <v>18.0</v>
      </c>
      <c r="D900" s="27"/>
    </row>
    <row r="901" hidden="1">
      <c r="A901" s="26">
        <v>44513.72716420139</v>
      </c>
      <c r="B901" s="20" t="s">
        <v>1104</v>
      </c>
      <c r="C901" s="20">
        <v>20.0</v>
      </c>
      <c r="D901" s="27"/>
    </row>
    <row r="902" hidden="1">
      <c r="A902" s="26">
        <v>44513.73117508102</v>
      </c>
      <c r="B902" s="20" t="s">
        <v>178</v>
      </c>
      <c r="C902" s="20">
        <v>9.0</v>
      </c>
      <c r="D902" s="27"/>
    </row>
    <row r="903" hidden="1">
      <c r="A903" s="26">
        <v>44514.670340798606</v>
      </c>
      <c r="B903" s="20" t="s">
        <v>995</v>
      </c>
      <c r="C903" s="20">
        <v>16.0</v>
      </c>
      <c r="D903" s="27"/>
    </row>
    <row r="904" hidden="1">
      <c r="A904" s="26">
        <v>44514.67186200232</v>
      </c>
      <c r="B904" s="20" t="s">
        <v>799</v>
      </c>
      <c r="C904" s="20">
        <v>19.0</v>
      </c>
      <c r="D904" s="27"/>
    </row>
    <row r="905" hidden="1">
      <c r="A905" s="26">
        <v>44514.67814289352</v>
      </c>
      <c r="B905" s="20" t="s">
        <v>982</v>
      </c>
      <c r="C905" s="20">
        <v>14.4</v>
      </c>
      <c r="D905" s="27"/>
    </row>
    <row r="906" hidden="1">
      <c r="A906" s="26">
        <v>44514.67830251157</v>
      </c>
      <c r="B906" s="20" t="s">
        <v>144</v>
      </c>
      <c r="C906" s="20">
        <v>12.1</v>
      </c>
      <c r="D906" s="27"/>
    </row>
    <row r="907" hidden="1">
      <c r="A907" s="26">
        <v>44514.67930157407</v>
      </c>
      <c r="B907" s="20" t="s">
        <v>1031</v>
      </c>
      <c r="C907" s="20">
        <v>25.0</v>
      </c>
      <c r="D907" s="27"/>
    </row>
    <row r="908" hidden="1">
      <c r="A908" s="26">
        <v>44514.687064108795</v>
      </c>
      <c r="B908" s="20" t="s">
        <v>203</v>
      </c>
      <c r="C908" s="20">
        <v>15.0</v>
      </c>
      <c r="D908" s="27"/>
    </row>
    <row r="909" hidden="1">
      <c r="A909" s="26">
        <v>44514.94937619213</v>
      </c>
      <c r="B909" s="20" t="s">
        <v>298</v>
      </c>
      <c r="C909" s="20">
        <v>178.0</v>
      </c>
      <c r="D909" s="27"/>
    </row>
    <row r="910" hidden="1">
      <c r="A910" s="26">
        <v>44516.707754999996</v>
      </c>
      <c r="B910" s="20" t="s">
        <v>1008</v>
      </c>
      <c r="C910" s="20">
        <v>34.0</v>
      </c>
      <c r="D910" s="27"/>
    </row>
    <row r="911" hidden="1">
      <c r="A911" s="26">
        <v>44516.71938268519</v>
      </c>
      <c r="B911" s="20" t="s">
        <v>528</v>
      </c>
      <c r="C911" s="20">
        <v>20.0</v>
      </c>
      <c r="D911" s="27"/>
    </row>
    <row r="912" hidden="1">
      <c r="A912" s="26">
        <v>44516.72001684028</v>
      </c>
      <c r="B912" s="20" t="s">
        <v>995</v>
      </c>
      <c r="C912" s="20">
        <v>11.0</v>
      </c>
      <c r="D912" s="27"/>
    </row>
    <row r="913" hidden="1">
      <c r="A913" s="26">
        <v>44516.75189177084</v>
      </c>
      <c r="B913" s="20" t="s">
        <v>193</v>
      </c>
      <c r="C913" s="20" t="s">
        <v>1105</v>
      </c>
      <c r="D913" s="27"/>
    </row>
    <row r="914" hidden="1">
      <c r="A914" s="26">
        <v>44517.71508836806</v>
      </c>
      <c r="B914" s="20" t="s">
        <v>153</v>
      </c>
      <c r="C914" s="20">
        <v>5.0</v>
      </c>
      <c r="D914" s="27"/>
    </row>
    <row r="915" hidden="1">
      <c r="A915" s="26">
        <v>44517.792943125</v>
      </c>
      <c r="B915" s="20" t="s">
        <v>177</v>
      </c>
      <c r="C915" s="20">
        <v>20.0</v>
      </c>
      <c r="D915" s="27"/>
    </row>
    <row r="916" hidden="1">
      <c r="A916" s="26">
        <v>44517.85241869213</v>
      </c>
      <c r="B916" s="20" t="s">
        <v>818</v>
      </c>
      <c r="C916" s="20" t="s">
        <v>1106</v>
      </c>
      <c r="D916" s="27"/>
    </row>
    <row r="917" hidden="1">
      <c r="A917" s="26">
        <v>44517.85504008102</v>
      </c>
      <c r="B917" s="20" t="s">
        <v>786</v>
      </c>
      <c r="C917" s="20">
        <v>14.0</v>
      </c>
      <c r="D917" s="27"/>
    </row>
    <row r="918" hidden="1">
      <c r="A918" s="26">
        <v>44517.860838946755</v>
      </c>
      <c r="B918" s="20" t="s">
        <v>1107</v>
      </c>
      <c r="C918" s="20">
        <v>20.0</v>
      </c>
      <c r="D918" s="27"/>
    </row>
    <row r="919" hidden="1">
      <c r="A919" s="26">
        <v>44517.861535081014</v>
      </c>
      <c r="B919" s="20" t="s">
        <v>1108</v>
      </c>
      <c r="C919" s="20">
        <v>18.0</v>
      </c>
      <c r="D919" s="27"/>
    </row>
    <row r="920" hidden="1">
      <c r="A920" s="26">
        <v>44517.86159671296</v>
      </c>
      <c r="B920" s="20" t="s">
        <v>1109</v>
      </c>
      <c r="C920" s="20">
        <v>20.0</v>
      </c>
      <c r="D920" s="27"/>
    </row>
    <row r="921" hidden="1">
      <c r="A921" s="26">
        <v>44517.86285201389</v>
      </c>
      <c r="B921" s="20" t="s">
        <v>1093</v>
      </c>
      <c r="C921" s="20">
        <v>21.0</v>
      </c>
      <c r="D921" s="27"/>
    </row>
    <row r="922" hidden="1">
      <c r="A922" s="26">
        <v>44517.86319150463</v>
      </c>
      <c r="B922" s="20" t="s">
        <v>1110</v>
      </c>
      <c r="C922" s="20">
        <v>77.0</v>
      </c>
      <c r="D922" s="27"/>
    </row>
    <row r="923" hidden="1">
      <c r="A923" s="26">
        <v>44517.86347418981</v>
      </c>
      <c r="B923" s="20" t="s">
        <v>1088</v>
      </c>
      <c r="C923" s="20">
        <v>13.0</v>
      </c>
      <c r="D923" s="27"/>
    </row>
    <row r="924" hidden="1">
      <c r="A924" s="26">
        <v>44517.86350732639</v>
      </c>
      <c r="B924" s="20" t="s">
        <v>842</v>
      </c>
      <c r="C924" s="20">
        <v>19.0</v>
      </c>
      <c r="D924" s="27"/>
    </row>
    <row r="925" hidden="1">
      <c r="A925" s="26">
        <v>44517.86374144676</v>
      </c>
      <c r="B925" s="20" t="s">
        <v>1107</v>
      </c>
      <c r="C925" s="20">
        <v>9.0</v>
      </c>
      <c r="D925" s="27"/>
    </row>
    <row r="926" hidden="1">
      <c r="A926" s="26">
        <v>44517.865691493054</v>
      </c>
      <c r="B926" s="20" t="s">
        <v>971</v>
      </c>
      <c r="C926" s="20">
        <v>21.0</v>
      </c>
      <c r="D926" s="27"/>
    </row>
    <row r="927" hidden="1">
      <c r="A927" s="26">
        <v>44517.86606256945</v>
      </c>
      <c r="B927" s="20" t="s">
        <v>235</v>
      </c>
      <c r="C927" s="20">
        <v>5.0</v>
      </c>
      <c r="D927" s="27"/>
    </row>
    <row r="928" hidden="1">
      <c r="A928" s="26">
        <v>44517.866532500004</v>
      </c>
      <c r="B928" s="20" t="s">
        <v>829</v>
      </c>
      <c r="C928" s="20">
        <v>21.0</v>
      </c>
      <c r="D928" s="27"/>
    </row>
    <row r="929" hidden="1">
      <c r="A929" s="26">
        <v>44517.8669208912</v>
      </c>
      <c r="B929" s="20" t="s">
        <v>888</v>
      </c>
      <c r="C929" s="20">
        <v>19.89</v>
      </c>
      <c r="D929" s="27"/>
    </row>
    <row r="930" hidden="1">
      <c r="A930" s="26">
        <v>44517.868514710644</v>
      </c>
      <c r="B930" s="20" t="s">
        <v>983</v>
      </c>
      <c r="C930" s="20">
        <v>19.0</v>
      </c>
      <c r="D930" s="27"/>
    </row>
    <row r="931" hidden="1">
      <c r="A931" s="26">
        <v>44517.86950987269</v>
      </c>
      <c r="B931" s="20" t="s">
        <v>1064</v>
      </c>
      <c r="C931" s="20">
        <v>20.0</v>
      </c>
      <c r="D931" s="27"/>
    </row>
    <row r="932" hidden="1">
      <c r="A932" s="26">
        <v>44517.870111909724</v>
      </c>
      <c r="B932" s="20" t="s">
        <v>235</v>
      </c>
      <c r="C932" s="20">
        <v>14.0</v>
      </c>
      <c r="D932" s="27"/>
    </row>
    <row r="933" hidden="1">
      <c r="A933" s="26">
        <v>44517.870132627315</v>
      </c>
      <c r="B933" s="20" t="s">
        <v>235</v>
      </c>
      <c r="C933" s="20">
        <v>25.0</v>
      </c>
      <c r="D933" s="27"/>
    </row>
    <row r="934" hidden="1">
      <c r="A934" s="26">
        <v>44517.87091762731</v>
      </c>
      <c r="B934" s="20" t="s">
        <v>975</v>
      </c>
      <c r="C934" s="20">
        <v>19.9</v>
      </c>
      <c r="D934" s="27"/>
    </row>
    <row r="935" hidden="1">
      <c r="A935" s="26">
        <v>44517.87146252315</v>
      </c>
      <c r="B935" s="20" t="s">
        <v>975</v>
      </c>
      <c r="C935" s="20" t="s">
        <v>1111</v>
      </c>
      <c r="D935" s="27"/>
    </row>
    <row r="936" hidden="1">
      <c r="A936" s="26">
        <v>44517.87379238426</v>
      </c>
      <c r="B936" s="20" t="s">
        <v>597</v>
      </c>
      <c r="C936" s="20">
        <v>19.9</v>
      </c>
      <c r="D936" s="27"/>
    </row>
    <row r="937" hidden="1">
      <c r="A937" s="26">
        <v>44517.874032164356</v>
      </c>
      <c r="B937" s="20" t="s">
        <v>1112</v>
      </c>
      <c r="C937" s="20">
        <v>20.0</v>
      </c>
      <c r="D937" s="27"/>
    </row>
    <row r="938" hidden="1">
      <c r="A938" s="26">
        <v>44518.70966680556</v>
      </c>
      <c r="B938" s="20" t="s">
        <v>807</v>
      </c>
      <c r="C938" s="20">
        <v>24.0</v>
      </c>
      <c r="D938" s="27"/>
    </row>
    <row r="939" hidden="1">
      <c r="A939" s="26">
        <v>44518.7122855787</v>
      </c>
      <c r="B939" s="20" t="s">
        <v>327</v>
      </c>
      <c r="C939" s="20" t="s">
        <v>1047</v>
      </c>
      <c r="D939" s="27"/>
    </row>
    <row r="940" hidden="1">
      <c r="A940" s="26">
        <v>44518.716985266205</v>
      </c>
      <c r="B940" s="20" t="s">
        <v>203</v>
      </c>
      <c r="C940" s="20">
        <v>4.0</v>
      </c>
      <c r="D940" s="27"/>
    </row>
    <row r="941" hidden="1">
      <c r="A941" s="26">
        <v>44518.719743587964</v>
      </c>
      <c r="B941" s="20" t="s">
        <v>193</v>
      </c>
      <c r="C941" s="20" t="s">
        <v>1113</v>
      </c>
      <c r="D941" s="27"/>
    </row>
    <row r="942" hidden="1">
      <c r="A942" s="26">
        <v>44518.71987434028</v>
      </c>
      <c r="B942" s="20" t="s">
        <v>203</v>
      </c>
      <c r="C942" s="20" t="s">
        <v>1114</v>
      </c>
      <c r="D942" s="27"/>
    </row>
    <row r="943" hidden="1">
      <c r="A943" s="26">
        <v>44518.72098778935</v>
      </c>
      <c r="B943" s="20" t="s">
        <v>193</v>
      </c>
      <c r="C943" s="20" t="s">
        <v>1115</v>
      </c>
      <c r="D943" s="27"/>
    </row>
    <row r="944" hidden="1">
      <c r="A944" s="26">
        <v>44518.72173554398</v>
      </c>
      <c r="B944" s="20" t="s">
        <v>962</v>
      </c>
      <c r="C944" s="20">
        <v>24.0</v>
      </c>
      <c r="D944" s="27"/>
    </row>
    <row r="945" hidden="1">
      <c r="A945" s="26">
        <v>44518.88024392361</v>
      </c>
      <c r="B945" s="20" t="s">
        <v>820</v>
      </c>
      <c r="C945" s="20">
        <v>7.0</v>
      </c>
      <c r="D945" s="27"/>
    </row>
    <row r="946" hidden="1">
      <c r="A946" s="26">
        <v>44519.71216164352</v>
      </c>
      <c r="B946" s="20" t="s">
        <v>344</v>
      </c>
      <c r="C946" s="20">
        <v>24.0</v>
      </c>
      <c r="D946" s="27"/>
    </row>
    <row r="947" hidden="1">
      <c r="A947" s="26">
        <v>44519.71228630787</v>
      </c>
      <c r="B947" s="20" t="s">
        <v>344</v>
      </c>
      <c r="C947" s="20" t="s">
        <v>1116</v>
      </c>
      <c r="D947" s="27"/>
    </row>
    <row r="948" hidden="1">
      <c r="A948" s="26">
        <v>44519.713988958334</v>
      </c>
      <c r="B948" s="20" t="s">
        <v>370</v>
      </c>
      <c r="C948" s="20">
        <v>9.0</v>
      </c>
      <c r="D948" s="27"/>
    </row>
    <row r="949" hidden="1">
      <c r="A949" s="26">
        <v>44519.72188149305</v>
      </c>
      <c r="B949" s="20" t="s">
        <v>233</v>
      </c>
      <c r="C949" s="20">
        <v>13.0</v>
      </c>
      <c r="D949" s="27"/>
    </row>
    <row r="950" hidden="1">
      <c r="A950" s="26">
        <v>44520.69985215278</v>
      </c>
      <c r="B950" s="20" t="s">
        <v>214</v>
      </c>
      <c r="C950" s="20">
        <v>20.0</v>
      </c>
      <c r="D950" s="27"/>
    </row>
    <row r="951" hidden="1">
      <c r="A951" s="26">
        <v>44520.70004982639</v>
      </c>
      <c r="B951" s="20" t="s">
        <v>1076</v>
      </c>
      <c r="C951" s="20">
        <v>2.0</v>
      </c>
      <c r="D951" s="27"/>
    </row>
    <row r="952" hidden="1">
      <c r="A952" s="26">
        <v>44520.73893670139</v>
      </c>
      <c r="B952" s="20" t="s">
        <v>1117</v>
      </c>
      <c r="C952" s="20">
        <v>18.0</v>
      </c>
      <c r="D952" s="27"/>
    </row>
    <row r="953" hidden="1">
      <c r="A953" s="26">
        <v>44520.739106203706</v>
      </c>
      <c r="B953" s="20" t="s">
        <v>300</v>
      </c>
      <c r="C953" s="20" t="s">
        <v>1012</v>
      </c>
      <c r="D953" s="27"/>
    </row>
    <row r="954" hidden="1">
      <c r="A954" s="26">
        <v>44521.57876696759</v>
      </c>
      <c r="B954" s="20" t="s">
        <v>163</v>
      </c>
      <c r="C954" s="20">
        <v>4.0</v>
      </c>
      <c r="D954" s="27"/>
    </row>
    <row r="955" hidden="1">
      <c r="A955" s="26">
        <v>44521.680241828704</v>
      </c>
      <c r="B955" s="20" t="s">
        <v>982</v>
      </c>
      <c r="C955" s="20">
        <v>9.7</v>
      </c>
      <c r="D955" s="27"/>
    </row>
    <row r="956" hidden="1">
      <c r="A956" s="26">
        <v>44521.68036484954</v>
      </c>
      <c r="B956" s="20" t="s">
        <v>144</v>
      </c>
      <c r="C956" s="20">
        <v>9.0</v>
      </c>
      <c r="D956" s="27"/>
    </row>
    <row r="957" hidden="1">
      <c r="A957" s="26">
        <v>44521.68297995371</v>
      </c>
      <c r="B957" s="20" t="s">
        <v>971</v>
      </c>
      <c r="C957" s="20">
        <v>20.0</v>
      </c>
      <c r="D957" s="27"/>
    </row>
    <row r="958" hidden="1">
      <c r="A958" s="26">
        <v>44521.68337670139</v>
      </c>
      <c r="B958" s="20" t="s">
        <v>242</v>
      </c>
      <c r="C958" s="20">
        <v>4.0</v>
      </c>
      <c r="D958" s="27"/>
    </row>
    <row r="959" hidden="1">
      <c r="A959" s="26">
        <v>44521.68671425926</v>
      </c>
      <c r="B959" s="20" t="s">
        <v>975</v>
      </c>
      <c r="C959" s="20">
        <v>20.0</v>
      </c>
      <c r="D959" s="27"/>
    </row>
    <row r="960" hidden="1">
      <c r="A960" s="26">
        <v>44521.68844116898</v>
      </c>
      <c r="B960" s="20" t="s">
        <v>1118</v>
      </c>
      <c r="C960" s="20">
        <v>3.0</v>
      </c>
      <c r="D960" s="27"/>
    </row>
    <row r="961" hidden="1">
      <c r="A961" s="26">
        <v>44521.69038753472</v>
      </c>
      <c r="B961" s="20" t="s">
        <v>242</v>
      </c>
      <c r="C961" s="20">
        <v>15.0</v>
      </c>
      <c r="D961" s="27"/>
    </row>
    <row r="962" hidden="1">
      <c r="A962" s="26">
        <v>44521.702662800926</v>
      </c>
      <c r="B962" s="20" t="s">
        <v>203</v>
      </c>
      <c r="C962" s="20">
        <v>33.0</v>
      </c>
      <c r="D962" s="27"/>
    </row>
    <row r="963" hidden="1">
      <c r="A963" s="26">
        <v>44521.707129560185</v>
      </c>
      <c r="B963" s="20" t="s">
        <v>191</v>
      </c>
      <c r="C963" s="20">
        <v>36.0</v>
      </c>
      <c r="D963" s="27"/>
    </row>
    <row r="964" hidden="1">
      <c r="A964" s="26">
        <v>44521.70753645833</v>
      </c>
      <c r="B964" s="20" t="s">
        <v>193</v>
      </c>
      <c r="C964" s="20" t="s">
        <v>1119</v>
      </c>
      <c r="D964" s="27"/>
    </row>
    <row r="965" hidden="1">
      <c r="A965" s="26">
        <v>44523.64452260417</v>
      </c>
      <c r="B965" s="20" t="s">
        <v>203</v>
      </c>
      <c r="C965" s="20">
        <v>1.0</v>
      </c>
      <c r="D965" s="27"/>
    </row>
    <row r="966" hidden="1">
      <c r="A966" s="26">
        <v>44523.65119398148</v>
      </c>
      <c r="B966" s="20" t="s">
        <v>191</v>
      </c>
      <c r="C966" s="20" t="s">
        <v>1120</v>
      </c>
      <c r="D966" s="27"/>
    </row>
    <row r="967" hidden="1">
      <c r="A967" s="26">
        <v>44523.686056666666</v>
      </c>
      <c r="B967" s="20" t="s">
        <v>1121</v>
      </c>
      <c r="C967" s="20">
        <v>18.0</v>
      </c>
      <c r="D967" s="27"/>
    </row>
    <row r="968" hidden="1">
      <c r="A968" s="26">
        <v>44523.68636987268</v>
      </c>
      <c r="B968" s="20" t="s">
        <v>1121</v>
      </c>
      <c r="C968" s="20" t="s">
        <v>1122</v>
      </c>
      <c r="D968" s="27"/>
    </row>
    <row r="969" hidden="1">
      <c r="A969" s="26">
        <v>44523.731862395834</v>
      </c>
      <c r="B969" s="20" t="s">
        <v>931</v>
      </c>
      <c r="C969" s="20">
        <v>38.0</v>
      </c>
      <c r="D969" s="27"/>
    </row>
    <row r="970" hidden="1">
      <c r="A970" s="26">
        <v>44523.73227916667</v>
      </c>
      <c r="B970" s="20" t="s">
        <v>962</v>
      </c>
      <c r="C970" s="20">
        <v>24.0</v>
      </c>
      <c r="D970" s="27"/>
    </row>
    <row r="971" hidden="1">
      <c r="A971" s="26">
        <v>44523.80839304398</v>
      </c>
      <c r="B971" s="20" t="s">
        <v>326</v>
      </c>
      <c r="C971" s="20" t="s">
        <v>1098</v>
      </c>
      <c r="D971" s="27"/>
    </row>
    <row r="972" hidden="1">
      <c r="A972" s="26">
        <v>44523.86987555555</v>
      </c>
      <c r="B972" s="20" t="s">
        <v>349</v>
      </c>
      <c r="C972" s="20">
        <v>5.0</v>
      </c>
      <c r="D972" s="27"/>
    </row>
    <row r="973" hidden="1">
      <c r="A973" s="26">
        <v>44523.882280439815</v>
      </c>
      <c r="B973" s="20" t="s">
        <v>1123</v>
      </c>
      <c r="C973" s="20">
        <v>18.0</v>
      </c>
      <c r="D973" s="27"/>
    </row>
    <row r="974" hidden="1">
      <c r="A974" s="26">
        <v>44523.88376744213</v>
      </c>
      <c r="B974" s="20" t="s">
        <v>1124</v>
      </c>
      <c r="C974" s="20">
        <v>26.0</v>
      </c>
      <c r="D974" s="27"/>
    </row>
    <row r="975" hidden="1">
      <c r="A975" s="26">
        <v>44523.883985810186</v>
      </c>
      <c r="B975" s="20" t="s">
        <v>842</v>
      </c>
      <c r="C975" s="20">
        <v>19.0</v>
      </c>
      <c r="D975" s="27"/>
    </row>
    <row r="976" hidden="1">
      <c r="A976" s="26">
        <v>44523.885298402776</v>
      </c>
      <c r="B976" s="20" t="s">
        <v>1125</v>
      </c>
      <c r="C976" s="20">
        <v>16.0</v>
      </c>
      <c r="D976" s="27"/>
    </row>
    <row r="977" hidden="1">
      <c r="A977" s="26">
        <v>44523.88630381944</v>
      </c>
      <c r="B977" s="20" t="s">
        <v>1126</v>
      </c>
      <c r="C977" s="20" t="s">
        <v>1085</v>
      </c>
      <c r="D977" s="27"/>
    </row>
    <row r="978" hidden="1">
      <c r="A978" s="26">
        <v>44523.88907747685</v>
      </c>
      <c r="B978" s="20" t="s">
        <v>975</v>
      </c>
      <c r="C978" s="20">
        <v>20.0</v>
      </c>
      <c r="D978" s="27"/>
    </row>
    <row r="979" hidden="1">
      <c r="A979" s="26">
        <v>44523.889529629625</v>
      </c>
      <c r="B979" s="20" t="s">
        <v>1127</v>
      </c>
      <c r="C979" s="20" t="s">
        <v>1128</v>
      </c>
      <c r="D979" s="27"/>
    </row>
    <row r="980" hidden="1">
      <c r="A980" s="26">
        <v>44523.8896966551</v>
      </c>
      <c r="B980" s="20" t="s">
        <v>971</v>
      </c>
      <c r="C980" s="20">
        <v>20.0</v>
      </c>
      <c r="D980" s="27"/>
    </row>
    <row r="981" hidden="1">
      <c r="A981" s="26">
        <v>44523.89563241898</v>
      </c>
      <c r="B981" s="20" t="s">
        <v>177</v>
      </c>
      <c r="C981" s="20">
        <v>18.0</v>
      </c>
      <c r="D981" s="27"/>
    </row>
    <row r="982" hidden="1">
      <c r="A982" s="26">
        <v>44523.89579591435</v>
      </c>
      <c r="B982" s="20" t="s">
        <v>235</v>
      </c>
      <c r="C982" s="20">
        <v>7.0</v>
      </c>
      <c r="D982" s="27"/>
    </row>
    <row r="983" hidden="1">
      <c r="A983" s="26">
        <v>44523.896145439816</v>
      </c>
      <c r="B983" s="20" t="s">
        <v>242</v>
      </c>
      <c r="C983" s="20">
        <v>13.0</v>
      </c>
      <c r="D983" s="27"/>
    </row>
    <row r="984" hidden="1">
      <c r="A984" s="26">
        <v>44523.90418041666</v>
      </c>
      <c r="B984" s="20" t="s">
        <v>242</v>
      </c>
      <c r="C984" s="20">
        <v>22.0</v>
      </c>
      <c r="D984" s="27"/>
    </row>
    <row r="985" hidden="1">
      <c r="A985" s="26">
        <v>44524.12785803241</v>
      </c>
      <c r="B985" s="20" t="s">
        <v>191</v>
      </c>
      <c r="C985" s="20" t="s">
        <v>1129</v>
      </c>
      <c r="D985" s="27"/>
    </row>
    <row r="986" hidden="1">
      <c r="A986" s="26">
        <v>44524.22713034722</v>
      </c>
      <c r="B986" s="20" t="s">
        <v>1130</v>
      </c>
      <c r="C986" s="20">
        <v>79.0</v>
      </c>
      <c r="D986" s="27"/>
    </row>
    <row r="987" hidden="1">
      <c r="A987" s="26">
        <v>44528.66787388889</v>
      </c>
      <c r="B987" s="20" t="s">
        <v>193</v>
      </c>
      <c r="C987" s="20">
        <v>18.0</v>
      </c>
      <c r="D987" s="27"/>
    </row>
    <row r="988" hidden="1">
      <c r="A988" s="26">
        <v>44528.66921332176</v>
      </c>
      <c r="B988" s="20" t="s">
        <v>1131</v>
      </c>
      <c r="C988" s="20">
        <v>20.0</v>
      </c>
      <c r="D988" s="27"/>
    </row>
    <row r="989" hidden="1">
      <c r="A989" s="26">
        <v>44528.67133832176</v>
      </c>
      <c r="B989" s="20" t="s">
        <v>528</v>
      </c>
      <c r="C989" s="20">
        <v>20.0</v>
      </c>
      <c r="D989" s="27"/>
    </row>
    <row r="990" hidden="1">
      <c r="A990" s="26">
        <v>44528.67242149306</v>
      </c>
      <c r="B990" s="20" t="s">
        <v>191</v>
      </c>
      <c r="C990" s="20" t="s">
        <v>1132</v>
      </c>
      <c r="D990" s="27"/>
    </row>
    <row r="991" hidden="1">
      <c r="A991" s="26">
        <v>44528.67775962963</v>
      </c>
      <c r="B991" s="20" t="s">
        <v>1123</v>
      </c>
      <c r="C991" s="20">
        <v>20.0</v>
      </c>
      <c r="D991" s="27"/>
    </row>
    <row r="992" hidden="1">
      <c r="A992" s="26">
        <v>44528.67928135417</v>
      </c>
      <c r="B992" s="20" t="s">
        <v>1133</v>
      </c>
      <c r="C992" s="20">
        <v>3.0</v>
      </c>
      <c r="D992" s="27"/>
    </row>
    <row r="993" hidden="1">
      <c r="A993" s="26">
        <v>44528.67957594908</v>
      </c>
      <c r="B993" s="20" t="s">
        <v>79</v>
      </c>
      <c r="C993" s="20">
        <v>8.0</v>
      </c>
      <c r="D993" s="27"/>
    </row>
    <row r="994" hidden="1">
      <c r="A994" s="26">
        <v>44528.679659120375</v>
      </c>
      <c r="B994" s="20" t="s">
        <v>982</v>
      </c>
      <c r="C994" s="20">
        <v>12.2</v>
      </c>
      <c r="D994" s="27"/>
    </row>
    <row r="995" hidden="1">
      <c r="A995" s="26">
        <v>44528.680477685186</v>
      </c>
      <c r="B995" s="20" t="s">
        <v>1123</v>
      </c>
      <c r="C995" s="20">
        <v>15.0</v>
      </c>
      <c r="D995" s="27"/>
    </row>
    <row r="996" hidden="1">
      <c r="A996" s="26">
        <v>44528.68112851852</v>
      </c>
      <c r="B996" s="20" t="s">
        <v>203</v>
      </c>
      <c r="C996" s="20">
        <v>9.0</v>
      </c>
      <c r="D996" s="27"/>
    </row>
    <row r="997" hidden="1">
      <c r="A997" s="26">
        <v>44528.68132894676</v>
      </c>
      <c r="B997" s="20" t="s">
        <v>1134</v>
      </c>
      <c r="C997" s="20">
        <v>17.0</v>
      </c>
      <c r="D997" s="27"/>
    </row>
    <row r="998" hidden="1">
      <c r="A998" s="26">
        <v>44528.83634165509</v>
      </c>
      <c r="B998" s="20" t="s">
        <v>298</v>
      </c>
      <c r="C998" s="20">
        <v>160.0</v>
      </c>
      <c r="D998" s="27"/>
    </row>
    <row r="999" hidden="1">
      <c r="A999" s="26">
        <v>44530.6909665625</v>
      </c>
      <c r="B999" s="20" t="s">
        <v>922</v>
      </c>
      <c r="C999" s="20" t="s">
        <v>1135</v>
      </c>
      <c r="D999" s="27"/>
    </row>
    <row r="1000" hidden="1">
      <c r="A1000" s="26">
        <v>44530.72883927083</v>
      </c>
      <c r="B1000" s="20" t="s">
        <v>995</v>
      </c>
      <c r="C1000" s="20">
        <v>20.0</v>
      </c>
      <c r="D1000" s="27"/>
    </row>
    <row r="1001" hidden="1">
      <c r="A1001" s="26">
        <v>44530.73602935185</v>
      </c>
      <c r="B1001" s="20" t="s">
        <v>203</v>
      </c>
      <c r="C1001" s="20">
        <v>12.0</v>
      </c>
      <c r="D1001" s="27"/>
    </row>
    <row r="1002" hidden="1">
      <c r="A1002" s="26">
        <v>44530.73681768519</v>
      </c>
      <c r="B1002" s="20" t="s">
        <v>203</v>
      </c>
      <c r="C1002" s="20" t="s">
        <v>1136</v>
      </c>
      <c r="D1002" s="27"/>
    </row>
    <row r="1003" hidden="1">
      <c r="A1003" s="26">
        <v>44530.738651458334</v>
      </c>
      <c r="B1003" s="20" t="s">
        <v>870</v>
      </c>
      <c r="C1003" s="20">
        <v>26.0</v>
      </c>
      <c r="D1003" s="27"/>
    </row>
    <row r="1004" hidden="1">
      <c r="A1004" s="26">
        <v>44531.69573386574</v>
      </c>
      <c r="B1004" s="20" t="s">
        <v>153</v>
      </c>
      <c r="C1004" s="20">
        <v>2.0</v>
      </c>
      <c r="D1004" s="27"/>
    </row>
    <row r="1005" hidden="1">
      <c r="A1005" s="26">
        <v>44531.75369456019</v>
      </c>
      <c r="B1005" s="20" t="s">
        <v>193</v>
      </c>
      <c r="C1005" s="20">
        <v>18.0</v>
      </c>
      <c r="D1005" s="27"/>
    </row>
    <row r="1006" hidden="1">
      <c r="A1006" s="26">
        <v>44531.81869487268</v>
      </c>
      <c r="B1006" s="20" t="s">
        <v>1137</v>
      </c>
      <c r="C1006" s="20">
        <v>8.0</v>
      </c>
      <c r="D1006" s="27"/>
    </row>
    <row r="1007" hidden="1">
      <c r="A1007" s="26">
        <v>44531.818919212965</v>
      </c>
      <c r="B1007" s="20" t="s">
        <v>193</v>
      </c>
      <c r="C1007" s="20">
        <v>12.0</v>
      </c>
      <c r="D1007" s="27"/>
    </row>
    <row r="1008" hidden="1">
      <c r="A1008" s="26">
        <v>44531.89840174769</v>
      </c>
      <c r="B1008" s="20" t="s">
        <v>888</v>
      </c>
      <c r="C1008" s="20">
        <v>19.98</v>
      </c>
      <c r="D1008" s="27"/>
    </row>
    <row r="1009" hidden="1">
      <c r="A1009" s="26">
        <v>44531.898720324076</v>
      </c>
      <c r="B1009" s="20" t="s">
        <v>800</v>
      </c>
      <c r="C1009" s="20">
        <v>19.0</v>
      </c>
      <c r="D1009" s="27"/>
    </row>
    <row r="1010" hidden="1">
      <c r="A1010" s="26">
        <v>44531.90213798611</v>
      </c>
      <c r="B1010" s="20" t="s">
        <v>818</v>
      </c>
      <c r="C1010" s="20" t="s">
        <v>1028</v>
      </c>
      <c r="D1010" s="27"/>
    </row>
    <row r="1011" hidden="1">
      <c r="A1011" s="26">
        <v>44531.9035034838</v>
      </c>
      <c r="B1011" s="20" t="s">
        <v>829</v>
      </c>
      <c r="C1011" s="20">
        <v>20.0</v>
      </c>
      <c r="D1011" s="27"/>
    </row>
    <row r="1012" hidden="1">
      <c r="A1012" s="26">
        <v>44531.90364429398</v>
      </c>
      <c r="B1012" s="20" t="s">
        <v>1138</v>
      </c>
      <c r="C1012" s="20">
        <v>22.0</v>
      </c>
      <c r="D1012" s="27"/>
    </row>
    <row r="1013" hidden="1">
      <c r="A1013" s="26">
        <v>44531.90502553241</v>
      </c>
      <c r="B1013" s="20" t="s">
        <v>786</v>
      </c>
      <c r="C1013" s="20">
        <v>17.0</v>
      </c>
      <c r="D1013" s="27"/>
    </row>
    <row r="1014" hidden="1">
      <c r="A1014" s="26">
        <v>44531.90549577546</v>
      </c>
      <c r="B1014" s="20" t="s">
        <v>787</v>
      </c>
      <c r="C1014" s="20">
        <v>24.0</v>
      </c>
      <c r="D1014" s="27"/>
    </row>
    <row r="1015" hidden="1">
      <c r="A1015" s="26">
        <v>44532.70657618056</v>
      </c>
      <c r="B1015" s="20" t="s">
        <v>1139</v>
      </c>
      <c r="C1015" s="20" t="s">
        <v>1140</v>
      </c>
      <c r="D1015" s="27"/>
    </row>
    <row r="1016" hidden="1">
      <c r="A1016" s="26">
        <v>44532.7071522801</v>
      </c>
      <c r="B1016" s="20" t="s">
        <v>809</v>
      </c>
      <c r="C1016" s="20">
        <v>17.0</v>
      </c>
      <c r="D1016" s="27"/>
    </row>
    <row r="1017" hidden="1">
      <c r="A1017" s="26">
        <v>44532.7075025</v>
      </c>
      <c r="B1017" s="20" t="s">
        <v>235</v>
      </c>
      <c r="C1017" s="20">
        <v>49.0</v>
      </c>
      <c r="D1017" s="27"/>
    </row>
    <row r="1018" hidden="1">
      <c r="A1018" s="26">
        <v>44532.71472836805</v>
      </c>
      <c r="B1018" s="20" t="s">
        <v>886</v>
      </c>
      <c r="C1018" s="20" t="s">
        <v>1141</v>
      </c>
      <c r="D1018" s="27"/>
    </row>
    <row r="1019" hidden="1">
      <c r="A1019" s="26">
        <v>44532.74488888889</v>
      </c>
      <c r="B1019" s="20" t="s">
        <v>177</v>
      </c>
      <c r="C1019" s="20">
        <v>19.0</v>
      </c>
      <c r="D1019" s="27"/>
    </row>
    <row r="1020" hidden="1">
      <c r="A1020" s="26">
        <v>44532.746798402775</v>
      </c>
      <c r="B1020" s="20" t="s">
        <v>242</v>
      </c>
      <c r="C1020" s="20">
        <v>120.0</v>
      </c>
      <c r="D1020" s="27"/>
    </row>
    <row r="1021" hidden="1">
      <c r="A1021" s="26">
        <v>44532.752409305554</v>
      </c>
      <c r="B1021" s="20" t="s">
        <v>1142</v>
      </c>
      <c r="C1021" s="20">
        <v>33.0</v>
      </c>
      <c r="D1021" s="27"/>
    </row>
    <row r="1022" hidden="1">
      <c r="A1022" s="26">
        <v>44532.804979884255</v>
      </c>
      <c r="B1022" s="20" t="s">
        <v>203</v>
      </c>
      <c r="C1022" s="20">
        <v>7.0</v>
      </c>
      <c r="D1022" s="27"/>
    </row>
    <row r="1023" hidden="1">
      <c r="A1023" s="26">
        <v>44532.87237025463</v>
      </c>
      <c r="B1023" s="20" t="s">
        <v>167</v>
      </c>
      <c r="C1023" s="20">
        <v>23.0</v>
      </c>
      <c r="D1023" s="27"/>
    </row>
    <row r="1024" hidden="1">
      <c r="A1024" s="26">
        <v>44532.87462263889</v>
      </c>
      <c r="B1024" s="20" t="s">
        <v>820</v>
      </c>
      <c r="C1024" s="20">
        <v>7.0</v>
      </c>
      <c r="D1024" s="27"/>
    </row>
    <row r="1025" hidden="1">
      <c r="A1025" s="26">
        <v>44532.87809121527</v>
      </c>
      <c r="B1025" s="20" t="s">
        <v>801</v>
      </c>
      <c r="C1025" s="20" t="s">
        <v>1143</v>
      </c>
      <c r="D1025" s="27"/>
    </row>
    <row r="1026" hidden="1">
      <c r="A1026" s="26">
        <v>44532.87910525463</v>
      </c>
      <c r="B1026" s="20" t="s">
        <v>1144</v>
      </c>
      <c r="C1026" s="20">
        <v>17.0</v>
      </c>
      <c r="D1026" s="27"/>
    </row>
    <row r="1027" hidden="1">
      <c r="A1027" s="26">
        <v>44533.71702611111</v>
      </c>
      <c r="B1027" s="20" t="s">
        <v>344</v>
      </c>
      <c r="C1027" s="20">
        <v>19.0</v>
      </c>
      <c r="D1027" s="27"/>
    </row>
    <row r="1028" hidden="1">
      <c r="A1028" s="26">
        <v>44533.71812361111</v>
      </c>
      <c r="B1028" s="20" t="s">
        <v>1006</v>
      </c>
      <c r="C1028" s="20">
        <v>17.0</v>
      </c>
      <c r="D1028" s="27"/>
    </row>
    <row r="1029" hidden="1">
      <c r="A1029" s="26">
        <v>44533.71849331018</v>
      </c>
      <c r="B1029" s="20" t="s">
        <v>344</v>
      </c>
      <c r="C1029" s="20" t="s">
        <v>1145</v>
      </c>
      <c r="D1029" s="27"/>
    </row>
    <row r="1030" hidden="1">
      <c r="A1030" s="26">
        <v>44533.71884920139</v>
      </c>
      <c r="B1030" s="20" t="s">
        <v>288</v>
      </c>
      <c r="C1030" s="20">
        <v>12.0</v>
      </c>
      <c r="D1030" s="27"/>
    </row>
    <row r="1031" hidden="1">
      <c r="A1031" s="26">
        <v>44533.723965625</v>
      </c>
      <c r="B1031" s="20" t="s">
        <v>203</v>
      </c>
      <c r="C1031" s="20">
        <v>12.0</v>
      </c>
      <c r="D1031" s="27"/>
    </row>
    <row r="1032" hidden="1">
      <c r="A1032" s="26">
        <v>44534.70510556713</v>
      </c>
      <c r="B1032" s="20" t="s">
        <v>1146</v>
      </c>
      <c r="C1032" s="20">
        <v>20.0</v>
      </c>
      <c r="D1032" s="27"/>
    </row>
    <row r="1033" hidden="1">
      <c r="A1033" s="26">
        <v>44534.70876292824</v>
      </c>
      <c r="B1033" s="20" t="s">
        <v>91</v>
      </c>
      <c r="C1033" s="20">
        <v>10.5</v>
      </c>
      <c r="D1033" s="27"/>
    </row>
    <row r="1034" hidden="1">
      <c r="A1034" s="26">
        <v>44534.71139766204</v>
      </c>
      <c r="B1034" s="20" t="s">
        <v>178</v>
      </c>
      <c r="C1034" s="20">
        <v>15.0</v>
      </c>
      <c r="D1034" s="27"/>
    </row>
    <row r="1035" hidden="1">
      <c r="A1035" s="26">
        <v>44534.76282805555</v>
      </c>
      <c r="B1035" s="20" t="s">
        <v>300</v>
      </c>
      <c r="C1035" s="20" t="s">
        <v>1012</v>
      </c>
      <c r="D1035" s="27"/>
    </row>
    <row r="1036" hidden="1">
      <c r="A1036" s="26">
        <v>44535.55275231482</v>
      </c>
      <c r="B1036" s="20" t="s">
        <v>191</v>
      </c>
      <c r="C1036" s="20" t="s">
        <v>1147</v>
      </c>
      <c r="D1036" s="27"/>
    </row>
    <row r="1037" hidden="1">
      <c r="A1037" s="26">
        <v>44535.6719493287</v>
      </c>
      <c r="B1037" s="20" t="s">
        <v>995</v>
      </c>
      <c r="C1037" s="20">
        <v>20.0</v>
      </c>
      <c r="D1037" s="27"/>
    </row>
    <row r="1038" hidden="1">
      <c r="A1038" s="26">
        <v>44535.67441129629</v>
      </c>
      <c r="B1038" s="20" t="s">
        <v>799</v>
      </c>
      <c r="C1038" s="20">
        <v>14.7</v>
      </c>
      <c r="D1038" s="27"/>
    </row>
    <row r="1039" hidden="1">
      <c r="A1039" s="26">
        <v>44535.6763278125</v>
      </c>
      <c r="B1039" s="20" t="s">
        <v>79</v>
      </c>
      <c r="C1039" s="20">
        <v>6.5</v>
      </c>
      <c r="D1039" s="27"/>
    </row>
    <row r="1040" hidden="1">
      <c r="A1040" s="26">
        <v>44535.67652981482</v>
      </c>
      <c r="B1040" s="20" t="s">
        <v>1148</v>
      </c>
      <c r="C1040" s="20">
        <v>19.4</v>
      </c>
      <c r="D1040" s="27"/>
    </row>
    <row r="1041" hidden="1">
      <c r="A1041" s="26">
        <v>44535.69615146991</v>
      </c>
      <c r="B1041" s="20" t="s">
        <v>193</v>
      </c>
      <c r="C1041" s="20">
        <v>15.0</v>
      </c>
      <c r="D1041" s="27"/>
    </row>
    <row r="1042" hidden="1">
      <c r="A1042" s="26">
        <v>44535.70446167824</v>
      </c>
      <c r="B1042" s="20" t="s">
        <v>193</v>
      </c>
      <c r="C1042" s="20" t="s">
        <v>1149</v>
      </c>
      <c r="D1042" s="27"/>
    </row>
    <row r="1043" hidden="1">
      <c r="A1043" s="26">
        <v>44535.86833799769</v>
      </c>
      <c r="B1043" s="20" t="s">
        <v>298</v>
      </c>
      <c r="C1043" s="20">
        <v>130.0</v>
      </c>
      <c r="D1043" s="27"/>
    </row>
    <row r="1044" hidden="1">
      <c r="A1044" s="26">
        <v>44537.70331445602</v>
      </c>
      <c r="B1044" s="20" t="s">
        <v>1008</v>
      </c>
      <c r="C1044" s="20" t="s">
        <v>1150</v>
      </c>
      <c r="D1044" s="27"/>
    </row>
    <row r="1045" hidden="1">
      <c r="A1045" s="26">
        <v>44537.70787349537</v>
      </c>
      <c r="B1045" s="20" t="s">
        <v>995</v>
      </c>
      <c r="C1045" s="20">
        <v>11.2</v>
      </c>
      <c r="D1045" s="27"/>
    </row>
    <row r="1046" hidden="1">
      <c r="A1046" s="26">
        <v>44537.70835903935</v>
      </c>
      <c r="B1046" s="20" t="s">
        <v>995</v>
      </c>
      <c r="C1046" s="20">
        <v>22.2</v>
      </c>
      <c r="D1046" s="27"/>
    </row>
    <row r="1047" hidden="1">
      <c r="A1047" s="26">
        <v>44537.715207685185</v>
      </c>
      <c r="B1047" s="20" t="s">
        <v>1151</v>
      </c>
      <c r="C1047" s="20">
        <v>28.0</v>
      </c>
      <c r="D1047" s="27"/>
    </row>
    <row r="1048" hidden="1">
      <c r="A1048" s="26">
        <v>44537.7154080787</v>
      </c>
      <c r="B1048" s="20" t="s">
        <v>1152</v>
      </c>
      <c r="C1048" s="20">
        <v>65.0</v>
      </c>
      <c r="D1048" s="27"/>
    </row>
    <row r="1049" hidden="1">
      <c r="A1049" s="26">
        <v>44537.71581086806</v>
      </c>
      <c r="B1049" s="20" t="s">
        <v>831</v>
      </c>
      <c r="C1049" s="20">
        <v>20.0</v>
      </c>
      <c r="D1049" s="27"/>
    </row>
    <row r="1050" hidden="1">
      <c r="A1050" s="26">
        <v>44537.71720467592</v>
      </c>
      <c r="B1050" s="20" t="s">
        <v>1153</v>
      </c>
      <c r="C1050" s="20">
        <v>21.6</v>
      </c>
      <c r="D1050" s="27"/>
    </row>
    <row r="1051" hidden="1">
      <c r="A1051" s="26">
        <v>44537.71745322917</v>
      </c>
      <c r="B1051" s="20" t="s">
        <v>1154</v>
      </c>
      <c r="C1051" s="20">
        <v>14.3</v>
      </c>
      <c r="D1051" s="27"/>
    </row>
    <row r="1052" hidden="1">
      <c r="A1052" s="26">
        <v>44538.69761673611</v>
      </c>
      <c r="B1052" s="20" t="s">
        <v>153</v>
      </c>
      <c r="C1052" s="20">
        <v>7.0</v>
      </c>
      <c r="D1052" s="27"/>
    </row>
    <row r="1053" hidden="1">
      <c r="A1053" s="26">
        <v>44538.74344976852</v>
      </c>
      <c r="B1053" s="20" t="s">
        <v>242</v>
      </c>
      <c r="C1053" s="20">
        <v>21.0</v>
      </c>
      <c r="D1053" s="27"/>
    </row>
    <row r="1054" hidden="1">
      <c r="A1054" s="26">
        <v>44538.79562738426</v>
      </c>
      <c r="B1054" s="20" t="s">
        <v>177</v>
      </c>
      <c r="C1054" s="20">
        <v>13.0</v>
      </c>
      <c r="D1054" s="27"/>
    </row>
    <row r="1055" hidden="1">
      <c r="A1055" s="26">
        <v>44538.79655640046</v>
      </c>
      <c r="B1055" s="20" t="s">
        <v>235</v>
      </c>
      <c r="C1055" s="20">
        <v>17.0</v>
      </c>
      <c r="D1055" s="27"/>
    </row>
    <row r="1056" hidden="1">
      <c r="A1056" s="26">
        <v>44538.79940380787</v>
      </c>
      <c r="B1056" s="20" t="s">
        <v>235</v>
      </c>
      <c r="C1056" s="20">
        <v>20.0</v>
      </c>
      <c r="D1056" s="27"/>
    </row>
    <row r="1057" hidden="1">
      <c r="A1057" s="26">
        <v>44538.86256577546</v>
      </c>
      <c r="B1057" s="20" t="s">
        <v>804</v>
      </c>
      <c r="C1057" s="20" t="s">
        <v>1155</v>
      </c>
      <c r="D1057" s="27"/>
    </row>
    <row r="1058" hidden="1">
      <c r="A1058" s="26">
        <v>44538.86492221065</v>
      </c>
      <c r="B1058" s="20" t="s">
        <v>1087</v>
      </c>
      <c r="C1058" s="20">
        <v>20.0</v>
      </c>
      <c r="D1058" s="27"/>
    </row>
    <row r="1059" hidden="1">
      <c r="A1059" s="26">
        <v>44538.867863761574</v>
      </c>
      <c r="B1059" s="20" t="s">
        <v>1133</v>
      </c>
      <c r="C1059" s="20">
        <v>10.0</v>
      </c>
      <c r="D1059" s="27"/>
    </row>
    <row r="1060" hidden="1">
      <c r="A1060" s="26">
        <v>44538.86814791667</v>
      </c>
      <c r="B1060" s="20" t="s">
        <v>1117</v>
      </c>
      <c r="C1060" s="20">
        <v>11.0</v>
      </c>
      <c r="D1060" s="27"/>
    </row>
    <row r="1061" hidden="1">
      <c r="A1061" s="26">
        <v>44538.87026206018</v>
      </c>
      <c r="B1061" s="20" t="s">
        <v>971</v>
      </c>
      <c r="C1061" s="20">
        <v>19.0</v>
      </c>
      <c r="D1061" s="27"/>
    </row>
    <row r="1062" hidden="1">
      <c r="A1062" s="26">
        <v>44538.87043769676</v>
      </c>
      <c r="B1062" s="20" t="s">
        <v>1156</v>
      </c>
      <c r="C1062" s="20">
        <v>20.0</v>
      </c>
      <c r="D1062" s="27"/>
    </row>
    <row r="1063" hidden="1">
      <c r="A1063" s="26">
        <v>44538.87061064815</v>
      </c>
      <c r="B1063" s="20" t="s">
        <v>1107</v>
      </c>
      <c r="C1063" s="20">
        <v>19.0</v>
      </c>
      <c r="D1063" s="27"/>
    </row>
    <row r="1064" hidden="1">
      <c r="A1064" s="26">
        <v>44538.87104116898</v>
      </c>
      <c r="B1064" s="20" t="s">
        <v>842</v>
      </c>
      <c r="C1064" s="20">
        <v>17.0</v>
      </c>
      <c r="D1064" s="27"/>
    </row>
    <row r="1065" hidden="1">
      <c r="A1065" s="26">
        <v>44538.87148450231</v>
      </c>
      <c r="B1065" s="20" t="s">
        <v>35</v>
      </c>
      <c r="C1065" s="20">
        <v>20.0</v>
      </c>
      <c r="D1065" s="27"/>
    </row>
    <row r="1066" hidden="1">
      <c r="A1066" s="26">
        <v>44538.872297905094</v>
      </c>
      <c r="B1066" s="20" t="s">
        <v>129</v>
      </c>
      <c r="C1066" s="20">
        <v>17.0</v>
      </c>
      <c r="D1066" s="27"/>
    </row>
    <row r="1067" hidden="1">
      <c r="A1067" s="26">
        <v>44538.87247769676</v>
      </c>
      <c r="B1067" s="20" t="s">
        <v>129</v>
      </c>
      <c r="C1067" s="20">
        <v>9.0</v>
      </c>
      <c r="D1067" s="27"/>
    </row>
    <row r="1068" hidden="1">
      <c r="A1068" s="26">
        <v>44538.8727783912</v>
      </c>
      <c r="B1068" s="20" t="s">
        <v>1157</v>
      </c>
      <c r="C1068" s="20">
        <v>23.0</v>
      </c>
      <c r="D1068" s="27"/>
    </row>
    <row r="1069" hidden="1">
      <c r="A1069" s="26">
        <v>44538.87538216435</v>
      </c>
      <c r="B1069" s="20" t="s">
        <v>975</v>
      </c>
      <c r="C1069" s="20">
        <v>40.0</v>
      </c>
      <c r="D1069" s="27"/>
    </row>
    <row r="1070" hidden="1">
      <c r="A1070" s="26">
        <v>44538.879198449074</v>
      </c>
      <c r="B1070" s="20" t="s">
        <v>896</v>
      </c>
      <c r="C1070" s="20">
        <v>19.0</v>
      </c>
      <c r="D1070" s="27"/>
    </row>
    <row r="1071" hidden="1">
      <c r="A1071" s="26">
        <v>44538.87929196759</v>
      </c>
      <c r="B1071" s="20" t="s">
        <v>599</v>
      </c>
      <c r="C1071" s="20">
        <v>20.0</v>
      </c>
      <c r="D1071" s="27"/>
    </row>
    <row r="1072" hidden="1">
      <c r="A1072" s="26">
        <v>44538.88040408565</v>
      </c>
      <c r="B1072" s="20" t="s">
        <v>760</v>
      </c>
      <c r="C1072" s="20">
        <v>37.0</v>
      </c>
      <c r="D1072" s="27"/>
    </row>
    <row r="1073" hidden="1">
      <c r="A1073" s="26">
        <v>44538.88100336806</v>
      </c>
      <c r="B1073" s="20" t="s">
        <v>760</v>
      </c>
      <c r="C1073" s="20">
        <v>20.0</v>
      </c>
      <c r="D1073" s="27"/>
    </row>
    <row r="1074" hidden="1">
      <c r="A1074" s="26">
        <v>44538.88468185185</v>
      </c>
      <c r="B1074" s="20" t="s">
        <v>203</v>
      </c>
      <c r="C1074" s="20">
        <v>40.0</v>
      </c>
      <c r="D1074" s="27"/>
    </row>
    <row r="1075" hidden="1">
      <c r="A1075" s="26">
        <v>44538.8872962037</v>
      </c>
      <c r="B1075" s="20" t="s">
        <v>1158</v>
      </c>
      <c r="C1075" s="20" t="s">
        <v>1159</v>
      </c>
      <c r="D1075" s="27"/>
    </row>
    <row r="1076" hidden="1">
      <c r="A1076" s="26">
        <v>44538.89328203704</v>
      </c>
      <c r="B1076" s="20" t="s">
        <v>1160</v>
      </c>
      <c r="C1076" s="20">
        <v>47.0</v>
      </c>
      <c r="D1076" s="27"/>
    </row>
    <row r="1077" hidden="1">
      <c r="A1077" s="26">
        <v>44538.893764374996</v>
      </c>
      <c r="B1077" s="20" t="s">
        <v>193</v>
      </c>
      <c r="C1077" s="20">
        <v>36.0</v>
      </c>
      <c r="D1077" s="27"/>
    </row>
    <row r="1078" hidden="1">
      <c r="A1078" s="26">
        <v>44538.8939420949</v>
      </c>
      <c r="B1078" s="20" t="s">
        <v>193</v>
      </c>
      <c r="C1078" s="20" t="s">
        <v>1161</v>
      </c>
      <c r="D1078" s="27"/>
    </row>
    <row r="1079" hidden="1">
      <c r="A1079" s="26">
        <v>44539.711906006945</v>
      </c>
      <c r="B1079" s="20" t="s">
        <v>809</v>
      </c>
      <c r="C1079" s="20" t="s">
        <v>1162</v>
      </c>
      <c r="D1079" s="27"/>
    </row>
    <row r="1080" hidden="1">
      <c r="A1080" s="26">
        <v>44539.718531562496</v>
      </c>
      <c r="B1080" s="20" t="s">
        <v>327</v>
      </c>
      <c r="C1080" s="20" t="s">
        <v>1163</v>
      </c>
      <c r="D1080" s="27"/>
    </row>
    <row r="1081" hidden="1">
      <c r="A1081" s="26">
        <v>44539.72031322916</v>
      </c>
      <c r="B1081" s="20" t="s">
        <v>1020</v>
      </c>
      <c r="C1081" s="20" t="s">
        <v>1164</v>
      </c>
      <c r="D1081" s="27"/>
    </row>
    <row r="1082" hidden="1">
      <c r="A1082" s="26">
        <v>44539.72143314815</v>
      </c>
      <c r="B1082" s="20" t="s">
        <v>163</v>
      </c>
      <c r="C1082" s="20" t="s">
        <v>1165</v>
      </c>
      <c r="D1082" s="27"/>
    </row>
    <row r="1083" hidden="1">
      <c r="A1083" s="26">
        <v>44539.744903541665</v>
      </c>
      <c r="B1083" s="20" t="s">
        <v>203</v>
      </c>
      <c r="C1083" s="20" t="s">
        <v>1166</v>
      </c>
      <c r="D1083" s="27"/>
    </row>
    <row r="1084" hidden="1">
      <c r="A1084" s="26">
        <v>44539.88296787037</v>
      </c>
      <c r="B1084" s="20" t="s">
        <v>167</v>
      </c>
      <c r="C1084" s="20">
        <v>17.0</v>
      </c>
      <c r="D1084" s="27"/>
    </row>
    <row r="1085" hidden="1">
      <c r="A1085" s="26">
        <v>44539.95030123842</v>
      </c>
      <c r="B1085" s="20" t="s">
        <v>804</v>
      </c>
      <c r="C1085" s="20" t="s">
        <v>1155</v>
      </c>
      <c r="D1085" s="27"/>
    </row>
    <row r="1086" hidden="1">
      <c r="A1086" s="26">
        <v>44540.683771157404</v>
      </c>
      <c r="B1086" s="20" t="s">
        <v>203</v>
      </c>
      <c r="C1086" s="20">
        <v>20.0</v>
      </c>
      <c r="D1086" s="27"/>
    </row>
    <row r="1087" hidden="1">
      <c r="A1087" s="26">
        <v>44540.68709363426</v>
      </c>
      <c r="B1087" s="20" t="s">
        <v>344</v>
      </c>
      <c r="C1087" s="20" t="s">
        <v>1167</v>
      </c>
      <c r="D1087" s="27"/>
    </row>
    <row r="1088" hidden="1">
      <c r="A1088" s="26">
        <v>44540.68804627315</v>
      </c>
      <c r="B1088" s="20" t="s">
        <v>870</v>
      </c>
      <c r="C1088" s="20">
        <v>18.0</v>
      </c>
      <c r="D1088" s="27"/>
    </row>
    <row r="1089" hidden="1">
      <c r="A1089" s="26">
        <v>44540.68804675926</v>
      </c>
      <c r="B1089" s="20" t="s">
        <v>344</v>
      </c>
      <c r="C1089" s="20">
        <v>15.0</v>
      </c>
      <c r="D1089" s="27"/>
    </row>
    <row r="1090" hidden="1">
      <c r="A1090" s="26">
        <v>44540.68903498843</v>
      </c>
      <c r="B1090" s="20" t="s">
        <v>1005</v>
      </c>
      <c r="C1090" s="20">
        <v>10.0</v>
      </c>
      <c r="D1090" s="27"/>
    </row>
    <row r="1091" hidden="1">
      <c r="A1091" s="26">
        <v>44540.69026458333</v>
      </c>
      <c r="B1091" s="20" t="s">
        <v>193</v>
      </c>
      <c r="C1091" s="20">
        <v>18.0</v>
      </c>
      <c r="D1091" s="27"/>
    </row>
    <row r="1092" hidden="1">
      <c r="A1092" s="26">
        <v>44540.6907858912</v>
      </c>
      <c r="B1092" s="20" t="s">
        <v>193</v>
      </c>
      <c r="C1092" s="20" t="s">
        <v>1168</v>
      </c>
      <c r="D1092" s="27"/>
    </row>
    <row r="1093" hidden="1">
      <c r="A1093" s="26">
        <v>44540.692025509255</v>
      </c>
      <c r="B1093" s="20" t="s">
        <v>1169</v>
      </c>
      <c r="C1093" s="20">
        <v>10.0</v>
      </c>
      <c r="D1093" s="27"/>
    </row>
    <row r="1094" hidden="1">
      <c r="A1094" s="26">
        <v>44540.69237650463</v>
      </c>
      <c r="B1094" s="20" t="s">
        <v>1170</v>
      </c>
      <c r="C1094" s="20">
        <v>11.0</v>
      </c>
      <c r="D1094" s="27"/>
    </row>
    <row r="1095" hidden="1">
      <c r="A1095" s="26">
        <v>44540.70473766203</v>
      </c>
      <c r="B1095" s="20" t="s">
        <v>233</v>
      </c>
      <c r="C1095" s="20">
        <v>15.0</v>
      </c>
      <c r="D1095" s="27"/>
    </row>
    <row r="1096" hidden="1">
      <c r="A1096" s="26">
        <v>44541.71787246528</v>
      </c>
      <c r="B1096" s="20" t="s">
        <v>214</v>
      </c>
      <c r="C1096" s="20">
        <v>14.0</v>
      </c>
      <c r="D1096" s="27"/>
    </row>
    <row r="1097" hidden="1">
      <c r="A1097" s="26">
        <v>44541.72482574074</v>
      </c>
      <c r="B1097" s="20" t="s">
        <v>1171</v>
      </c>
      <c r="C1097" s="20">
        <v>20.0</v>
      </c>
      <c r="D1097" s="27"/>
    </row>
    <row r="1098" hidden="1">
      <c r="A1098" s="26">
        <v>44541.72874572917</v>
      </c>
      <c r="B1098" s="20" t="s">
        <v>178</v>
      </c>
      <c r="C1098" s="20">
        <v>4.0</v>
      </c>
      <c r="D1098" s="27"/>
    </row>
    <row r="1099" hidden="1">
      <c r="A1099" s="26">
        <v>44542.64646258102</v>
      </c>
      <c r="B1099" s="20" t="s">
        <v>1172</v>
      </c>
      <c r="C1099" s="20">
        <v>8.0</v>
      </c>
      <c r="D1099" s="27"/>
    </row>
    <row r="1100" hidden="1">
      <c r="A1100" s="26">
        <v>44542.651394872686</v>
      </c>
      <c r="B1100" s="20" t="s">
        <v>191</v>
      </c>
      <c r="C1100" s="20" t="s">
        <v>1173</v>
      </c>
      <c r="D1100" s="27"/>
    </row>
    <row r="1101" hidden="1">
      <c r="A1101" s="26">
        <v>44542.65505703704</v>
      </c>
      <c r="B1101" s="20" t="s">
        <v>875</v>
      </c>
      <c r="C1101" s="20">
        <v>17.3</v>
      </c>
      <c r="D1101" s="27"/>
    </row>
    <row r="1102" hidden="1">
      <c r="A1102" s="26">
        <v>44542.655303692125</v>
      </c>
      <c r="B1102" s="20" t="s">
        <v>877</v>
      </c>
      <c r="C1102" s="20">
        <v>15.0</v>
      </c>
      <c r="D1102" s="27"/>
    </row>
    <row r="1103" hidden="1">
      <c r="A1103" s="26">
        <v>44542.65693453704</v>
      </c>
      <c r="B1103" s="20" t="s">
        <v>79</v>
      </c>
      <c r="C1103" s="20" t="s">
        <v>1174</v>
      </c>
      <c r="D1103" s="27"/>
    </row>
    <row r="1104" hidden="1">
      <c r="A1104" s="26">
        <v>44542.65708334491</v>
      </c>
      <c r="B1104" s="20" t="s">
        <v>982</v>
      </c>
      <c r="C1104" s="20" t="s">
        <v>1175</v>
      </c>
      <c r="D1104" s="27"/>
    </row>
    <row r="1105" hidden="1">
      <c r="A1105" s="26">
        <v>44542.65785741898</v>
      </c>
      <c r="B1105" s="20" t="s">
        <v>193</v>
      </c>
      <c r="C1105" s="20">
        <v>13.0</v>
      </c>
      <c r="D1105" s="27"/>
    </row>
    <row r="1106" hidden="1">
      <c r="A1106" s="26">
        <v>44542.80018496528</v>
      </c>
      <c r="B1106" s="20" t="s">
        <v>298</v>
      </c>
      <c r="C1106" s="20">
        <v>134.0</v>
      </c>
      <c r="D1106" s="27"/>
    </row>
    <row r="1107" hidden="1">
      <c r="A1107" s="26">
        <v>44542.80401386574</v>
      </c>
      <c r="B1107" s="20" t="s">
        <v>298</v>
      </c>
      <c r="C1107" s="20">
        <v>6.0</v>
      </c>
      <c r="D1107" s="27"/>
    </row>
    <row r="1108" hidden="1">
      <c r="A1108" s="26">
        <v>44544.70509429398</v>
      </c>
      <c r="B1108" s="20" t="s">
        <v>1008</v>
      </c>
      <c r="C1108" s="20" t="s">
        <v>1009</v>
      </c>
      <c r="D1108" s="27"/>
    </row>
    <row r="1109" hidden="1">
      <c r="A1109" s="26">
        <v>44544.70883800926</v>
      </c>
      <c r="B1109" s="20" t="s">
        <v>870</v>
      </c>
      <c r="C1109" s="20">
        <v>23.5</v>
      </c>
      <c r="D1109" s="27"/>
    </row>
    <row r="1110" hidden="1">
      <c r="A1110" s="26">
        <v>44544.711441203704</v>
      </c>
      <c r="B1110" s="20" t="s">
        <v>163</v>
      </c>
      <c r="C1110" s="20">
        <v>15.0</v>
      </c>
      <c r="D1110" s="27"/>
    </row>
    <row r="1111" hidden="1">
      <c r="A1111" s="26">
        <v>44544.711833761576</v>
      </c>
      <c r="B1111" s="20" t="s">
        <v>1176</v>
      </c>
      <c r="C1111" s="20">
        <v>10.0</v>
      </c>
      <c r="D1111" s="27"/>
    </row>
    <row r="1112" hidden="1">
      <c r="A1112" s="26">
        <v>44545.787219039354</v>
      </c>
      <c r="B1112" s="20" t="s">
        <v>177</v>
      </c>
      <c r="C1112" s="20">
        <v>13.7</v>
      </c>
      <c r="D1112" s="27"/>
    </row>
    <row r="1113" hidden="1">
      <c r="A1113" s="26">
        <v>44545.8583028588</v>
      </c>
      <c r="B1113" s="20" t="s">
        <v>1076</v>
      </c>
      <c r="C1113" s="20">
        <v>9.0</v>
      </c>
      <c r="D1113" s="27"/>
    </row>
    <row r="1114" hidden="1">
      <c r="A1114" s="26">
        <v>44545.8590477199</v>
      </c>
      <c r="B1114" s="20" t="s">
        <v>214</v>
      </c>
      <c r="C1114" s="20">
        <v>15.0</v>
      </c>
      <c r="D1114" s="27"/>
    </row>
    <row r="1115" hidden="1">
      <c r="A1115" s="26">
        <v>44545.86091016204</v>
      </c>
      <c r="B1115" s="20" t="s">
        <v>821</v>
      </c>
      <c r="C1115" s="20">
        <v>13.5</v>
      </c>
      <c r="D1115" s="27"/>
    </row>
    <row r="1116" hidden="1">
      <c r="A1116" s="26">
        <v>44545.86444542824</v>
      </c>
      <c r="B1116" s="20" t="s">
        <v>1107</v>
      </c>
      <c r="C1116" s="20">
        <v>20.0</v>
      </c>
      <c r="D1116" s="27"/>
    </row>
    <row r="1117" hidden="1">
      <c r="A1117" s="26">
        <v>44545.86785063657</v>
      </c>
      <c r="B1117" s="20" t="s">
        <v>129</v>
      </c>
      <c r="C1117" s="20">
        <v>17.7</v>
      </c>
      <c r="D1117" s="27"/>
    </row>
    <row r="1118" hidden="1">
      <c r="A1118" s="26">
        <v>44545.87063665509</v>
      </c>
      <c r="B1118" s="20" t="s">
        <v>896</v>
      </c>
      <c r="C1118" s="20">
        <v>18.0</v>
      </c>
      <c r="D1118" s="27"/>
    </row>
    <row r="1119" hidden="1">
      <c r="A1119" s="26">
        <v>44545.87070251157</v>
      </c>
      <c r="B1119" s="20" t="s">
        <v>599</v>
      </c>
      <c r="C1119" s="20">
        <v>20.0</v>
      </c>
      <c r="D1119" s="27"/>
    </row>
    <row r="1120" hidden="1">
      <c r="A1120" s="26">
        <v>44545.871019259255</v>
      </c>
      <c r="B1120" s="20" t="s">
        <v>1177</v>
      </c>
      <c r="C1120" s="20">
        <v>20.0</v>
      </c>
      <c r="D1120" s="27"/>
    </row>
    <row r="1121" hidden="1">
      <c r="A1121" s="26">
        <v>44545.874270370376</v>
      </c>
      <c r="B1121" s="20" t="s">
        <v>1158</v>
      </c>
      <c r="C1121" s="20">
        <v>18.2</v>
      </c>
      <c r="D1121" s="27"/>
    </row>
    <row r="1122" hidden="1">
      <c r="A1122" s="26">
        <v>44545.875762916665</v>
      </c>
      <c r="B1122" s="20" t="s">
        <v>760</v>
      </c>
      <c r="C1122" s="20">
        <v>20.0</v>
      </c>
      <c r="D1122" s="27"/>
    </row>
    <row r="1123" hidden="1">
      <c r="A1123" s="26">
        <v>44545.87615403935</v>
      </c>
      <c r="B1123" s="20" t="s">
        <v>235</v>
      </c>
      <c r="C1123" s="20">
        <v>9.0</v>
      </c>
      <c r="D1123" s="27"/>
    </row>
    <row r="1124" hidden="1">
      <c r="A1124" s="26">
        <v>44546.69751650463</v>
      </c>
      <c r="B1124" s="20" t="s">
        <v>809</v>
      </c>
      <c r="C1124" s="20" t="s">
        <v>1178</v>
      </c>
      <c r="D1124" s="27"/>
    </row>
    <row r="1125" hidden="1">
      <c r="A1125" s="26">
        <v>44546.69784482638</v>
      </c>
      <c r="B1125" s="20" t="s">
        <v>327</v>
      </c>
      <c r="C1125" s="20" t="s">
        <v>1179</v>
      </c>
      <c r="D1125" s="27"/>
    </row>
    <row r="1126" hidden="1">
      <c r="A1126" s="26">
        <v>44546.70046576389</v>
      </c>
      <c r="B1126" s="20" t="s">
        <v>931</v>
      </c>
      <c r="C1126" s="20">
        <v>48.0</v>
      </c>
      <c r="D1126" s="27"/>
    </row>
    <row r="1127" hidden="1">
      <c r="A1127" s="26">
        <v>44546.7011150926</v>
      </c>
      <c r="B1127" s="20" t="s">
        <v>163</v>
      </c>
      <c r="C1127" s="20">
        <v>23.0</v>
      </c>
      <c r="D1127" s="27"/>
    </row>
    <row r="1128" hidden="1">
      <c r="A1128" s="26">
        <v>44546.70357817129</v>
      </c>
      <c r="B1128" s="20" t="s">
        <v>193</v>
      </c>
      <c r="C1128" s="20">
        <v>23.0</v>
      </c>
      <c r="D1128" s="27"/>
    </row>
    <row r="1129" hidden="1">
      <c r="A1129" s="26">
        <v>44546.87332271991</v>
      </c>
      <c r="B1129" s="20" t="s">
        <v>124</v>
      </c>
      <c r="C1129" s="20">
        <v>16.0</v>
      </c>
      <c r="D1129" s="27"/>
    </row>
    <row r="1130" hidden="1">
      <c r="A1130" s="26">
        <v>44546.876062696756</v>
      </c>
      <c r="B1130" s="20" t="s">
        <v>1052</v>
      </c>
      <c r="C1130" s="20" t="s">
        <v>1180</v>
      </c>
      <c r="D1130" s="27"/>
    </row>
    <row r="1131" hidden="1">
      <c r="A1131" s="26">
        <v>44546.878314988426</v>
      </c>
      <c r="B1131" s="20" t="s">
        <v>929</v>
      </c>
      <c r="C1131" s="20" t="s">
        <v>1028</v>
      </c>
      <c r="D1131" s="27"/>
    </row>
    <row r="1132" hidden="1">
      <c r="A1132" s="26">
        <v>44546.88004354166</v>
      </c>
      <c r="B1132" s="20" t="s">
        <v>167</v>
      </c>
      <c r="C1132" s="20">
        <v>37.0</v>
      </c>
      <c r="D1132" s="27"/>
    </row>
    <row r="1133" hidden="1">
      <c r="A1133" s="26">
        <v>44547.68522054398</v>
      </c>
      <c r="B1133" s="20" t="s">
        <v>344</v>
      </c>
      <c r="C1133" s="20">
        <v>20.0</v>
      </c>
      <c r="D1133" s="27"/>
    </row>
    <row r="1134" hidden="1">
      <c r="A1134" s="26">
        <v>44547.71815417824</v>
      </c>
      <c r="B1134" s="20" t="s">
        <v>233</v>
      </c>
      <c r="C1134" s="20">
        <v>5.0</v>
      </c>
      <c r="D1134" s="27"/>
    </row>
    <row r="1135" hidden="1">
      <c r="A1135" s="26">
        <v>44547.718853321756</v>
      </c>
      <c r="B1135" s="20" t="s">
        <v>870</v>
      </c>
      <c r="C1135" s="20">
        <v>20.7</v>
      </c>
      <c r="D1135" s="27"/>
    </row>
    <row r="1136" hidden="1">
      <c r="A1136" s="26">
        <v>44547.748644120365</v>
      </c>
      <c r="B1136" s="20" t="s">
        <v>193</v>
      </c>
      <c r="C1136" s="20">
        <v>24.0</v>
      </c>
      <c r="D1136" s="27"/>
    </row>
    <row r="1137" hidden="1">
      <c r="A1137" s="26">
        <v>44548.759004340274</v>
      </c>
      <c r="B1137" s="20" t="s">
        <v>300</v>
      </c>
      <c r="C1137" s="20" t="s">
        <v>1012</v>
      </c>
      <c r="D1137" s="27"/>
    </row>
    <row r="1138" hidden="1">
      <c r="A1138" s="26">
        <v>44548.75953394676</v>
      </c>
      <c r="B1138" s="20" t="s">
        <v>91</v>
      </c>
      <c r="C1138" s="20">
        <v>13.0</v>
      </c>
      <c r="D1138" s="27"/>
    </row>
    <row r="1139" hidden="1">
      <c r="A1139" s="26">
        <v>44549.68093960648</v>
      </c>
      <c r="B1139" s="20" t="s">
        <v>528</v>
      </c>
      <c r="C1139" s="20">
        <v>15.0</v>
      </c>
      <c r="D1139" s="27"/>
    </row>
    <row r="1140" hidden="1">
      <c r="A1140" s="26">
        <v>44549.68199679398</v>
      </c>
      <c r="B1140" s="20" t="s">
        <v>1181</v>
      </c>
      <c r="C1140" s="20">
        <v>30.0</v>
      </c>
      <c r="D1140" s="27"/>
    </row>
    <row r="1141" hidden="1">
      <c r="A1141" s="26">
        <v>44549.69937487268</v>
      </c>
      <c r="B1141" s="20" t="s">
        <v>1182</v>
      </c>
      <c r="C1141" s="20">
        <v>10.0</v>
      </c>
      <c r="D1141" s="27"/>
    </row>
    <row r="1142" hidden="1">
      <c r="A1142" s="26">
        <v>44549.7134675</v>
      </c>
      <c r="B1142" s="20" t="s">
        <v>203</v>
      </c>
      <c r="C1142" s="20" t="s">
        <v>1183</v>
      </c>
      <c r="D1142" s="27"/>
    </row>
    <row r="1143" hidden="1">
      <c r="A1143" s="26">
        <v>44549.713592685184</v>
      </c>
      <c r="B1143" s="20" t="s">
        <v>203</v>
      </c>
      <c r="C1143" s="20">
        <v>15.0</v>
      </c>
      <c r="D1143" s="27"/>
    </row>
    <row r="1144" hidden="1">
      <c r="A1144" s="26">
        <v>44549.71387607639</v>
      </c>
      <c r="B1144" s="20" t="s">
        <v>1184</v>
      </c>
      <c r="C1144" s="20">
        <v>12.0</v>
      </c>
      <c r="D1144" s="27"/>
    </row>
    <row r="1145" hidden="1">
      <c r="A1145" s="26">
        <v>44549.78759395833</v>
      </c>
      <c r="B1145" s="20" t="s">
        <v>298</v>
      </c>
      <c r="C1145" s="20">
        <v>205.0</v>
      </c>
      <c r="D1145" s="27"/>
    </row>
    <row r="1146" hidden="1">
      <c r="A1146" s="26">
        <v>44549.8372228588</v>
      </c>
      <c r="B1146" s="20" t="s">
        <v>193</v>
      </c>
      <c r="C1146" s="20">
        <v>23.0</v>
      </c>
      <c r="D1146" s="27"/>
    </row>
    <row r="1147" hidden="1">
      <c r="A1147" s="26">
        <v>44549.837554722224</v>
      </c>
      <c r="B1147" s="20" t="s">
        <v>193</v>
      </c>
      <c r="C1147" s="20" t="s">
        <v>1185</v>
      </c>
      <c r="D1147" s="27"/>
    </row>
    <row r="1148" hidden="1">
      <c r="A1148" s="26">
        <v>44551.71182141204</v>
      </c>
      <c r="B1148" s="20" t="s">
        <v>1186</v>
      </c>
      <c r="C1148" s="20">
        <v>15.0</v>
      </c>
      <c r="D1148" s="27"/>
    </row>
    <row r="1149" hidden="1">
      <c r="A1149" s="26">
        <v>44551.71256914352</v>
      </c>
      <c r="B1149" s="20" t="s">
        <v>995</v>
      </c>
      <c r="C1149" s="20">
        <v>15.0</v>
      </c>
      <c r="D1149" s="27"/>
    </row>
    <row r="1150" hidden="1">
      <c r="A1150" s="26">
        <v>44551.71465246528</v>
      </c>
      <c r="B1150" s="20" t="s">
        <v>1187</v>
      </c>
      <c r="C1150" s="20">
        <v>29.0</v>
      </c>
      <c r="D1150" s="27"/>
    </row>
    <row r="1151" hidden="1">
      <c r="A1151" s="26">
        <v>44551.73884711806</v>
      </c>
      <c r="B1151" s="20" t="s">
        <v>203</v>
      </c>
      <c r="C1151" s="20">
        <v>9.6</v>
      </c>
      <c r="D1151" s="27"/>
    </row>
    <row r="1152" hidden="1">
      <c r="A1152" s="26">
        <v>44551.74270736111</v>
      </c>
      <c r="B1152" s="20" t="s">
        <v>193</v>
      </c>
      <c r="C1152" s="20">
        <v>22.0</v>
      </c>
      <c r="D1152" s="27"/>
    </row>
    <row r="1153" hidden="1">
      <c r="A1153" s="26">
        <v>44551.74295569444</v>
      </c>
      <c r="B1153" s="20" t="s">
        <v>193</v>
      </c>
      <c r="C1153" s="20" t="s">
        <v>1188</v>
      </c>
      <c r="D1153" s="27"/>
    </row>
    <row r="1154" hidden="1">
      <c r="A1154" s="26">
        <v>44551.78790510417</v>
      </c>
      <c r="B1154" s="20" t="s">
        <v>870</v>
      </c>
      <c r="C1154" s="20">
        <v>28.0</v>
      </c>
      <c r="D1154" s="27"/>
    </row>
    <row r="1155" hidden="1">
      <c r="A1155" s="26">
        <v>44552.86521846065</v>
      </c>
      <c r="B1155" s="20" t="s">
        <v>971</v>
      </c>
      <c r="C1155" s="20">
        <v>39.0</v>
      </c>
      <c r="D1155" s="27"/>
    </row>
    <row r="1156" hidden="1">
      <c r="A1156" s="26">
        <v>44552.86528849537</v>
      </c>
      <c r="B1156" s="20" t="s">
        <v>975</v>
      </c>
      <c r="C1156" s="20">
        <v>20.0</v>
      </c>
      <c r="D1156" s="27"/>
    </row>
    <row r="1157" hidden="1">
      <c r="A1157" s="26">
        <v>44552.86691806713</v>
      </c>
      <c r="B1157" s="20" t="s">
        <v>235</v>
      </c>
      <c r="C1157" s="20">
        <v>13.0</v>
      </c>
      <c r="D1157" s="27"/>
    </row>
    <row r="1158" hidden="1">
      <c r="A1158" s="26">
        <v>44552.88571623842</v>
      </c>
      <c r="B1158" s="20" t="s">
        <v>896</v>
      </c>
      <c r="C1158" s="20" t="s">
        <v>1189</v>
      </c>
      <c r="D1158" s="27"/>
    </row>
    <row r="1159" hidden="1">
      <c r="A1159" s="26">
        <v>44552.89092021991</v>
      </c>
      <c r="B1159" s="20" t="s">
        <v>1107</v>
      </c>
      <c r="C1159" s="20">
        <v>16.0</v>
      </c>
      <c r="D1159" s="27"/>
    </row>
    <row r="1160" hidden="1">
      <c r="A1160" s="26">
        <v>44552.89517203704</v>
      </c>
      <c r="B1160" s="20" t="s">
        <v>1190</v>
      </c>
      <c r="C1160" s="20">
        <v>16.2</v>
      </c>
      <c r="D1160" s="27"/>
    </row>
    <row r="1161" hidden="1">
      <c r="A1161" s="26">
        <v>44552.89646392361</v>
      </c>
      <c r="B1161" s="20" t="s">
        <v>1191</v>
      </c>
      <c r="C1161" s="20">
        <v>20.0</v>
      </c>
      <c r="D1161" s="27"/>
    </row>
    <row r="1162" hidden="1">
      <c r="A1162" s="26">
        <v>44552.89655071759</v>
      </c>
      <c r="B1162" s="20" t="s">
        <v>1107</v>
      </c>
      <c r="C1162" s="20">
        <v>20.0</v>
      </c>
      <c r="D1162" s="27"/>
    </row>
    <row r="1163" hidden="1">
      <c r="A1163" s="26">
        <v>44552.896683495375</v>
      </c>
      <c r="B1163" s="20" t="s">
        <v>1191</v>
      </c>
      <c r="C1163" s="20">
        <v>30.0</v>
      </c>
      <c r="D1163" s="27"/>
    </row>
    <row r="1164" hidden="1">
      <c r="A1164" s="26">
        <v>44552.8972280787</v>
      </c>
      <c r="B1164" s="20" t="s">
        <v>1192</v>
      </c>
      <c r="C1164" s="20">
        <v>16.0</v>
      </c>
      <c r="D1164" s="27"/>
    </row>
    <row r="1165" hidden="1">
      <c r="A1165" s="26">
        <v>44552.90474932871</v>
      </c>
      <c r="B1165" s="20" t="s">
        <v>242</v>
      </c>
      <c r="C1165" s="20">
        <v>31.0</v>
      </c>
      <c r="D1165" s="27"/>
    </row>
    <row r="1166" hidden="1">
      <c r="A1166" s="26">
        <v>44552.907459131944</v>
      </c>
      <c r="B1166" s="20" t="s">
        <v>760</v>
      </c>
      <c r="C1166" s="20">
        <v>20.0</v>
      </c>
      <c r="D1166" s="27"/>
    </row>
    <row r="1167" hidden="1">
      <c r="A1167" s="26">
        <v>44553.27242679398</v>
      </c>
      <c r="B1167" s="20" t="s">
        <v>191</v>
      </c>
      <c r="C1167" s="20">
        <v>31.0</v>
      </c>
      <c r="D1167" s="27"/>
    </row>
    <row r="1168" hidden="1">
      <c r="A1168" s="26">
        <v>44553.27284503472</v>
      </c>
      <c r="B1168" s="20" t="s">
        <v>193</v>
      </c>
      <c r="C1168" s="20" t="s">
        <v>1193</v>
      </c>
      <c r="D1168" s="27"/>
    </row>
    <row r="1169" hidden="1">
      <c r="A1169" s="26">
        <v>44553.39352996528</v>
      </c>
      <c r="B1169" s="20" t="s">
        <v>193</v>
      </c>
      <c r="C1169" s="20" t="s">
        <v>1194</v>
      </c>
      <c r="D1169" s="27"/>
    </row>
    <row r="1170">
      <c r="A1170" s="26">
        <v>44567.68479783565</v>
      </c>
      <c r="B1170" s="20" t="s">
        <v>129</v>
      </c>
      <c r="C1170" s="20">
        <v>19.0</v>
      </c>
      <c r="D1170" s="20">
        <v>19.0</v>
      </c>
    </row>
    <row r="1171">
      <c r="A1171" s="26">
        <v>44567.68707459491</v>
      </c>
      <c r="B1171" s="20" t="s">
        <v>35</v>
      </c>
      <c r="C1171" s="20">
        <v>19.0</v>
      </c>
      <c r="D1171" s="20">
        <v>19.0</v>
      </c>
    </row>
    <row r="1172">
      <c r="A1172" s="26">
        <v>44567.7128915625</v>
      </c>
      <c r="B1172" s="20" t="s">
        <v>962</v>
      </c>
      <c r="C1172" s="20">
        <v>41.0</v>
      </c>
      <c r="D1172" s="20">
        <v>41.0</v>
      </c>
    </row>
    <row r="1173">
      <c r="A1173" s="26">
        <v>44567.71356635417</v>
      </c>
      <c r="B1173" s="20" t="s">
        <v>163</v>
      </c>
      <c r="C1173" s="20">
        <v>34.0</v>
      </c>
      <c r="D1173" s="20">
        <v>34.0</v>
      </c>
    </row>
    <row r="1174">
      <c r="A1174" s="26">
        <v>44567.71654930555</v>
      </c>
      <c r="B1174" s="20" t="s">
        <v>67</v>
      </c>
      <c r="C1174" s="20">
        <v>54.0</v>
      </c>
      <c r="D1174" s="20">
        <v>54.0</v>
      </c>
    </row>
    <row r="1175">
      <c r="A1175" s="26">
        <v>44567.718022581015</v>
      </c>
      <c r="B1175" s="20" t="s">
        <v>193</v>
      </c>
      <c r="C1175" s="20">
        <v>22.0</v>
      </c>
      <c r="D1175" s="20" t="s">
        <v>1195</v>
      </c>
    </row>
    <row r="1176">
      <c r="A1176" s="26">
        <v>44567.71954269676</v>
      </c>
      <c r="B1176" s="20" t="s">
        <v>203</v>
      </c>
      <c r="C1176" s="20">
        <v>23.0</v>
      </c>
      <c r="D1176" s="20">
        <v>23.0</v>
      </c>
    </row>
    <row r="1177">
      <c r="A1177" s="26">
        <v>44567.72010525463</v>
      </c>
      <c r="B1177" s="20" t="s">
        <v>203</v>
      </c>
      <c r="C1177" s="20">
        <v>16.0</v>
      </c>
      <c r="D1177" s="20" t="s">
        <v>1196</v>
      </c>
    </row>
    <row r="1178">
      <c r="A1178" s="26">
        <v>44567.730520983794</v>
      </c>
      <c r="B1178" s="20" t="s">
        <v>1197</v>
      </c>
      <c r="C1178" s="20">
        <v>27.0</v>
      </c>
      <c r="D1178" s="20">
        <v>27.0</v>
      </c>
    </row>
    <row r="1179">
      <c r="A1179" s="26">
        <v>44567.73117762731</v>
      </c>
      <c r="B1179" s="20" t="s">
        <v>193</v>
      </c>
      <c r="C1179" s="20">
        <v>18.0</v>
      </c>
      <c r="D1179" s="20" t="s">
        <v>1198</v>
      </c>
    </row>
    <row r="1180">
      <c r="A1180" s="26">
        <v>44567.73132450231</v>
      </c>
      <c r="B1180" s="20" t="s">
        <v>193</v>
      </c>
      <c r="C1180" s="20">
        <v>22.0</v>
      </c>
      <c r="D1180" s="20" t="s">
        <v>1199</v>
      </c>
    </row>
    <row r="1181">
      <c r="A1181" s="26">
        <v>44568.55493370371</v>
      </c>
      <c r="B1181" s="20" t="s">
        <v>344</v>
      </c>
      <c r="C1181" s="20">
        <v>16.9</v>
      </c>
      <c r="D1181" s="20">
        <v>16.9</v>
      </c>
    </row>
    <row r="1182">
      <c r="A1182" s="26">
        <v>44568.55521319444</v>
      </c>
      <c r="B1182" s="20" t="s">
        <v>203</v>
      </c>
      <c r="C1182" s="20">
        <v>11.0</v>
      </c>
      <c r="D1182" s="20" t="s">
        <v>1200</v>
      </c>
    </row>
    <row r="1183">
      <c r="A1183" s="26">
        <v>44569.731060300925</v>
      </c>
      <c r="B1183" s="20" t="s">
        <v>91</v>
      </c>
      <c r="C1183" s="20">
        <v>7.9</v>
      </c>
      <c r="D1183" s="20">
        <v>7.9</v>
      </c>
    </row>
    <row r="1184">
      <c r="A1184" s="26">
        <v>44569.73273915509</v>
      </c>
      <c r="B1184" s="20" t="s">
        <v>193</v>
      </c>
      <c r="C1184" s="20">
        <v>44.0</v>
      </c>
      <c r="D1184" s="20" t="s">
        <v>1201</v>
      </c>
    </row>
    <row r="1185">
      <c r="A1185" s="26">
        <v>44569.73490283565</v>
      </c>
      <c r="B1185" s="20" t="s">
        <v>193</v>
      </c>
      <c r="C1185" s="20">
        <v>28.0</v>
      </c>
      <c r="D1185" s="20">
        <v>28.0</v>
      </c>
    </row>
    <row r="1186">
      <c r="A1186" s="26">
        <v>44569.741048993055</v>
      </c>
      <c r="B1186" s="20" t="s">
        <v>126</v>
      </c>
      <c r="C1186" s="20">
        <v>20.7</v>
      </c>
      <c r="D1186" s="20">
        <v>20.7</v>
      </c>
    </row>
    <row r="1187">
      <c r="A1187" s="26">
        <v>44569.74160829862</v>
      </c>
      <c r="B1187" s="20" t="s">
        <v>126</v>
      </c>
      <c r="C1187" s="20">
        <v>27.3</v>
      </c>
      <c r="D1187" s="20" t="s">
        <v>1202</v>
      </c>
    </row>
    <row r="1188">
      <c r="A1188" s="26">
        <v>44569.74441454861</v>
      </c>
      <c r="B1188" s="20" t="s">
        <v>1203</v>
      </c>
      <c r="C1188" s="20">
        <v>9.6</v>
      </c>
      <c r="D1188" s="20">
        <v>9.6</v>
      </c>
    </row>
    <row r="1189">
      <c r="A1189" s="26">
        <v>44570.55997803241</v>
      </c>
      <c r="B1189" s="20" t="s">
        <v>1204</v>
      </c>
      <c r="C1189" s="20">
        <v>73.0</v>
      </c>
      <c r="D1189" s="20">
        <v>73.0</v>
      </c>
    </row>
    <row r="1190">
      <c r="A1190" s="26">
        <v>44570.56557103009</v>
      </c>
      <c r="B1190" s="20" t="s">
        <v>1205</v>
      </c>
      <c r="C1190" s="20">
        <v>16.0</v>
      </c>
      <c r="D1190" s="20">
        <v>16.0</v>
      </c>
    </row>
    <row r="1191">
      <c r="A1191" s="26">
        <v>44570.66316185185</v>
      </c>
      <c r="B1191" s="20" t="s">
        <v>63</v>
      </c>
      <c r="C1191" s="20">
        <v>8.0</v>
      </c>
      <c r="D1191" s="20">
        <v>8.0</v>
      </c>
    </row>
    <row r="1192">
      <c r="A1192" s="26">
        <v>44570.678066493056</v>
      </c>
      <c r="B1192" s="20" t="s">
        <v>79</v>
      </c>
      <c r="C1192" s="20">
        <v>13.0</v>
      </c>
      <c r="D1192" s="20">
        <v>13.0</v>
      </c>
    </row>
    <row r="1193">
      <c r="A1193" s="26">
        <v>44570.678705439816</v>
      </c>
      <c r="B1193" s="20" t="s">
        <v>1148</v>
      </c>
      <c r="C1193" s="20">
        <v>13.0</v>
      </c>
      <c r="D1193" s="20">
        <v>13.0</v>
      </c>
    </row>
    <row r="1194">
      <c r="A1194" s="26">
        <v>44570.70133408565</v>
      </c>
      <c r="B1194" s="20" t="s">
        <v>203</v>
      </c>
      <c r="C1194" s="20">
        <v>16.0</v>
      </c>
      <c r="D1194" s="20">
        <v>16.0</v>
      </c>
    </row>
    <row r="1195">
      <c r="A1195" s="26">
        <v>44570.70158076389</v>
      </c>
      <c r="B1195" s="20" t="s">
        <v>203</v>
      </c>
      <c r="C1195" s="20">
        <v>12.0</v>
      </c>
      <c r="D1195" s="20" t="s">
        <v>1206</v>
      </c>
    </row>
    <row r="1196">
      <c r="A1196" s="26">
        <v>44570.70290770833</v>
      </c>
      <c r="B1196" s="20" t="s">
        <v>193</v>
      </c>
      <c r="C1196" s="20">
        <v>28.0</v>
      </c>
      <c r="D1196" s="20" t="s">
        <v>1207</v>
      </c>
    </row>
    <row r="1197">
      <c r="A1197" s="26">
        <v>44570.70307878472</v>
      </c>
      <c r="B1197" s="20" t="s">
        <v>193</v>
      </c>
      <c r="C1197" s="20">
        <v>22.0</v>
      </c>
      <c r="D1197" s="20">
        <v>22.0</v>
      </c>
    </row>
    <row r="1198">
      <c r="A1198" s="26">
        <v>44570.78098545139</v>
      </c>
      <c r="B1198" s="20" t="s">
        <v>67</v>
      </c>
      <c r="C1198" s="20">
        <v>150.0</v>
      </c>
      <c r="D1198" s="20" t="s">
        <v>1208</v>
      </c>
    </row>
    <row r="1199">
      <c r="A1199" s="26">
        <v>44572.685385590274</v>
      </c>
      <c r="B1199" s="20" t="s">
        <v>1008</v>
      </c>
      <c r="C1199" s="20">
        <v>1.0</v>
      </c>
      <c r="D1199" s="20" t="s">
        <v>1209</v>
      </c>
    </row>
    <row r="1200">
      <c r="A1200" s="26">
        <v>44572.69990759259</v>
      </c>
      <c r="B1200" s="20" t="s">
        <v>203</v>
      </c>
      <c r="C1200" s="20">
        <v>22.0</v>
      </c>
      <c r="D1200" s="20" t="s">
        <v>1210</v>
      </c>
    </row>
    <row r="1201">
      <c r="A1201" s="26">
        <v>44572.721315648145</v>
      </c>
      <c r="B1201" s="20" t="s">
        <v>67</v>
      </c>
      <c r="C1201" s="20">
        <v>51.0</v>
      </c>
      <c r="D1201" s="20">
        <v>51.0</v>
      </c>
    </row>
    <row r="1202">
      <c r="A1202" s="26">
        <v>44573.59019565972</v>
      </c>
      <c r="B1202" s="20" t="s">
        <v>191</v>
      </c>
      <c r="C1202" s="20">
        <v>50.0</v>
      </c>
      <c r="D1202" s="20" t="s">
        <v>1211</v>
      </c>
    </row>
    <row r="1203">
      <c r="A1203" s="26">
        <v>44573.653915138886</v>
      </c>
      <c r="B1203" s="20" t="s">
        <v>110</v>
      </c>
      <c r="C1203" s="20">
        <v>57.0</v>
      </c>
      <c r="D1203" s="20">
        <v>57.0</v>
      </c>
    </row>
    <row r="1204">
      <c r="A1204" s="26">
        <v>44573.68872097222</v>
      </c>
      <c r="B1204" s="20" t="s">
        <v>67</v>
      </c>
      <c r="C1204" s="20">
        <v>64.0</v>
      </c>
      <c r="D1204" s="20">
        <v>64.0</v>
      </c>
    </row>
    <row r="1205">
      <c r="A1205" s="26">
        <v>44573.691753506944</v>
      </c>
      <c r="B1205" s="20" t="s">
        <v>193</v>
      </c>
      <c r="C1205" s="20">
        <v>26.0</v>
      </c>
      <c r="D1205" s="20">
        <v>26.0</v>
      </c>
    </row>
    <row r="1206">
      <c r="A1206" s="26">
        <v>44574.68606600694</v>
      </c>
      <c r="B1206" s="20" t="s">
        <v>67</v>
      </c>
      <c r="C1206" s="20">
        <v>61.0</v>
      </c>
      <c r="D1206" s="20">
        <v>61.0</v>
      </c>
    </row>
    <row r="1207">
      <c r="A1207" s="26">
        <v>44575.59922642361</v>
      </c>
      <c r="B1207" s="20" t="s">
        <v>1204</v>
      </c>
      <c r="C1207" s="20">
        <v>81.0</v>
      </c>
      <c r="D1207" s="20">
        <v>81.0</v>
      </c>
    </row>
    <row r="1208">
      <c r="A1208" s="26">
        <v>44575.61122190973</v>
      </c>
      <c r="B1208" s="20" t="s">
        <v>203</v>
      </c>
      <c r="C1208" s="20">
        <v>8.0</v>
      </c>
      <c r="D1208" s="20">
        <v>8.0</v>
      </c>
    </row>
    <row r="1209">
      <c r="A1209" s="26">
        <v>44575.69219233796</v>
      </c>
      <c r="B1209" s="20" t="s">
        <v>344</v>
      </c>
      <c r="C1209" s="20">
        <v>2.0</v>
      </c>
      <c r="D1209" s="20" t="s">
        <v>1116</v>
      </c>
    </row>
    <row r="1210">
      <c r="A1210" s="26">
        <v>44575.69310980324</v>
      </c>
      <c r="B1210" s="20" t="s">
        <v>344</v>
      </c>
      <c r="C1210" s="20">
        <v>21.0</v>
      </c>
      <c r="D1210" s="20">
        <v>21.0</v>
      </c>
    </row>
    <row r="1211">
      <c r="A1211" s="26">
        <v>44575.80969311342</v>
      </c>
      <c r="B1211" s="20" t="s">
        <v>67</v>
      </c>
      <c r="C1211" s="20">
        <v>65.0</v>
      </c>
      <c r="D1211" s="20">
        <v>65.0</v>
      </c>
    </row>
    <row r="1212">
      <c r="A1212" s="26">
        <v>44576.614426423606</v>
      </c>
      <c r="B1212" s="20" t="s">
        <v>193</v>
      </c>
      <c r="C1212" s="20">
        <v>22.0</v>
      </c>
      <c r="D1212" s="20">
        <v>22.0</v>
      </c>
    </row>
    <row r="1213">
      <c r="A1213" s="26">
        <v>44576.61459359954</v>
      </c>
      <c r="B1213" s="20" t="s">
        <v>193</v>
      </c>
      <c r="C1213" s="20">
        <v>16.0</v>
      </c>
      <c r="D1213" s="20" t="s">
        <v>1212</v>
      </c>
    </row>
    <row r="1214">
      <c r="A1214" s="26">
        <v>44576.61819982639</v>
      </c>
      <c r="B1214" s="20" t="s">
        <v>203</v>
      </c>
      <c r="C1214" s="20">
        <v>4.0</v>
      </c>
      <c r="D1214" s="20">
        <v>4.0</v>
      </c>
    </row>
    <row r="1215">
      <c r="A1215" s="26">
        <v>44576.67455130787</v>
      </c>
      <c r="B1215" s="20" t="s">
        <v>91</v>
      </c>
      <c r="C1215" s="20">
        <v>6.0</v>
      </c>
      <c r="D1215" s="20">
        <v>6.0</v>
      </c>
    </row>
    <row r="1216">
      <c r="A1216" s="26">
        <v>44576.67714752315</v>
      </c>
      <c r="B1216" s="20" t="s">
        <v>971</v>
      </c>
      <c r="C1216" s="20">
        <v>19.0</v>
      </c>
      <c r="D1216" s="20">
        <v>19.0</v>
      </c>
    </row>
    <row r="1217">
      <c r="A1217" s="26">
        <v>44576.70727363426</v>
      </c>
      <c r="B1217" s="20" t="s">
        <v>67</v>
      </c>
      <c r="C1217" s="20">
        <v>8.0</v>
      </c>
      <c r="D1217" s="20">
        <v>8.0</v>
      </c>
    </row>
    <row r="1218">
      <c r="A1218" s="26">
        <v>44577.676703958336</v>
      </c>
      <c r="B1218" s="20" t="s">
        <v>1213</v>
      </c>
      <c r="C1218" s="20">
        <v>20.0</v>
      </c>
      <c r="D1218" s="20" t="s">
        <v>1214</v>
      </c>
    </row>
    <row r="1219">
      <c r="A1219" s="26">
        <v>44577.67713081019</v>
      </c>
      <c r="B1219" s="20" t="s">
        <v>1215</v>
      </c>
      <c r="C1219" s="20">
        <v>20.0</v>
      </c>
      <c r="D1219" s="20" t="s">
        <v>1216</v>
      </c>
    </row>
    <row r="1220">
      <c r="A1220" s="26">
        <v>44577.67919002315</v>
      </c>
      <c r="B1220" s="20" t="s">
        <v>1217</v>
      </c>
      <c r="C1220" s="20">
        <v>20.0</v>
      </c>
      <c r="D1220" s="20">
        <v>20.0</v>
      </c>
    </row>
    <row r="1221">
      <c r="A1221" s="26">
        <v>44577.679943090276</v>
      </c>
      <c r="B1221" s="20" t="s">
        <v>982</v>
      </c>
      <c r="C1221" s="20">
        <v>18.1</v>
      </c>
      <c r="D1221" s="20">
        <v>18.1</v>
      </c>
    </row>
    <row r="1222">
      <c r="A1222" s="26">
        <v>44577.68005398149</v>
      </c>
      <c r="B1222" s="20" t="s">
        <v>144</v>
      </c>
      <c r="C1222" s="20">
        <v>14.2</v>
      </c>
      <c r="D1222" s="20">
        <v>14.2</v>
      </c>
    </row>
    <row r="1223">
      <c r="A1223" s="26">
        <v>44577.68197701389</v>
      </c>
      <c r="B1223" s="20" t="s">
        <v>191</v>
      </c>
      <c r="C1223" s="20">
        <v>36.0</v>
      </c>
      <c r="D1223" s="20">
        <v>36.0</v>
      </c>
    </row>
    <row r="1224">
      <c r="A1224" s="26">
        <v>44577.68216243056</v>
      </c>
      <c r="B1224" s="20" t="s">
        <v>191</v>
      </c>
      <c r="C1224" s="20">
        <v>12.0</v>
      </c>
      <c r="D1224" s="20">
        <v>12.0</v>
      </c>
    </row>
    <row r="1225">
      <c r="A1225" s="26">
        <v>44577.68231525463</v>
      </c>
      <c r="B1225" s="20" t="s">
        <v>203</v>
      </c>
      <c r="C1225" s="20">
        <v>22.0</v>
      </c>
      <c r="D1225" s="20">
        <v>22.0</v>
      </c>
    </row>
    <row r="1226">
      <c r="A1226" s="26">
        <v>44577.68245474537</v>
      </c>
      <c r="B1226" s="20" t="s">
        <v>203</v>
      </c>
      <c r="C1226" s="20">
        <v>8.0</v>
      </c>
      <c r="D1226" s="20" t="s">
        <v>1122</v>
      </c>
    </row>
    <row r="1227">
      <c r="A1227" s="26">
        <v>44577.68404979167</v>
      </c>
      <c r="B1227" s="20" t="s">
        <v>67</v>
      </c>
      <c r="C1227" s="20">
        <v>28.0</v>
      </c>
      <c r="D1227" s="20">
        <v>28.0</v>
      </c>
    </row>
    <row r="1228">
      <c r="A1228" s="26">
        <v>44579.16026739583</v>
      </c>
      <c r="B1228" s="20" t="s">
        <v>1218</v>
      </c>
      <c r="C1228" s="20">
        <v>45.0</v>
      </c>
      <c r="D1228" s="20">
        <v>45.0</v>
      </c>
    </row>
    <row r="1229">
      <c r="A1229" s="26">
        <v>44579.70736969907</v>
      </c>
      <c r="B1229" s="20" t="s">
        <v>124</v>
      </c>
      <c r="C1229" s="20">
        <v>19.0</v>
      </c>
      <c r="D1229" s="20">
        <v>19.0</v>
      </c>
    </row>
    <row r="1230">
      <c r="A1230" s="26">
        <v>44579.7214878125</v>
      </c>
      <c r="B1230" s="20" t="s">
        <v>67</v>
      </c>
      <c r="C1230" s="20">
        <v>34.0</v>
      </c>
      <c r="D1230" s="20" t="s">
        <v>1219</v>
      </c>
    </row>
    <row r="1231">
      <c r="A1231" s="26">
        <v>44580.63865971065</v>
      </c>
      <c r="B1231" s="20" t="s">
        <v>203</v>
      </c>
      <c r="C1231" s="20">
        <v>28.0</v>
      </c>
      <c r="D1231" s="20" t="s">
        <v>1220</v>
      </c>
    </row>
    <row r="1232">
      <c r="A1232" s="26">
        <v>44580.65961996528</v>
      </c>
      <c r="B1232" s="20" t="s">
        <v>67</v>
      </c>
      <c r="C1232" s="20">
        <v>104.0</v>
      </c>
      <c r="D1232" s="20">
        <v>104.0</v>
      </c>
    </row>
    <row r="1233">
      <c r="A1233" s="26">
        <v>44580.66379556713</v>
      </c>
      <c r="B1233" s="20" t="s">
        <v>193</v>
      </c>
      <c r="C1233" s="20">
        <v>27.0</v>
      </c>
      <c r="D1233" s="20" t="s">
        <v>1221</v>
      </c>
    </row>
    <row r="1234">
      <c r="A1234" s="26">
        <v>44580.664095925924</v>
      </c>
      <c r="B1234" s="20" t="s">
        <v>193</v>
      </c>
      <c r="C1234" s="20">
        <v>43.0</v>
      </c>
      <c r="D1234" s="20" t="s">
        <v>1222</v>
      </c>
    </row>
    <row r="1235">
      <c r="A1235" s="26">
        <v>44580.72207299768</v>
      </c>
      <c r="B1235" s="20" t="s">
        <v>203</v>
      </c>
      <c r="C1235" s="20">
        <v>12.0</v>
      </c>
      <c r="D1235" s="20" t="s">
        <v>1223</v>
      </c>
    </row>
    <row r="1236">
      <c r="A1236" s="26">
        <v>44580.72229491898</v>
      </c>
      <c r="B1236" s="20" t="s">
        <v>193</v>
      </c>
      <c r="C1236" s="20">
        <v>24.0</v>
      </c>
      <c r="D1236" s="20" t="s">
        <v>1224</v>
      </c>
    </row>
    <row r="1237">
      <c r="A1237" s="26">
        <v>44580.72238152778</v>
      </c>
      <c r="B1237" s="20" t="s">
        <v>203</v>
      </c>
      <c r="C1237" s="20">
        <v>12.0</v>
      </c>
      <c r="D1237" s="20">
        <v>12.0</v>
      </c>
    </row>
    <row r="1238">
      <c r="A1238" s="26">
        <v>44580.73026776621</v>
      </c>
      <c r="B1238" s="20" t="s">
        <v>177</v>
      </c>
      <c r="C1238" s="20">
        <v>15.0</v>
      </c>
      <c r="D1238" s="20">
        <v>15.0</v>
      </c>
    </row>
    <row r="1239">
      <c r="A1239" s="26">
        <v>44580.73052943287</v>
      </c>
      <c r="B1239" s="20" t="s">
        <v>235</v>
      </c>
      <c r="C1239" s="20">
        <v>37.0</v>
      </c>
      <c r="D1239" s="20">
        <v>37.0</v>
      </c>
    </row>
    <row r="1240">
      <c r="A1240" s="26">
        <v>44580.84840820602</v>
      </c>
      <c r="B1240" s="20" t="s">
        <v>1225</v>
      </c>
      <c r="C1240" s="20">
        <v>19.0</v>
      </c>
      <c r="D1240" s="20">
        <v>19.0</v>
      </c>
    </row>
    <row r="1241">
      <c r="A1241" s="26">
        <v>44580.84915026621</v>
      </c>
      <c r="B1241" s="20" t="s">
        <v>134</v>
      </c>
      <c r="C1241" s="20">
        <v>17.0</v>
      </c>
      <c r="D1241" s="20">
        <v>17.0</v>
      </c>
    </row>
    <row r="1242">
      <c r="A1242" s="26">
        <v>44580.849769085646</v>
      </c>
      <c r="B1242" s="20" t="s">
        <v>124</v>
      </c>
      <c r="C1242" s="20">
        <v>13.0</v>
      </c>
      <c r="D1242" s="20">
        <v>13.0</v>
      </c>
    </row>
    <row r="1243">
      <c r="A1243" s="26">
        <v>44580.85012998842</v>
      </c>
      <c r="B1243" s="20" t="s">
        <v>1226</v>
      </c>
      <c r="C1243" s="20">
        <v>20.0</v>
      </c>
      <c r="D1243" s="20">
        <v>20.0</v>
      </c>
    </row>
    <row r="1244">
      <c r="A1244" s="26">
        <v>44580.85176635417</v>
      </c>
      <c r="B1244" s="20" t="s">
        <v>220</v>
      </c>
      <c r="C1244" s="20">
        <v>17.0</v>
      </c>
      <c r="D1244" s="20">
        <v>17.0</v>
      </c>
    </row>
    <row r="1245">
      <c r="A1245" s="26">
        <v>44580.85536299768</v>
      </c>
      <c r="B1245" s="20" t="s">
        <v>787</v>
      </c>
      <c r="C1245" s="20">
        <v>20.0</v>
      </c>
      <c r="D1245" s="20">
        <v>20.0</v>
      </c>
    </row>
    <row r="1246">
      <c r="A1246" s="26">
        <v>44580.85601967592</v>
      </c>
      <c r="B1246" s="20" t="s">
        <v>235</v>
      </c>
      <c r="C1246" s="20">
        <v>3.0</v>
      </c>
      <c r="D1246" s="20">
        <v>3.0</v>
      </c>
    </row>
    <row r="1247">
      <c r="A1247" s="26">
        <v>44580.856141620374</v>
      </c>
      <c r="B1247" s="20" t="s">
        <v>126</v>
      </c>
      <c r="C1247" s="20">
        <v>20.0</v>
      </c>
      <c r="D1247" s="20">
        <v>20.0</v>
      </c>
    </row>
    <row r="1248">
      <c r="A1248" s="26">
        <v>44580.8562225</v>
      </c>
      <c r="B1248" s="20" t="s">
        <v>1227</v>
      </c>
      <c r="C1248" s="20">
        <v>7.0</v>
      </c>
      <c r="D1248" s="20">
        <v>7.0</v>
      </c>
    </row>
    <row r="1249">
      <c r="A1249" s="26">
        <v>44580.85668016203</v>
      </c>
      <c r="B1249" s="20" t="s">
        <v>760</v>
      </c>
      <c r="C1249" s="20">
        <v>20.0</v>
      </c>
      <c r="D1249" s="20">
        <v>20.0</v>
      </c>
    </row>
    <row r="1250">
      <c r="A1250" s="26">
        <v>44580.85680591435</v>
      </c>
      <c r="B1250" s="20" t="s">
        <v>235</v>
      </c>
      <c r="C1250" s="20">
        <v>11.0</v>
      </c>
      <c r="D1250" s="20">
        <v>11.0</v>
      </c>
    </row>
    <row r="1251">
      <c r="A1251" s="26">
        <v>44580.85897064814</v>
      </c>
      <c r="B1251" s="20" t="s">
        <v>1228</v>
      </c>
      <c r="C1251" s="20">
        <v>19.0</v>
      </c>
      <c r="D1251" s="20">
        <v>19.0</v>
      </c>
    </row>
    <row r="1252">
      <c r="A1252" s="26">
        <v>44580.85916324074</v>
      </c>
      <c r="B1252" s="20" t="s">
        <v>1229</v>
      </c>
      <c r="C1252" s="20">
        <v>25.0</v>
      </c>
      <c r="D1252" s="20">
        <v>25.0</v>
      </c>
    </row>
    <row r="1253">
      <c r="A1253" s="26">
        <v>44580.86443556713</v>
      </c>
      <c r="B1253" s="20" t="s">
        <v>1230</v>
      </c>
      <c r="C1253" s="20">
        <v>8.0</v>
      </c>
      <c r="D1253" s="20">
        <v>8.0</v>
      </c>
    </row>
    <row r="1254">
      <c r="A1254" s="26">
        <v>44580.864763715275</v>
      </c>
      <c r="B1254" s="20" t="s">
        <v>842</v>
      </c>
      <c r="C1254" s="20">
        <v>19.0</v>
      </c>
      <c r="D1254" s="20">
        <v>19.0</v>
      </c>
    </row>
    <row r="1255">
      <c r="A1255" s="26">
        <v>44581.857512291666</v>
      </c>
      <c r="B1255" s="20" t="s">
        <v>820</v>
      </c>
      <c r="C1255" s="20">
        <v>8.0</v>
      </c>
      <c r="D1255" s="20">
        <v>8.0</v>
      </c>
    </row>
    <row r="1256">
      <c r="A1256" s="26">
        <v>44581.85763608797</v>
      </c>
      <c r="B1256" s="20" t="s">
        <v>813</v>
      </c>
      <c r="C1256" s="20">
        <v>17.0</v>
      </c>
      <c r="D1256" s="20">
        <v>17.0</v>
      </c>
    </row>
    <row r="1257">
      <c r="A1257" s="26">
        <v>44581.86321336805</v>
      </c>
      <c r="B1257" s="20" t="s">
        <v>167</v>
      </c>
      <c r="C1257" s="20">
        <v>22.0</v>
      </c>
      <c r="D1257" s="20">
        <v>22.0</v>
      </c>
    </row>
    <row r="1258">
      <c r="A1258" s="26">
        <v>44581.87094003472</v>
      </c>
      <c r="B1258" s="20" t="s">
        <v>1231</v>
      </c>
      <c r="C1258" s="20">
        <v>10.0</v>
      </c>
      <c r="D1258" s="20">
        <v>10.0</v>
      </c>
    </row>
    <row r="1259">
      <c r="A1259" s="26">
        <v>44581.87115614583</v>
      </c>
      <c r="B1259" s="20" t="s">
        <v>134</v>
      </c>
      <c r="C1259" s="20">
        <v>14.0</v>
      </c>
      <c r="D1259" s="20">
        <v>14.0</v>
      </c>
    </row>
    <row r="1260">
      <c r="A1260" s="26">
        <v>44582.69586060185</v>
      </c>
      <c r="B1260" s="20" t="s">
        <v>67</v>
      </c>
      <c r="C1260" s="20">
        <v>10.0</v>
      </c>
      <c r="D1260" s="20">
        <v>10.0</v>
      </c>
    </row>
    <row r="1261">
      <c r="A1261" s="26">
        <v>44582.69991996528</v>
      </c>
      <c r="B1261" s="20" t="s">
        <v>344</v>
      </c>
      <c r="C1261" s="20">
        <v>16.0</v>
      </c>
      <c r="D1261" s="20" t="s">
        <v>1232</v>
      </c>
    </row>
    <row r="1262">
      <c r="A1262" s="26">
        <v>44582.700307974534</v>
      </c>
      <c r="B1262" s="20" t="s">
        <v>344</v>
      </c>
      <c r="C1262" s="20">
        <v>22.0</v>
      </c>
      <c r="D1262" s="20">
        <v>22.0</v>
      </c>
    </row>
    <row r="1263">
      <c r="A1263" s="26">
        <v>44583.70405690972</v>
      </c>
      <c r="B1263" s="20" t="s">
        <v>67</v>
      </c>
      <c r="C1263" s="20">
        <v>38.0</v>
      </c>
      <c r="D1263" s="20">
        <v>38.0</v>
      </c>
    </row>
    <row r="1264">
      <c r="A1264" s="26">
        <v>44583.7082634838</v>
      </c>
      <c r="B1264" s="20" t="s">
        <v>1233</v>
      </c>
      <c r="C1264" s="20">
        <v>21.0</v>
      </c>
      <c r="D1264" s="20">
        <v>21.0</v>
      </c>
    </row>
    <row r="1265">
      <c r="A1265" s="26">
        <v>44583.71159832176</v>
      </c>
      <c r="B1265" s="20" t="s">
        <v>92</v>
      </c>
      <c r="C1265" s="20">
        <v>6.0</v>
      </c>
      <c r="D1265" s="20">
        <v>6.0</v>
      </c>
    </row>
    <row r="1266">
      <c r="A1266" s="26">
        <v>44583.71356872685</v>
      </c>
      <c r="B1266" s="20" t="s">
        <v>112</v>
      </c>
      <c r="C1266" s="20">
        <v>22.0</v>
      </c>
      <c r="D1266" s="20">
        <v>22.0</v>
      </c>
    </row>
    <row r="1267">
      <c r="A1267" s="26">
        <v>44583.71966248842</v>
      </c>
      <c r="B1267" s="20" t="s">
        <v>300</v>
      </c>
      <c r="C1267" s="20">
        <v>20.0</v>
      </c>
      <c r="D1267" s="20" t="s">
        <v>1012</v>
      </c>
    </row>
    <row r="1268">
      <c r="A1268" s="26">
        <v>44583.72113027778</v>
      </c>
      <c r="B1268" s="20" t="s">
        <v>178</v>
      </c>
      <c r="C1268" s="20">
        <v>14.0</v>
      </c>
      <c r="D1268" s="20">
        <v>14.0</v>
      </c>
    </row>
    <row r="1269">
      <c r="A1269" s="26">
        <v>44583.724618576394</v>
      </c>
      <c r="B1269" s="20" t="s">
        <v>437</v>
      </c>
      <c r="C1269" s="20">
        <v>20.0</v>
      </c>
      <c r="D1269" s="20">
        <v>20.0</v>
      </c>
    </row>
    <row r="1270">
      <c r="A1270" s="26">
        <v>44584.57767208334</v>
      </c>
      <c r="B1270" s="20" t="s">
        <v>344</v>
      </c>
      <c r="C1270" s="20">
        <v>12.0</v>
      </c>
      <c r="D1270" s="20" t="s">
        <v>1223</v>
      </c>
    </row>
    <row r="1271">
      <c r="A1271" s="26">
        <v>44584.67328984954</v>
      </c>
      <c r="B1271" s="20" t="s">
        <v>1234</v>
      </c>
      <c r="C1271" s="20">
        <v>21.0</v>
      </c>
      <c r="D1271" s="20">
        <v>21.0</v>
      </c>
    </row>
    <row r="1272">
      <c r="A1272" s="26">
        <v>44584.6825753125</v>
      </c>
      <c r="B1272" s="20" t="s">
        <v>79</v>
      </c>
      <c r="C1272" s="20">
        <v>19.7</v>
      </c>
      <c r="D1272" s="20">
        <v>19.7</v>
      </c>
    </row>
    <row r="1273">
      <c r="A1273" s="26">
        <v>44584.68284591435</v>
      </c>
      <c r="B1273" s="20" t="s">
        <v>982</v>
      </c>
      <c r="C1273" s="20">
        <v>18.0</v>
      </c>
      <c r="D1273" s="20">
        <v>18.0</v>
      </c>
    </row>
    <row r="1274">
      <c r="A1274" s="26">
        <v>44584.68289809028</v>
      </c>
      <c r="B1274" s="20" t="s">
        <v>800</v>
      </c>
      <c r="C1274" s="20">
        <v>24.0</v>
      </c>
      <c r="D1274" s="20" t="s">
        <v>1235</v>
      </c>
    </row>
    <row r="1275">
      <c r="A1275" s="26">
        <v>44584.684194421294</v>
      </c>
      <c r="B1275" s="20" t="s">
        <v>909</v>
      </c>
      <c r="C1275" s="20">
        <v>20.0</v>
      </c>
      <c r="D1275" s="20">
        <v>20.0</v>
      </c>
    </row>
    <row r="1276">
      <c r="A1276" s="26">
        <v>44584.690115543985</v>
      </c>
      <c r="B1276" s="20" t="s">
        <v>67</v>
      </c>
      <c r="C1276" s="20">
        <v>74.0</v>
      </c>
      <c r="D1276" s="20">
        <v>74.0</v>
      </c>
    </row>
    <row r="1277">
      <c r="A1277" s="26">
        <v>44584.6988478125</v>
      </c>
      <c r="B1277" s="20" t="s">
        <v>191</v>
      </c>
      <c r="C1277" s="20">
        <v>38.0</v>
      </c>
      <c r="D1277" s="20" t="s">
        <v>1236</v>
      </c>
    </row>
    <row r="1278">
      <c r="A1278" s="26">
        <v>44584.69917846065</v>
      </c>
      <c r="B1278" s="20" t="s">
        <v>193</v>
      </c>
      <c r="C1278" s="20">
        <v>19.0</v>
      </c>
      <c r="D1278" s="20" t="s">
        <v>1237</v>
      </c>
    </row>
    <row r="1279">
      <c r="A1279" s="26">
        <v>44584.706032372684</v>
      </c>
      <c r="B1279" s="20" t="s">
        <v>203</v>
      </c>
      <c r="C1279" s="20">
        <v>30.0</v>
      </c>
      <c r="D1279" s="20" t="s">
        <v>1238</v>
      </c>
    </row>
    <row r="1280">
      <c r="A1280" s="26">
        <v>44584.70622792824</v>
      </c>
      <c r="B1280" s="20" t="s">
        <v>203</v>
      </c>
      <c r="C1280" s="20">
        <v>8.0</v>
      </c>
      <c r="D1280" s="20">
        <v>8.0</v>
      </c>
    </row>
    <row r="1281">
      <c r="A1281" s="26">
        <v>44584.70666480324</v>
      </c>
      <c r="B1281" s="20" t="s">
        <v>1239</v>
      </c>
      <c r="C1281" s="20">
        <v>12.0</v>
      </c>
      <c r="D1281" s="20">
        <v>12.0</v>
      </c>
    </row>
    <row r="1282">
      <c r="A1282" s="26">
        <v>44586.71120600695</v>
      </c>
      <c r="B1282" s="20" t="s">
        <v>922</v>
      </c>
      <c r="C1282" s="20">
        <v>23.0</v>
      </c>
      <c r="D1282" s="20" t="s">
        <v>1240</v>
      </c>
    </row>
    <row r="1283">
      <c r="A1283" s="26">
        <v>44586.71208505787</v>
      </c>
      <c r="B1283" s="20" t="s">
        <v>1241</v>
      </c>
      <c r="C1283" s="20">
        <v>20.0</v>
      </c>
      <c r="D1283" s="20" t="s">
        <v>1242</v>
      </c>
    </row>
    <row r="1284">
      <c r="A1284" s="26">
        <v>44586.73441909722</v>
      </c>
      <c r="B1284" s="20" t="s">
        <v>67</v>
      </c>
      <c r="C1284" s="20">
        <v>23.0</v>
      </c>
      <c r="D1284" s="20">
        <v>23.0</v>
      </c>
    </row>
    <row r="1285">
      <c r="A1285" s="26">
        <v>44587.620479930556</v>
      </c>
      <c r="B1285" s="20" t="s">
        <v>193</v>
      </c>
      <c r="C1285" s="20">
        <v>18.0</v>
      </c>
      <c r="D1285" s="20" t="s">
        <v>1243</v>
      </c>
    </row>
    <row r="1286">
      <c r="A1286" s="26">
        <v>44587.67097950232</v>
      </c>
      <c r="B1286" s="20" t="s">
        <v>193</v>
      </c>
      <c r="C1286" s="20">
        <v>53.0</v>
      </c>
      <c r="D1286" s="20" t="s">
        <v>1244</v>
      </c>
    </row>
    <row r="1287">
      <c r="A1287" s="26">
        <v>44587.71223278935</v>
      </c>
      <c r="B1287" s="20" t="s">
        <v>1076</v>
      </c>
      <c r="C1287" s="20">
        <v>23.0</v>
      </c>
      <c r="D1287" s="20">
        <v>23.0</v>
      </c>
    </row>
    <row r="1288">
      <c r="A1288" s="26">
        <v>44587.712517974534</v>
      </c>
      <c r="B1288" s="20" t="s">
        <v>177</v>
      </c>
      <c r="C1288" s="20">
        <v>20.0</v>
      </c>
      <c r="D1288" s="20">
        <v>20.0</v>
      </c>
    </row>
    <row r="1289">
      <c r="A1289" s="26">
        <v>44587.71252341435</v>
      </c>
      <c r="B1289" s="20" t="s">
        <v>214</v>
      </c>
      <c r="C1289" s="20">
        <v>20.0</v>
      </c>
      <c r="D1289" s="20">
        <v>20.0</v>
      </c>
    </row>
    <row r="1290">
      <c r="A1290" s="26">
        <v>44587.71265141203</v>
      </c>
      <c r="B1290" s="20" t="s">
        <v>235</v>
      </c>
      <c r="C1290" s="20">
        <v>38.0</v>
      </c>
      <c r="D1290" s="20">
        <v>38.0</v>
      </c>
    </row>
    <row r="1291">
      <c r="A1291" s="26">
        <v>44587.72907390047</v>
      </c>
      <c r="B1291" s="20" t="s">
        <v>193</v>
      </c>
      <c r="C1291" s="20">
        <v>15.0</v>
      </c>
      <c r="D1291" s="20" t="s">
        <v>1245</v>
      </c>
    </row>
    <row r="1292">
      <c r="A1292" s="26">
        <v>44587.86564234954</v>
      </c>
      <c r="B1292" s="20" t="s">
        <v>124</v>
      </c>
      <c r="C1292" s="20">
        <v>15.0</v>
      </c>
      <c r="D1292" s="20">
        <v>15.0</v>
      </c>
    </row>
    <row r="1293">
      <c r="A1293" s="26">
        <v>44587.86804847222</v>
      </c>
      <c r="B1293" s="20" t="s">
        <v>1246</v>
      </c>
      <c r="C1293" s="20">
        <v>12.0</v>
      </c>
      <c r="D1293" s="20">
        <v>12.0</v>
      </c>
    </row>
    <row r="1294">
      <c r="A1294" s="26">
        <v>44587.87308506944</v>
      </c>
      <c r="B1294" s="20" t="s">
        <v>1107</v>
      </c>
      <c r="C1294" s="20">
        <v>18.0</v>
      </c>
      <c r="D1294" s="20">
        <v>18.0</v>
      </c>
    </row>
    <row r="1295">
      <c r="A1295" s="26">
        <v>44587.87338414352</v>
      </c>
      <c r="B1295" s="20" t="s">
        <v>1247</v>
      </c>
      <c r="C1295" s="20">
        <v>9.0</v>
      </c>
      <c r="D1295" s="20">
        <v>9.0</v>
      </c>
    </row>
    <row r="1296">
      <c r="A1296" s="26">
        <v>44587.87535569444</v>
      </c>
      <c r="B1296" s="20" t="s">
        <v>1248</v>
      </c>
      <c r="C1296" s="20">
        <v>20.0</v>
      </c>
      <c r="D1296" s="20">
        <v>20.0</v>
      </c>
    </row>
    <row r="1297">
      <c r="A1297" s="26">
        <v>44587.876438148145</v>
      </c>
      <c r="B1297" s="20" t="s">
        <v>1249</v>
      </c>
      <c r="C1297" s="20">
        <v>34.0</v>
      </c>
      <c r="D1297" s="20">
        <v>34.0</v>
      </c>
    </row>
    <row r="1298">
      <c r="A1298" s="26">
        <v>44587.87822337963</v>
      </c>
      <c r="B1298" s="20" t="s">
        <v>772</v>
      </c>
      <c r="C1298" s="20">
        <v>10.0</v>
      </c>
      <c r="D1298" s="20">
        <v>10.0</v>
      </c>
    </row>
    <row r="1299">
      <c r="A1299" s="26">
        <v>44587.878989687495</v>
      </c>
      <c r="B1299" s="20" t="s">
        <v>1250</v>
      </c>
      <c r="C1299" s="20">
        <v>4.0</v>
      </c>
      <c r="D1299" s="20">
        <v>4.0</v>
      </c>
    </row>
    <row r="1300">
      <c r="A1300" s="26">
        <v>44587.88086590278</v>
      </c>
      <c r="B1300" s="20" t="s">
        <v>818</v>
      </c>
      <c r="C1300" s="20">
        <v>13.0</v>
      </c>
      <c r="D1300" s="20" t="s">
        <v>1083</v>
      </c>
    </row>
    <row r="1301">
      <c r="A1301" s="26">
        <v>44587.88189682871</v>
      </c>
      <c r="B1301" s="20" t="s">
        <v>1158</v>
      </c>
      <c r="C1301" s="20">
        <v>36.0</v>
      </c>
      <c r="D1301" s="20" t="s">
        <v>1251</v>
      </c>
    </row>
    <row r="1302">
      <c r="A1302" s="26">
        <v>44587.88283916667</v>
      </c>
      <c r="B1302" s="20" t="s">
        <v>1228</v>
      </c>
      <c r="C1302" s="20">
        <v>19.0</v>
      </c>
      <c r="D1302" s="20">
        <v>19.0</v>
      </c>
    </row>
    <row r="1303">
      <c r="A1303" s="26">
        <v>44587.88532099537</v>
      </c>
      <c r="B1303" s="20" t="s">
        <v>126</v>
      </c>
      <c r="C1303" s="20">
        <v>20.0</v>
      </c>
      <c r="D1303" s="20" t="s">
        <v>1252</v>
      </c>
    </row>
    <row r="1304">
      <c r="A1304" s="26">
        <v>44587.88557400463</v>
      </c>
      <c r="B1304" s="20" t="s">
        <v>1227</v>
      </c>
      <c r="C1304" s="20">
        <v>51.0</v>
      </c>
      <c r="D1304" s="20">
        <v>51.0</v>
      </c>
    </row>
    <row r="1305">
      <c r="A1305" s="26">
        <v>44587.88558744213</v>
      </c>
      <c r="B1305" s="20" t="s">
        <v>786</v>
      </c>
      <c r="C1305" s="20">
        <v>14.0</v>
      </c>
      <c r="D1305" s="20">
        <v>14.0</v>
      </c>
    </row>
    <row r="1306">
      <c r="A1306" s="26">
        <v>44587.886034166666</v>
      </c>
      <c r="B1306" s="20" t="s">
        <v>242</v>
      </c>
      <c r="C1306" s="20">
        <v>28.0</v>
      </c>
      <c r="D1306" s="20">
        <v>28.0</v>
      </c>
    </row>
    <row r="1307">
      <c r="A1307" s="26">
        <v>44587.88914372685</v>
      </c>
      <c r="B1307" s="20" t="s">
        <v>760</v>
      </c>
      <c r="C1307" s="20">
        <v>18.0</v>
      </c>
      <c r="D1307" s="20">
        <v>18.0</v>
      </c>
    </row>
    <row r="1308">
      <c r="A1308" s="26">
        <v>44587.8892753125</v>
      </c>
      <c r="B1308" s="20" t="s">
        <v>242</v>
      </c>
      <c r="C1308" s="20">
        <v>28.0</v>
      </c>
      <c r="D1308" s="20">
        <v>28.0</v>
      </c>
    </row>
    <row r="1309">
      <c r="A1309" s="26">
        <v>44587.893818275465</v>
      </c>
      <c r="B1309" s="20" t="s">
        <v>67</v>
      </c>
      <c r="C1309" s="20">
        <v>83.0</v>
      </c>
      <c r="D1309" s="20">
        <v>83.0</v>
      </c>
    </row>
    <row r="1310">
      <c r="A1310" s="26">
        <v>44588.69919900463</v>
      </c>
      <c r="B1310" s="20" t="s">
        <v>1253</v>
      </c>
      <c r="C1310" s="20">
        <v>20.0</v>
      </c>
      <c r="D1310" s="20">
        <v>20.0</v>
      </c>
    </row>
    <row r="1311">
      <c r="A1311" s="26">
        <v>44588.69946827546</v>
      </c>
      <c r="B1311" s="20" t="s">
        <v>1254</v>
      </c>
    </row>
    <row r="1312">
      <c r="A1312" s="26">
        <v>44588.70454269676</v>
      </c>
      <c r="B1312" s="20" t="s">
        <v>163</v>
      </c>
      <c r="C1312" s="20">
        <v>26.0</v>
      </c>
      <c r="D1312" s="20">
        <v>26.0</v>
      </c>
    </row>
    <row r="1313">
      <c r="A1313" s="26">
        <v>44588.7059706713</v>
      </c>
      <c r="B1313" s="20" t="s">
        <v>163</v>
      </c>
      <c r="C1313" s="20">
        <v>42.0</v>
      </c>
      <c r="D1313" s="20" t="s">
        <v>1255</v>
      </c>
    </row>
    <row r="1314">
      <c r="A1314" s="26">
        <v>44588.830671874995</v>
      </c>
      <c r="B1314" s="20" t="s">
        <v>1256</v>
      </c>
      <c r="C1314" s="20">
        <v>20.0</v>
      </c>
      <c r="D1314" s="20">
        <v>20.0</v>
      </c>
    </row>
    <row r="1315">
      <c r="A1315" s="26">
        <v>44588.83096290509</v>
      </c>
      <c r="B1315" s="20" t="s">
        <v>1257</v>
      </c>
      <c r="C1315" s="20">
        <v>5.5</v>
      </c>
      <c r="D1315" s="20">
        <v>5.5</v>
      </c>
    </row>
    <row r="1316">
      <c r="A1316" s="26">
        <v>44588.83352865741</v>
      </c>
      <c r="B1316" s="20" t="s">
        <v>820</v>
      </c>
      <c r="C1316" s="20">
        <v>6.0</v>
      </c>
      <c r="D1316" s="20" t="s">
        <v>1258</v>
      </c>
    </row>
    <row r="1317">
      <c r="A1317" s="26">
        <v>44588.83369490741</v>
      </c>
      <c r="B1317" s="20" t="s">
        <v>813</v>
      </c>
      <c r="C1317" s="20">
        <v>19.0</v>
      </c>
      <c r="D1317" s="20">
        <v>19.0</v>
      </c>
    </row>
    <row r="1318">
      <c r="A1318" s="26">
        <v>44588.837858900464</v>
      </c>
      <c r="B1318" s="20" t="s">
        <v>134</v>
      </c>
      <c r="C1318" s="20">
        <v>20.0</v>
      </c>
      <c r="D1318" s="20">
        <v>20.0</v>
      </c>
    </row>
    <row r="1319">
      <c r="A1319" s="26">
        <v>44588.84071746528</v>
      </c>
      <c r="B1319" s="20" t="s">
        <v>1259</v>
      </c>
      <c r="C1319" s="20">
        <v>4.0</v>
      </c>
      <c r="D1319" s="20">
        <v>4.0</v>
      </c>
    </row>
    <row r="1320">
      <c r="A1320" s="26">
        <v>44588.8415459838</v>
      </c>
      <c r="B1320" s="20" t="s">
        <v>1225</v>
      </c>
      <c r="C1320" s="20">
        <v>20.0</v>
      </c>
      <c r="D1320" s="20">
        <v>20.0</v>
      </c>
    </row>
    <row r="1321">
      <c r="A1321" s="26">
        <v>44588.84347394676</v>
      </c>
      <c r="B1321" s="20" t="s">
        <v>67</v>
      </c>
      <c r="C1321" s="20">
        <v>39.0</v>
      </c>
      <c r="D1321" s="20">
        <v>39.0</v>
      </c>
    </row>
    <row r="1322">
      <c r="A1322" s="26">
        <v>44588.84593769676</v>
      </c>
      <c r="B1322" s="20" t="s">
        <v>437</v>
      </c>
      <c r="C1322" s="20">
        <v>20.0</v>
      </c>
      <c r="D1322" s="20">
        <v>20.0</v>
      </c>
    </row>
    <row r="1323">
      <c r="A1323" s="26">
        <v>44589.686257361114</v>
      </c>
      <c r="B1323" s="20" t="s">
        <v>344</v>
      </c>
      <c r="C1323" s="20">
        <v>13.0</v>
      </c>
      <c r="D1323" s="20" t="s">
        <v>1260</v>
      </c>
    </row>
    <row r="1324">
      <c r="A1324" s="26">
        <v>44589.68704912037</v>
      </c>
      <c r="B1324" s="20" t="s">
        <v>344</v>
      </c>
      <c r="C1324" s="20">
        <v>17.0</v>
      </c>
      <c r="D1324" s="20">
        <v>17.0</v>
      </c>
    </row>
    <row r="1325">
      <c r="A1325" s="26">
        <v>44589.699790150466</v>
      </c>
      <c r="B1325" s="20" t="s">
        <v>203</v>
      </c>
      <c r="C1325" s="20">
        <v>2.0</v>
      </c>
      <c r="D1325" s="20">
        <v>2.0</v>
      </c>
    </row>
    <row r="1326">
      <c r="A1326" s="26">
        <v>44589.7005097338</v>
      </c>
      <c r="B1326" s="20" t="s">
        <v>1261</v>
      </c>
      <c r="C1326" s="20">
        <v>10.0</v>
      </c>
      <c r="D1326" s="20">
        <v>10.0</v>
      </c>
    </row>
    <row r="1327">
      <c r="A1327" s="26">
        <v>44589.70192003473</v>
      </c>
      <c r="B1327" s="20" t="s">
        <v>1262</v>
      </c>
      <c r="C1327" s="20">
        <v>15.0</v>
      </c>
      <c r="D1327" s="20">
        <v>15.0</v>
      </c>
    </row>
    <row r="1328">
      <c r="A1328" s="26">
        <v>44590.688412881944</v>
      </c>
      <c r="B1328" s="20" t="s">
        <v>862</v>
      </c>
      <c r="C1328" s="20">
        <v>10.0</v>
      </c>
      <c r="D1328" s="20">
        <v>10.0</v>
      </c>
    </row>
    <row r="1329">
      <c r="A1329" s="26">
        <v>44590.68847570602</v>
      </c>
      <c r="B1329" s="20" t="s">
        <v>1263</v>
      </c>
      <c r="C1329" s="20">
        <v>15.0</v>
      </c>
      <c r="D1329" s="20">
        <v>15.0</v>
      </c>
    </row>
    <row r="1330">
      <c r="A1330" s="26">
        <v>44590.69331537037</v>
      </c>
      <c r="B1330" s="20" t="s">
        <v>1264</v>
      </c>
      <c r="C1330" s="20">
        <v>11.0</v>
      </c>
      <c r="D1330" s="20">
        <v>11.0</v>
      </c>
    </row>
    <row r="1331">
      <c r="A1331" s="26">
        <v>44590.694723043984</v>
      </c>
      <c r="B1331" s="20" t="s">
        <v>178</v>
      </c>
      <c r="C1331" s="20">
        <v>18.0</v>
      </c>
      <c r="D1331" s="20">
        <v>18.0</v>
      </c>
    </row>
    <row r="1332">
      <c r="A1332" s="26">
        <v>44590.6975637037</v>
      </c>
      <c r="B1332" s="20" t="s">
        <v>300</v>
      </c>
      <c r="C1332" s="20">
        <v>10.0</v>
      </c>
      <c r="D1332" s="20" t="s">
        <v>1075</v>
      </c>
    </row>
    <row r="1333">
      <c r="A1333" s="26">
        <v>44590.70167778935</v>
      </c>
      <c r="B1333" s="20" t="s">
        <v>1265</v>
      </c>
      <c r="C1333" s="20">
        <v>19.0</v>
      </c>
      <c r="D1333" s="20">
        <v>19.0</v>
      </c>
    </row>
    <row r="1334">
      <c r="A1334" s="26">
        <v>44590.704741863425</v>
      </c>
      <c r="B1334" s="20" t="s">
        <v>126</v>
      </c>
      <c r="C1334" s="20">
        <v>20.0</v>
      </c>
      <c r="D1334" s="20">
        <v>20.0</v>
      </c>
    </row>
    <row r="1335">
      <c r="A1335" s="26">
        <v>44590.70500012732</v>
      </c>
      <c r="B1335" s="20" t="s">
        <v>1266</v>
      </c>
      <c r="C1335" s="20">
        <v>20.0</v>
      </c>
      <c r="D1335" s="20">
        <v>20.0</v>
      </c>
    </row>
    <row r="1336">
      <c r="A1336" s="26">
        <v>44591.65606104166</v>
      </c>
      <c r="B1336" s="20" t="s">
        <v>896</v>
      </c>
      <c r="C1336" s="20">
        <v>21.0</v>
      </c>
      <c r="D1336" s="20" t="s">
        <v>1267</v>
      </c>
    </row>
    <row r="1337">
      <c r="A1337" s="26">
        <v>44591.65643258102</v>
      </c>
      <c r="B1337" s="20" t="s">
        <v>982</v>
      </c>
      <c r="C1337" s="20">
        <v>20.0</v>
      </c>
      <c r="D1337" s="20">
        <v>20.0</v>
      </c>
    </row>
    <row r="1338">
      <c r="A1338" s="26">
        <v>44591.65741861111</v>
      </c>
      <c r="B1338" s="20" t="s">
        <v>144</v>
      </c>
      <c r="C1338" s="20">
        <v>20.5</v>
      </c>
      <c r="D1338" s="20" t="s">
        <v>1268</v>
      </c>
    </row>
    <row r="1339">
      <c r="A1339" s="26">
        <v>44591.65786128472</v>
      </c>
      <c r="B1339" s="20" t="s">
        <v>1269</v>
      </c>
      <c r="C1339" s="20">
        <v>24.0</v>
      </c>
      <c r="D1339" s="20" t="s">
        <v>1270</v>
      </c>
    </row>
    <row r="1340">
      <c r="A1340" s="26">
        <v>44591.6832922801</v>
      </c>
      <c r="B1340" s="20" t="s">
        <v>193</v>
      </c>
      <c r="C1340" s="20">
        <v>17.0</v>
      </c>
      <c r="D1340" s="20" t="s">
        <v>1271</v>
      </c>
    </row>
    <row r="1341">
      <c r="A1341" s="26">
        <v>44591.68478577546</v>
      </c>
      <c r="B1341" s="20" t="s">
        <v>191</v>
      </c>
      <c r="C1341" s="20">
        <v>19.0</v>
      </c>
      <c r="D1341" s="20" t="s">
        <v>1272</v>
      </c>
    </row>
    <row r="1342">
      <c r="A1342" s="26">
        <v>44591.685012268514</v>
      </c>
      <c r="B1342" s="20" t="s">
        <v>193</v>
      </c>
      <c r="C1342" s="20">
        <v>23.0</v>
      </c>
      <c r="D1342" s="20">
        <v>23.0</v>
      </c>
    </row>
    <row r="1343">
      <c r="A1343" s="26">
        <v>44591.75793790509</v>
      </c>
      <c r="B1343" s="20" t="s">
        <v>67</v>
      </c>
      <c r="C1343" s="20">
        <v>154.0</v>
      </c>
      <c r="D1343" s="20">
        <v>154.0</v>
      </c>
    </row>
    <row r="1344">
      <c r="A1344" s="26">
        <v>44593.687020150464</v>
      </c>
      <c r="B1344" s="20" t="s">
        <v>1273</v>
      </c>
      <c r="C1344" s="20">
        <v>0.0</v>
      </c>
      <c r="D1344" s="27"/>
    </row>
    <row r="1345">
      <c r="A1345" s="26">
        <v>44593.70636609953</v>
      </c>
      <c r="B1345" s="20" t="s">
        <v>203</v>
      </c>
      <c r="C1345" s="20">
        <v>10.0</v>
      </c>
      <c r="D1345" s="27"/>
    </row>
    <row r="1346">
      <c r="A1346" s="26">
        <v>44593.7068153125</v>
      </c>
      <c r="B1346" s="20" t="s">
        <v>214</v>
      </c>
      <c r="C1346" s="20">
        <v>57.0</v>
      </c>
      <c r="D1346" s="27"/>
    </row>
    <row r="1347">
      <c r="A1347" s="26">
        <v>44593.706922129626</v>
      </c>
      <c r="B1347" s="20" t="s">
        <v>214</v>
      </c>
      <c r="C1347" s="20">
        <v>21.0</v>
      </c>
      <c r="D1347" s="27"/>
    </row>
    <row r="1348">
      <c r="A1348" s="26">
        <v>44593.70712679398</v>
      </c>
      <c r="B1348" s="20" t="s">
        <v>203</v>
      </c>
      <c r="C1348" s="20">
        <v>24.0</v>
      </c>
      <c r="D1348" s="27"/>
    </row>
    <row r="1349">
      <c r="A1349" s="26">
        <v>44593.70914423611</v>
      </c>
      <c r="B1349" s="20" t="s">
        <v>67</v>
      </c>
      <c r="C1349" s="20">
        <v>72.0</v>
      </c>
      <c r="D1349" s="27"/>
    </row>
    <row r="1350">
      <c r="A1350" s="26">
        <v>44594.63545050926</v>
      </c>
      <c r="B1350" s="20" t="s">
        <v>344</v>
      </c>
      <c r="C1350" s="20">
        <v>2.0</v>
      </c>
      <c r="D1350" s="27"/>
    </row>
    <row r="1351">
      <c r="A1351" s="26">
        <v>44594.643600497686</v>
      </c>
      <c r="B1351" s="20" t="s">
        <v>203</v>
      </c>
      <c r="C1351" s="20">
        <v>5.0</v>
      </c>
      <c r="D1351" s="27"/>
    </row>
    <row r="1352">
      <c r="A1352" s="26">
        <v>44594.679746354166</v>
      </c>
      <c r="B1352" s="20" t="s">
        <v>153</v>
      </c>
      <c r="C1352" s="20">
        <v>16.0</v>
      </c>
      <c r="D1352" s="27"/>
    </row>
    <row r="1353">
      <c r="A1353" s="26">
        <v>44594.717894664354</v>
      </c>
      <c r="B1353" s="20" t="s">
        <v>147</v>
      </c>
      <c r="C1353" s="20">
        <v>22.0</v>
      </c>
      <c r="D1353" s="27"/>
    </row>
    <row r="1354">
      <c r="A1354" s="26">
        <v>44594.718298368054</v>
      </c>
      <c r="B1354" s="20" t="s">
        <v>1274</v>
      </c>
      <c r="C1354" s="20">
        <v>10.0</v>
      </c>
      <c r="D1354" s="27"/>
    </row>
    <row r="1355">
      <c r="A1355" s="26">
        <v>44594.741835451394</v>
      </c>
      <c r="B1355" s="20" t="s">
        <v>193</v>
      </c>
      <c r="C1355" s="20">
        <v>26.0</v>
      </c>
      <c r="D1355" s="27"/>
    </row>
    <row r="1356">
      <c r="A1356" s="26">
        <v>44594.74213134259</v>
      </c>
      <c r="B1356" s="20" t="s">
        <v>193</v>
      </c>
      <c r="C1356" s="20">
        <v>10.0</v>
      </c>
      <c r="D1356" s="27"/>
    </row>
    <row r="1357">
      <c r="A1357" s="26">
        <v>44594.742742256945</v>
      </c>
      <c r="B1357" s="20" t="s">
        <v>193</v>
      </c>
      <c r="C1357" s="20">
        <v>15.0</v>
      </c>
      <c r="D1357" s="27"/>
    </row>
    <row r="1358">
      <c r="A1358" s="26">
        <v>44594.747876249996</v>
      </c>
      <c r="B1358" s="20" t="s">
        <v>177</v>
      </c>
      <c r="C1358" s="20">
        <v>20.0</v>
      </c>
      <c r="D1358" s="27"/>
    </row>
    <row r="1359">
      <c r="A1359" s="26">
        <v>44594.747998541665</v>
      </c>
      <c r="B1359" s="20" t="s">
        <v>235</v>
      </c>
      <c r="C1359" s="20">
        <v>38.0</v>
      </c>
      <c r="D1359" s="27"/>
    </row>
    <row r="1360">
      <c r="A1360" s="26">
        <v>44594.86211650463</v>
      </c>
      <c r="B1360" s="20" t="s">
        <v>818</v>
      </c>
      <c r="C1360" s="20" t="s">
        <v>1275</v>
      </c>
      <c r="D1360" s="27"/>
    </row>
    <row r="1361">
      <c r="A1361" s="26">
        <v>44594.86294013889</v>
      </c>
      <c r="B1361" s="20" t="s">
        <v>786</v>
      </c>
      <c r="C1361" s="20">
        <v>32.0</v>
      </c>
      <c r="D1361" s="27"/>
    </row>
    <row r="1362">
      <c r="A1362" s="26">
        <v>44594.86492032408</v>
      </c>
      <c r="B1362" s="20" t="s">
        <v>1158</v>
      </c>
      <c r="C1362" s="20" t="s">
        <v>1276</v>
      </c>
      <c r="D1362" s="27"/>
    </row>
    <row r="1363">
      <c r="A1363" s="26">
        <v>44594.86742318287</v>
      </c>
      <c r="B1363" s="20" t="s">
        <v>155</v>
      </c>
      <c r="C1363" s="20">
        <v>15.0</v>
      </c>
      <c r="D1363" s="27"/>
    </row>
    <row r="1364">
      <c r="A1364" s="26">
        <v>44594.86821915509</v>
      </c>
      <c r="B1364" s="20" t="s">
        <v>787</v>
      </c>
      <c r="C1364" s="20">
        <v>25.0</v>
      </c>
      <c r="D1364" s="27"/>
    </row>
    <row r="1365">
      <c r="A1365" s="26">
        <v>44594.868237511575</v>
      </c>
      <c r="B1365" s="20" t="s">
        <v>126</v>
      </c>
      <c r="C1365" s="20">
        <v>20.0</v>
      </c>
      <c r="D1365" s="27"/>
    </row>
    <row r="1366">
      <c r="A1366" s="26">
        <v>44594.86835181713</v>
      </c>
      <c r="B1366" s="20" t="s">
        <v>235</v>
      </c>
      <c r="C1366" s="20">
        <v>3.0</v>
      </c>
      <c r="D1366" s="27"/>
    </row>
    <row r="1367">
      <c r="A1367" s="26">
        <v>44594.868564282406</v>
      </c>
      <c r="B1367" s="20" t="s">
        <v>1227</v>
      </c>
      <c r="C1367" s="20">
        <v>31.0</v>
      </c>
      <c r="D1367" s="27"/>
    </row>
    <row r="1368">
      <c r="A1368" s="26">
        <v>44595.709781550926</v>
      </c>
      <c r="B1368" s="20" t="s">
        <v>1277</v>
      </c>
      <c r="C1368" s="20">
        <v>17.0</v>
      </c>
      <c r="D1368" s="27"/>
    </row>
    <row r="1369">
      <c r="A1369" s="26">
        <v>44595.710293321754</v>
      </c>
      <c r="B1369" s="20" t="s">
        <v>163</v>
      </c>
      <c r="C1369" s="20" t="s">
        <v>1278</v>
      </c>
      <c r="D1369" s="27"/>
    </row>
    <row r="1370">
      <c r="A1370" s="26">
        <v>44595.71138953704</v>
      </c>
      <c r="B1370" s="20" t="s">
        <v>163</v>
      </c>
      <c r="C1370" s="20" t="s">
        <v>1279</v>
      </c>
      <c r="D1370" s="27"/>
    </row>
    <row r="1371">
      <c r="A1371" s="26">
        <v>44595.71167116898</v>
      </c>
      <c r="B1371" s="20" t="s">
        <v>163</v>
      </c>
      <c r="C1371" s="20">
        <v>29.0</v>
      </c>
      <c r="D1371" s="27"/>
    </row>
    <row r="1372">
      <c r="A1372" s="26">
        <v>44595.71270203704</v>
      </c>
      <c r="B1372" s="20" t="s">
        <v>637</v>
      </c>
      <c r="C1372" s="20">
        <v>17.0</v>
      </c>
      <c r="D1372" s="27"/>
    </row>
    <row r="1373">
      <c r="A1373" s="26">
        <v>44595.71352556713</v>
      </c>
      <c r="B1373" s="20" t="s">
        <v>1280</v>
      </c>
      <c r="C1373" s="20" t="s">
        <v>1281</v>
      </c>
      <c r="D1373" s="27"/>
    </row>
    <row r="1374">
      <c r="A1374" s="26">
        <v>44595.86897444444</v>
      </c>
      <c r="B1374" s="20" t="s">
        <v>813</v>
      </c>
      <c r="C1374" s="20">
        <v>20.0</v>
      </c>
      <c r="D1374" s="27"/>
    </row>
    <row r="1375">
      <c r="A1375" s="26">
        <v>44595.87138243056</v>
      </c>
      <c r="B1375" s="20" t="s">
        <v>1052</v>
      </c>
      <c r="C1375" s="20" t="s">
        <v>1282</v>
      </c>
      <c r="D1375" s="27"/>
    </row>
    <row r="1376">
      <c r="A1376" s="26">
        <v>44595.87774668982</v>
      </c>
      <c r="B1376" s="20" t="s">
        <v>1259</v>
      </c>
      <c r="C1376" s="20">
        <v>17.0</v>
      </c>
      <c r="D1376" s="27"/>
    </row>
    <row r="1377">
      <c r="A1377" s="26">
        <v>44595.87780122685</v>
      </c>
      <c r="B1377" s="20" t="s">
        <v>1259</v>
      </c>
      <c r="C1377" s="20">
        <v>7.0</v>
      </c>
      <c r="D1377" s="27"/>
    </row>
    <row r="1378">
      <c r="A1378" s="26">
        <v>44595.878014849535</v>
      </c>
      <c r="B1378" s="20" t="s">
        <v>1283</v>
      </c>
      <c r="C1378" s="20">
        <v>18.0</v>
      </c>
      <c r="D1378" s="27"/>
    </row>
    <row r="1379">
      <c r="A1379" s="26">
        <v>44595.88035072917</v>
      </c>
      <c r="B1379" s="20" t="s">
        <v>437</v>
      </c>
      <c r="C1379" s="20">
        <v>20.0</v>
      </c>
      <c r="D1379" s="27"/>
    </row>
    <row r="1380">
      <c r="A1380" s="26">
        <v>44595.88062887732</v>
      </c>
      <c r="B1380" s="20" t="s">
        <v>896</v>
      </c>
      <c r="C1380" s="20">
        <v>15.0</v>
      </c>
      <c r="D1380" s="27"/>
    </row>
    <row r="1381">
      <c r="A1381" s="26">
        <v>44595.88269549768</v>
      </c>
      <c r="B1381" s="20" t="s">
        <v>1284</v>
      </c>
      <c r="C1381" s="20">
        <v>8.0</v>
      </c>
      <c r="D1381" s="27"/>
    </row>
    <row r="1382">
      <c r="A1382" s="26">
        <v>44595.88288123843</v>
      </c>
      <c r="B1382" s="20" t="s">
        <v>1285</v>
      </c>
      <c r="C1382" s="20">
        <v>15.0</v>
      </c>
      <c r="D1382" s="27"/>
    </row>
    <row r="1383">
      <c r="A1383" s="26">
        <v>44595.88469115741</v>
      </c>
      <c r="B1383" s="20" t="s">
        <v>167</v>
      </c>
      <c r="C1383" s="20">
        <v>20.0</v>
      </c>
      <c r="D1383" s="27"/>
    </row>
    <row r="1384">
      <c r="A1384" s="26">
        <v>44595.886516134255</v>
      </c>
      <c r="B1384" s="20" t="s">
        <v>67</v>
      </c>
      <c r="C1384" s="20">
        <v>41.0</v>
      </c>
      <c r="D1384" s="27"/>
    </row>
    <row r="1385">
      <c r="A1385" s="26">
        <v>44596.62790980324</v>
      </c>
      <c r="B1385" s="20" t="s">
        <v>163</v>
      </c>
      <c r="C1385" s="20" t="s">
        <v>1286</v>
      </c>
      <c r="D1385" s="27"/>
    </row>
    <row r="1386">
      <c r="A1386" s="26">
        <v>44596.62815202546</v>
      </c>
      <c r="B1386" s="20" t="s">
        <v>163</v>
      </c>
      <c r="C1386" s="20">
        <v>16.0</v>
      </c>
      <c r="D1386" s="27"/>
    </row>
    <row r="1387">
      <c r="A1387" s="26">
        <v>44596.72903891203</v>
      </c>
      <c r="B1387" s="20" t="s">
        <v>193</v>
      </c>
      <c r="C1387" s="20" t="s">
        <v>1287</v>
      </c>
      <c r="D1387" s="27"/>
    </row>
    <row r="1388">
      <c r="A1388" s="26">
        <v>44596.86180077546</v>
      </c>
      <c r="B1388" s="20" t="s">
        <v>193</v>
      </c>
      <c r="C1388" s="20">
        <v>16.0</v>
      </c>
      <c r="D1388" s="27"/>
    </row>
    <row r="1389">
      <c r="A1389" s="26">
        <v>44597.70709252315</v>
      </c>
      <c r="B1389" s="20" t="s">
        <v>1288</v>
      </c>
      <c r="C1389" s="20">
        <v>7.0</v>
      </c>
      <c r="D1389" s="27"/>
    </row>
    <row r="1390">
      <c r="A1390" s="26">
        <v>44597.7073844213</v>
      </c>
      <c r="B1390" s="20" t="s">
        <v>92</v>
      </c>
      <c r="C1390" s="20">
        <v>10.0</v>
      </c>
      <c r="D1390" s="27"/>
    </row>
    <row r="1391">
      <c r="A1391" s="26">
        <v>44597.7080796875</v>
      </c>
      <c r="B1391" s="20" t="s">
        <v>1289</v>
      </c>
      <c r="C1391" s="20">
        <v>18.0</v>
      </c>
      <c r="D1391" s="27"/>
    </row>
    <row r="1392">
      <c r="A1392" s="26">
        <v>44597.708158113426</v>
      </c>
      <c r="B1392" s="20" t="s">
        <v>300</v>
      </c>
      <c r="C1392" s="20" t="s">
        <v>999</v>
      </c>
      <c r="D1392" s="27"/>
    </row>
    <row r="1393">
      <c r="A1393" s="26">
        <v>44597.70936471065</v>
      </c>
      <c r="B1393" s="20" t="s">
        <v>1290</v>
      </c>
      <c r="C1393" s="20" t="s">
        <v>1291</v>
      </c>
      <c r="D1393" s="27"/>
    </row>
    <row r="1394">
      <c r="A1394" s="26">
        <v>44597.715798125</v>
      </c>
      <c r="B1394" s="20" t="s">
        <v>1292</v>
      </c>
      <c r="C1394" s="20">
        <v>6.0</v>
      </c>
      <c r="D1394" s="27"/>
    </row>
    <row r="1395">
      <c r="A1395" s="26">
        <v>44597.71588672454</v>
      </c>
      <c r="B1395" s="20" t="s">
        <v>178</v>
      </c>
      <c r="C1395" s="20">
        <v>17.0</v>
      </c>
      <c r="D1395" s="27"/>
    </row>
    <row r="1396">
      <c r="A1396" s="26">
        <v>44598.68321501157</v>
      </c>
      <c r="B1396" s="20" t="s">
        <v>1182</v>
      </c>
      <c r="C1396" s="20">
        <v>14.0</v>
      </c>
      <c r="D1396" s="27"/>
    </row>
    <row r="1397">
      <c r="A1397" s="26">
        <v>44598.691327824075</v>
      </c>
      <c r="B1397" s="20" t="s">
        <v>982</v>
      </c>
      <c r="C1397" s="20">
        <v>11.0</v>
      </c>
      <c r="D1397" s="27"/>
    </row>
    <row r="1398">
      <c r="A1398" s="26">
        <v>44598.69144679398</v>
      </c>
      <c r="B1398" s="20" t="s">
        <v>79</v>
      </c>
      <c r="C1398" s="20">
        <v>14.0</v>
      </c>
      <c r="D1398" s="27"/>
    </row>
    <row r="1399">
      <c r="A1399" s="26">
        <v>44598.69187084491</v>
      </c>
      <c r="B1399" s="20" t="s">
        <v>799</v>
      </c>
      <c r="C1399" s="20">
        <v>19.0</v>
      </c>
      <c r="D1399" s="27"/>
    </row>
    <row r="1400">
      <c r="A1400" s="26">
        <v>44598.69675581019</v>
      </c>
      <c r="B1400" s="20" t="s">
        <v>193</v>
      </c>
      <c r="C1400" s="20" t="s">
        <v>1293</v>
      </c>
      <c r="D1400" s="27"/>
    </row>
    <row r="1401">
      <c r="A1401" s="26">
        <v>44598.69695189815</v>
      </c>
      <c r="B1401" s="20" t="s">
        <v>193</v>
      </c>
      <c r="C1401" s="20" t="s">
        <v>1294</v>
      </c>
      <c r="D1401" s="27"/>
    </row>
    <row r="1402">
      <c r="A1402" s="26">
        <v>44598.697110486115</v>
      </c>
      <c r="B1402" s="20" t="s">
        <v>193</v>
      </c>
      <c r="C1402" s="20">
        <v>24.0</v>
      </c>
      <c r="D1402" s="27"/>
    </row>
    <row r="1403">
      <c r="A1403" s="26">
        <v>44598.700871712965</v>
      </c>
      <c r="B1403" s="20" t="s">
        <v>203</v>
      </c>
      <c r="C1403" s="20">
        <v>12.0</v>
      </c>
      <c r="D1403" s="27"/>
    </row>
    <row r="1404">
      <c r="A1404" s="26">
        <v>44598.70327547454</v>
      </c>
      <c r="B1404" s="20" t="s">
        <v>203</v>
      </c>
      <c r="C1404" s="20" t="s">
        <v>1295</v>
      </c>
      <c r="D1404" s="27"/>
    </row>
    <row r="1405">
      <c r="A1405" s="26">
        <v>44598.71151849537</v>
      </c>
      <c r="B1405" s="20" t="s">
        <v>1296</v>
      </c>
      <c r="C1405" s="20">
        <v>9.0</v>
      </c>
      <c r="D1405" s="27"/>
    </row>
    <row r="1406">
      <c r="A1406" s="26">
        <v>44598.71284540509</v>
      </c>
      <c r="B1406" s="20" t="s">
        <v>1297</v>
      </c>
      <c r="C1406" s="20" t="s">
        <v>1298</v>
      </c>
      <c r="D1406" s="27"/>
    </row>
    <row r="1407">
      <c r="A1407" s="26">
        <v>44598.71311200231</v>
      </c>
      <c r="B1407" s="20" t="s">
        <v>1299</v>
      </c>
      <c r="C1407" s="20">
        <v>22.0</v>
      </c>
      <c r="D1407" s="27"/>
    </row>
    <row r="1408">
      <c r="A1408" s="26">
        <v>44600.7040383912</v>
      </c>
      <c r="B1408" s="20" t="s">
        <v>203</v>
      </c>
      <c r="C1408" s="20" t="s">
        <v>1300</v>
      </c>
      <c r="D1408" s="27"/>
    </row>
    <row r="1409">
      <c r="A1409" s="26">
        <v>44600.707269328705</v>
      </c>
      <c r="B1409" s="20" t="s">
        <v>203</v>
      </c>
      <c r="C1409" s="20" t="s">
        <v>1301</v>
      </c>
      <c r="D1409" s="27"/>
    </row>
    <row r="1410">
      <c r="A1410" s="26">
        <v>44600.71393371528</v>
      </c>
      <c r="B1410" s="20" t="s">
        <v>67</v>
      </c>
      <c r="C1410" s="20">
        <v>40.0</v>
      </c>
      <c r="D1410" s="27"/>
    </row>
    <row r="1411">
      <c r="A1411" s="26">
        <v>44600.725006747685</v>
      </c>
      <c r="B1411" s="20" t="s">
        <v>193</v>
      </c>
      <c r="C1411" s="20" t="s">
        <v>1302</v>
      </c>
      <c r="D1411" s="27"/>
    </row>
    <row r="1412">
      <c r="A1412" s="26">
        <v>44600.72540851852</v>
      </c>
      <c r="B1412" s="20" t="s">
        <v>193</v>
      </c>
      <c r="C1412" s="20" t="s">
        <v>1303</v>
      </c>
      <c r="D1412" s="27"/>
    </row>
    <row r="1413">
      <c r="A1413" s="26">
        <v>44600.72566597222</v>
      </c>
      <c r="B1413" s="20" t="s">
        <v>193</v>
      </c>
      <c r="C1413" s="20">
        <v>28.0</v>
      </c>
      <c r="D1413" s="27"/>
    </row>
    <row r="1414">
      <c r="A1414" s="26">
        <v>44601.70253091435</v>
      </c>
      <c r="B1414" s="20" t="s">
        <v>1304</v>
      </c>
      <c r="C1414" s="20">
        <v>20.0</v>
      </c>
      <c r="D1414" s="27"/>
    </row>
    <row r="1415">
      <c r="A1415" s="26">
        <v>44601.70356417824</v>
      </c>
      <c r="B1415" s="20" t="s">
        <v>1305</v>
      </c>
      <c r="C1415" s="20">
        <v>20.0</v>
      </c>
      <c r="D1415" s="27"/>
    </row>
    <row r="1416">
      <c r="A1416" s="26">
        <v>44601.710844270834</v>
      </c>
      <c r="B1416" s="20" t="s">
        <v>1306</v>
      </c>
      <c r="C1416" s="20" t="s">
        <v>1307</v>
      </c>
      <c r="D1416" s="27"/>
    </row>
    <row r="1417">
      <c r="A1417" s="26">
        <v>44601.713660231486</v>
      </c>
      <c r="B1417" s="20" t="s">
        <v>242</v>
      </c>
      <c r="C1417" s="20">
        <v>4.5</v>
      </c>
      <c r="D1417" s="27"/>
    </row>
    <row r="1418">
      <c r="A1418" s="26">
        <v>44601.72055221065</v>
      </c>
      <c r="B1418" s="20" t="s">
        <v>203</v>
      </c>
      <c r="C1418" s="20">
        <v>16.0</v>
      </c>
      <c r="D1418" s="27"/>
    </row>
    <row r="1419">
      <c r="A1419" s="26">
        <v>44601.84394126157</v>
      </c>
      <c r="B1419" s="20" t="s">
        <v>199</v>
      </c>
      <c r="C1419" s="20">
        <v>2.0</v>
      </c>
      <c r="D1419" s="27"/>
    </row>
    <row r="1420">
      <c r="A1420" s="26">
        <v>44601.84961539352</v>
      </c>
      <c r="B1420" s="20" t="s">
        <v>155</v>
      </c>
      <c r="C1420" s="20">
        <v>15.0</v>
      </c>
      <c r="D1420" s="27"/>
    </row>
    <row r="1421">
      <c r="A1421" s="26">
        <v>44601.85122398148</v>
      </c>
      <c r="B1421" s="20" t="s">
        <v>818</v>
      </c>
      <c r="C1421" s="20" t="s">
        <v>1155</v>
      </c>
      <c r="D1421" s="27"/>
    </row>
    <row r="1422">
      <c r="A1422" s="26">
        <v>44601.85195502314</v>
      </c>
      <c r="B1422" s="20" t="s">
        <v>1308</v>
      </c>
      <c r="C1422" s="20">
        <v>20.0</v>
      </c>
      <c r="D1422" s="27"/>
    </row>
    <row r="1423">
      <c r="A1423" s="26">
        <v>44601.854372546295</v>
      </c>
      <c r="B1423" s="20" t="s">
        <v>1191</v>
      </c>
      <c r="C1423" s="20">
        <v>20.0</v>
      </c>
      <c r="D1423" s="27"/>
    </row>
    <row r="1424">
      <c r="A1424" s="26">
        <v>44601.85499474537</v>
      </c>
      <c r="B1424" s="20" t="s">
        <v>126</v>
      </c>
      <c r="C1424" s="20">
        <v>20.0</v>
      </c>
      <c r="D1424" s="27"/>
    </row>
    <row r="1425">
      <c r="A1425" s="26">
        <v>44601.85522974537</v>
      </c>
      <c r="B1425" s="20" t="s">
        <v>1309</v>
      </c>
      <c r="C1425" s="20">
        <v>25.0</v>
      </c>
      <c r="D1425" s="27"/>
    </row>
    <row r="1426">
      <c r="A1426" s="26">
        <v>44601.8565428588</v>
      </c>
      <c r="B1426" s="20" t="s">
        <v>1310</v>
      </c>
      <c r="C1426" s="20">
        <v>27.0</v>
      </c>
      <c r="D1426" s="27"/>
    </row>
    <row r="1427">
      <c r="A1427" s="26">
        <v>44601.85662960648</v>
      </c>
      <c r="B1427" s="20" t="s">
        <v>53</v>
      </c>
      <c r="C1427" s="20">
        <v>27.0</v>
      </c>
      <c r="D1427" s="27"/>
    </row>
    <row r="1428">
      <c r="A1428" s="26">
        <v>44601.856897997684</v>
      </c>
      <c r="B1428" s="20" t="s">
        <v>786</v>
      </c>
      <c r="C1428" s="20">
        <v>16.0</v>
      </c>
      <c r="D1428" s="27"/>
    </row>
    <row r="1429">
      <c r="A1429" s="26">
        <v>44601.857798321755</v>
      </c>
      <c r="B1429" s="20" t="s">
        <v>235</v>
      </c>
      <c r="C1429" s="20">
        <v>15.0</v>
      </c>
      <c r="D1429" s="27"/>
    </row>
    <row r="1430">
      <c r="A1430" s="26">
        <v>44601.85817847222</v>
      </c>
      <c r="B1430" s="20" t="s">
        <v>760</v>
      </c>
      <c r="C1430" s="20">
        <v>20.0</v>
      </c>
      <c r="D1430" s="27"/>
    </row>
    <row r="1431">
      <c r="A1431" s="26">
        <v>44601.86090997685</v>
      </c>
      <c r="B1431" s="20" t="s">
        <v>1311</v>
      </c>
      <c r="C1431" s="20">
        <v>20.0</v>
      </c>
      <c r="D1431" s="27"/>
    </row>
    <row r="1432">
      <c r="A1432" s="26">
        <v>44601.861025879625</v>
      </c>
      <c r="B1432" s="20" t="s">
        <v>235</v>
      </c>
      <c r="C1432" s="20">
        <v>7.0</v>
      </c>
      <c r="D1432" s="27"/>
    </row>
    <row r="1433">
      <c r="A1433" s="26">
        <v>44601.86107994213</v>
      </c>
      <c r="B1433" s="20" t="s">
        <v>787</v>
      </c>
      <c r="C1433" s="20">
        <v>22.0</v>
      </c>
      <c r="D1433" s="27"/>
    </row>
    <row r="1434">
      <c r="A1434" s="26">
        <v>44602.544330902776</v>
      </c>
      <c r="B1434" s="20" t="s">
        <v>1312</v>
      </c>
      <c r="C1434" s="20">
        <v>17.0</v>
      </c>
      <c r="D1434" s="27"/>
    </row>
    <row r="1435">
      <c r="A1435" s="26">
        <v>44602.54518119213</v>
      </c>
      <c r="B1435" s="20" t="s">
        <v>1313</v>
      </c>
      <c r="C1435" s="20">
        <v>141.0</v>
      </c>
      <c r="D1435" s="27"/>
    </row>
    <row r="1436">
      <c r="A1436" s="26">
        <v>44602.5459417824</v>
      </c>
      <c r="B1436" s="20" t="s">
        <v>1314</v>
      </c>
      <c r="C1436" s="20">
        <v>16.0</v>
      </c>
      <c r="D1436" s="27"/>
    </row>
    <row r="1437">
      <c r="A1437" s="26">
        <v>44602.702564074076</v>
      </c>
      <c r="B1437" s="20" t="s">
        <v>163</v>
      </c>
      <c r="C1437" s="20">
        <v>18.0</v>
      </c>
      <c r="D1437" s="27"/>
    </row>
    <row r="1438">
      <c r="A1438" s="26">
        <v>44602.70282491898</v>
      </c>
      <c r="B1438" s="20" t="s">
        <v>163</v>
      </c>
    </row>
    <row r="1439">
      <c r="A1439" s="26">
        <v>44602.702992962964</v>
      </c>
      <c r="B1439" s="20" t="s">
        <v>163</v>
      </c>
      <c r="C1439" s="20">
        <v>14.0</v>
      </c>
      <c r="D1439" s="27"/>
    </row>
    <row r="1440">
      <c r="A1440" s="26">
        <v>44602.716860092594</v>
      </c>
    </row>
    <row r="1441">
      <c r="A1441" s="26">
        <v>44602.71697417824</v>
      </c>
      <c r="B1441" s="20" t="s">
        <v>203</v>
      </c>
      <c r="C1441" s="20" t="s">
        <v>1315</v>
      </c>
      <c r="D1441" s="27"/>
    </row>
    <row r="1442">
      <c r="A1442" s="26">
        <v>44602.71712428241</v>
      </c>
      <c r="B1442" s="20" t="s">
        <v>203</v>
      </c>
      <c r="C1442" s="20">
        <v>3.0</v>
      </c>
      <c r="D1442" s="27"/>
    </row>
    <row r="1443">
      <c r="A1443" s="26">
        <v>44602.717317048606</v>
      </c>
      <c r="B1443" s="20" t="s">
        <v>637</v>
      </c>
      <c r="C1443" s="20">
        <v>22.0</v>
      </c>
      <c r="D1443" s="27"/>
    </row>
    <row r="1444">
      <c r="A1444" s="26">
        <v>44602.71870032407</v>
      </c>
      <c r="C1444" s="20">
        <v>8.0</v>
      </c>
      <c r="D1444" s="27"/>
    </row>
    <row r="1445">
      <c r="A1445" s="26">
        <v>44602.7220428125</v>
      </c>
      <c r="B1445" s="20" t="s">
        <v>242</v>
      </c>
      <c r="C1445" s="20">
        <v>27.0</v>
      </c>
      <c r="D1445" s="27"/>
    </row>
    <row r="1446">
      <c r="A1446" s="26">
        <v>44602.725334930554</v>
      </c>
      <c r="B1446" s="20" t="s">
        <v>1316</v>
      </c>
      <c r="C1446" s="20">
        <v>32.0</v>
      </c>
      <c r="D1446" s="27"/>
    </row>
    <row r="1447">
      <c r="A1447" s="26">
        <v>44602.72770072917</v>
      </c>
      <c r="B1447" s="20" t="s">
        <v>203</v>
      </c>
      <c r="C1447" s="20">
        <v>2.0</v>
      </c>
      <c r="D1447" s="27"/>
    </row>
    <row r="1448">
      <c r="A1448" s="26">
        <v>44602.72855024306</v>
      </c>
      <c r="B1448" s="20" t="s">
        <v>177</v>
      </c>
      <c r="C1448" s="20">
        <v>20.0</v>
      </c>
      <c r="D1448" s="27"/>
    </row>
    <row r="1449">
      <c r="A1449" s="26">
        <v>44602.86526847222</v>
      </c>
      <c r="B1449" s="20" t="s">
        <v>437</v>
      </c>
      <c r="C1449" s="20">
        <v>20.0</v>
      </c>
      <c r="D1449" s="27"/>
    </row>
    <row r="1450">
      <c r="A1450" s="26">
        <v>44602.86895275463</v>
      </c>
      <c r="B1450" s="20" t="s">
        <v>1158</v>
      </c>
      <c r="C1450" s="20" t="s">
        <v>1317</v>
      </c>
      <c r="D1450" s="27"/>
    </row>
    <row r="1451">
      <c r="A1451" s="26">
        <v>44603.670861412036</v>
      </c>
      <c r="B1451" s="20" t="s">
        <v>1318</v>
      </c>
      <c r="C1451" s="20">
        <v>14.0</v>
      </c>
      <c r="D1451" s="27"/>
    </row>
    <row r="1452">
      <c r="A1452" s="26">
        <v>44603.67139043982</v>
      </c>
      <c r="B1452" s="20" t="s">
        <v>1319</v>
      </c>
      <c r="C1452" s="20">
        <v>3.0</v>
      </c>
      <c r="D1452" s="27"/>
    </row>
    <row r="1453">
      <c r="A1453" s="26">
        <v>44603.67184215278</v>
      </c>
      <c r="B1453" s="20" t="s">
        <v>163</v>
      </c>
      <c r="C1453" s="20">
        <v>10.0</v>
      </c>
      <c r="D1453" s="27"/>
    </row>
    <row r="1454">
      <c r="A1454" s="26">
        <v>44603.700011215275</v>
      </c>
      <c r="B1454" s="20" t="s">
        <v>193</v>
      </c>
      <c r="C1454" s="20" t="s">
        <v>1320</v>
      </c>
      <c r="D1454" s="27"/>
    </row>
    <row r="1455">
      <c r="A1455" s="26">
        <v>44603.70013877314</v>
      </c>
      <c r="B1455" s="20" t="s">
        <v>370</v>
      </c>
      <c r="C1455" s="20">
        <v>3.0</v>
      </c>
      <c r="D1455" s="27"/>
    </row>
    <row r="1456">
      <c r="A1456" s="26">
        <v>44603.70073370371</v>
      </c>
      <c r="B1456" s="20" t="s">
        <v>370</v>
      </c>
      <c r="C1456" s="20">
        <v>14.0</v>
      </c>
      <c r="D1456" s="27"/>
    </row>
    <row r="1457">
      <c r="A1457" s="26">
        <v>44603.700854780094</v>
      </c>
      <c r="B1457" s="20" t="s">
        <v>344</v>
      </c>
      <c r="C1457" s="20">
        <v>21.0</v>
      </c>
      <c r="D1457" s="27"/>
    </row>
    <row r="1458">
      <c r="A1458" s="26">
        <v>44603.70128793981</v>
      </c>
      <c r="B1458" s="20" t="s">
        <v>344</v>
      </c>
      <c r="C1458" s="20" t="s">
        <v>1321</v>
      </c>
      <c r="D1458" s="27"/>
    </row>
    <row r="1459">
      <c r="A1459" s="26">
        <v>44603.70705777778</v>
      </c>
      <c r="B1459" s="20" t="s">
        <v>193</v>
      </c>
      <c r="C1459" s="20" t="s">
        <v>1322</v>
      </c>
      <c r="D1459" s="27"/>
    </row>
    <row r="1460">
      <c r="A1460" s="26">
        <v>44603.70729239583</v>
      </c>
      <c r="B1460" s="20" t="s">
        <v>193</v>
      </c>
      <c r="C1460" s="20" t="s">
        <v>1323</v>
      </c>
      <c r="D1460" s="27"/>
    </row>
    <row r="1461">
      <c r="A1461" s="26">
        <v>44603.71264197917</v>
      </c>
      <c r="B1461" s="20" t="s">
        <v>203</v>
      </c>
      <c r="C1461" s="20" t="s">
        <v>1223</v>
      </c>
      <c r="D1461" s="27"/>
    </row>
    <row r="1462">
      <c r="A1462" s="26">
        <v>44603.71274953704</v>
      </c>
      <c r="B1462" s="20" t="s">
        <v>203</v>
      </c>
      <c r="C1462" s="20">
        <v>4.0</v>
      </c>
      <c r="D1462" s="27"/>
    </row>
    <row r="1463">
      <c r="A1463" s="26">
        <v>44604.69836546296</v>
      </c>
      <c r="B1463" s="20" t="s">
        <v>384</v>
      </c>
      <c r="C1463" s="20">
        <v>19.0</v>
      </c>
      <c r="D1463" s="27"/>
    </row>
    <row r="1464">
      <c r="A1464" s="26">
        <v>44604.699448761574</v>
      </c>
      <c r="B1464" s="20" t="s">
        <v>1228</v>
      </c>
      <c r="C1464" s="20">
        <v>19.0</v>
      </c>
      <c r="D1464" s="27"/>
    </row>
    <row r="1465">
      <c r="A1465" s="26">
        <v>44604.69970671296</v>
      </c>
      <c r="B1465" s="20" t="s">
        <v>1229</v>
      </c>
      <c r="C1465" s="20">
        <v>3.0</v>
      </c>
      <c r="D1465" s="27"/>
    </row>
    <row r="1466">
      <c r="A1466" s="26">
        <v>44604.70063564814</v>
      </c>
      <c r="B1466" s="20" t="s">
        <v>552</v>
      </c>
      <c r="C1466" s="20">
        <v>19.0</v>
      </c>
      <c r="D1466" s="27"/>
    </row>
    <row r="1467">
      <c r="A1467" s="26">
        <v>44604.70090837963</v>
      </c>
      <c r="B1467" s="20" t="s">
        <v>1324</v>
      </c>
      <c r="C1467" s="20">
        <v>4.0</v>
      </c>
      <c r="D1467" s="27"/>
    </row>
    <row r="1468">
      <c r="A1468" s="26">
        <v>44604.70233136574</v>
      </c>
      <c r="B1468" s="20" t="s">
        <v>1146</v>
      </c>
      <c r="C1468" s="20">
        <v>19.0</v>
      </c>
      <c r="D1468" s="27"/>
    </row>
    <row r="1469">
      <c r="A1469" s="26">
        <v>44604.70301976852</v>
      </c>
      <c r="B1469" s="20" t="s">
        <v>300</v>
      </c>
      <c r="C1469" s="20" t="s">
        <v>1012</v>
      </c>
      <c r="D1469" s="27"/>
    </row>
    <row r="1470">
      <c r="A1470" s="26">
        <v>44604.70663305555</v>
      </c>
      <c r="B1470" s="20" t="s">
        <v>178</v>
      </c>
      <c r="C1470" s="20">
        <v>14.0</v>
      </c>
      <c r="D1470" s="27"/>
    </row>
    <row r="1471">
      <c r="A1471" s="26">
        <v>44604.706931215274</v>
      </c>
      <c r="B1471" s="20" t="s">
        <v>1325</v>
      </c>
      <c r="C1471" s="20">
        <v>20.0</v>
      </c>
      <c r="D1471" s="27"/>
    </row>
    <row r="1472">
      <c r="A1472" s="26">
        <v>44604.707003483796</v>
      </c>
      <c r="B1472" s="20" t="s">
        <v>1326</v>
      </c>
      <c r="C1472" s="20">
        <v>6.0</v>
      </c>
      <c r="D1472" s="27"/>
    </row>
    <row r="1473">
      <c r="A1473" s="26">
        <v>44604.7073456713</v>
      </c>
      <c r="B1473" s="20" t="s">
        <v>1292</v>
      </c>
      <c r="C1473" s="20">
        <v>2.0</v>
      </c>
      <c r="D1473" s="27"/>
    </row>
    <row r="1474">
      <c r="A1474" s="26">
        <v>44604.723894062496</v>
      </c>
      <c r="B1474" s="20" t="s">
        <v>67</v>
      </c>
      <c r="C1474" s="20">
        <v>10.0</v>
      </c>
      <c r="D1474" s="27"/>
    </row>
    <row r="1475">
      <c r="A1475" s="26">
        <v>44605.6243202662</v>
      </c>
      <c r="B1475" s="20" t="s">
        <v>163</v>
      </c>
      <c r="C1475" s="20">
        <v>18.0</v>
      </c>
      <c r="D1475" s="27"/>
    </row>
    <row r="1476">
      <c r="A1476" s="26">
        <v>44605.64649215278</v>
      </c>
      <c r="B1476" s="20" t="s">
        <v>1215</v>
      </c>
      <c r="C1476" s="20" t="s">
        <v>1327</v>
      </c>
      <c r="D1476" s="27"/>
    </row>
    <row r="1477">
      <c r="A1477" s="26">
        <v>44605.64936265047</v>
      </c>
      <c r="B1477" s="20" t="s">
        <v>193</v>
      </c>
      <c r="C1477" s="20" t="s">
        <v>1328</v>
      </c>
      <c r="D1477" s="27"/>
    </row>
    <row r="1478">
      <c r="A1478" s="26">
        <v>44605.65117247685</v>
      </c>
      <c r="B1478" s="20" t="s">
        <v>193</v>
      </c>
      <c r="C1478" s="20" t="s">
        <v>1329</v>
      </c>
      <c r="D1478" s="27"/>
    </row>
    <row r="1479">
      <c r="A1479" s="26">
        <v>44605.66197652778</v>
      </c>
      <c r="B1479" s="20" t="s">
        <v>888</v>
      </c>
      <c r="C1479" s="20">
        <v>22.0</v>
      </c>
      <c r="D1479" s="27"/>
    </row>
    <row r="1480">
      <c r="A1480" s="26">
        <v>44605.665674918986</v>
      </c>
      <c r="B1480" s="20" t="s">
        <v>896</v>
      </c>
      <c r="C1480" s="20">
        <v>18.0</v>
      </c>
      <c r="D1480" s="27"/>
    </row>
    <row r="1481">
      <c r="A1481" s="26">
        <v>44605.6681517824</v>
      </c>
      <c r="B1481" s="20" t="s">
        <v>877</v>
      </c>
      <c r="C1481" s="20">
        <v>17.0</v>
      </c>
      <c r="D1481" s="27"/>
    </row>
    <row r="1482">
      <c r="A1482" s="26">
        <v>44605.66841673611</v>
      </c>
      <c r="B1482" s="20" t="s">
        <v>799</v>
      </c>
      <c r="C1482" s="20">
        <v>20.0</v>
      </c>
      <c r="D1482" s="27"/>
    </row>
    <row r="1483">
      <c r="A1483" s="26">
        <v>44605.67017253472</v>
      </c>
      <c r="B1483" s="20" t="s">
        <v>829</v>
      </c>
      <c r="C1483" s="20" t="s">
        <v>1330</v>
      </c>
      <c r="D1483" s="27"/>
    </row>
    <row r="1484">
      <c r="A1484" s="26">
        <v>44605.67121550926</v>
      </c>
      <c r="B1484" s="20" t="s">
        <v>982</v>
      </c>
      <c r="C1484" s="20">
        <v>17.0</v>
      </c>
      <c r="D1484" s="27"/>
    </row>
    <row r="1485">
      <c r="A1485" s="26">
        <v>44605.67133974537</v>
      </c>
      <c r="B1485" s="20" t="s">
        <v>144</v>
      </c>
      <c r="C1485" s="20">
        <v>10.0</v>
      </c>
      <c r="D1485" s="27"/>
    </row>
    <row r="1486">
      <c r="A1486" s="26">
        <v>44605.67785409722</v>
      </c>
      <c r="B1486" s="20" t="s">
        <v>203</v>
      </c>
      <c r="C1486" s="20" t="s">
        <v>1331</v>
      </c>
      <c r="D1486" s="27"/>
    </row>
    <row r="1487">
      <c r="A1487" s="26">
        <v>44605.677964166665</v>
      </c>
      <c r="B1487" s="20" t="s">
        <v>203</v>
      </c>
      <c r="C1487" s="20">
        <v>12.0</v>
      </c>
      <c r="D1487" s="27"/>
    </row>
    <row r="1488">
      <c r="A1488" s="26">
        <v>44607.67637998842</v>
      </c>
      <c r="B1488" s="20" t="s">
        <v>1008</v>
      </c>
      <c r="C1488" s="20" t="s">
        <v>1332</v>
      </c>
      <c r="D1488" s="27"/>
    </row>
    <row r="1489">
      <c r="A1489" s="26">
        <v>44607.70743908564</v>
      </c>
      <c r="B1489" s="20" t="s">
        <v>163</v>
      </c>
      <c r="C1489" s="20">
        <v>27.0</v>
      </c>
      <c r="D1489" s="27"/>
    </row>
    <row r="1490">
      <c r="A1490" s="26">
        <v>44607.70790533564</v>
      </c>
      <c r="B1490" s="20" t="s">
        <v>1333</v>
      </c>
      <c r="C1490" s="20">
        <v>7.0</v>
      </c>
      <c r="D1490" s="27"/>
    </row>
    <row r="1491">
      <c r="A1491" s="26">
        <v>44607.708692939814</v>
      </c>
      <c r="B1491" s="20" t="s">
        <v>1334</v>
      </c>
      <c r="C1491" s="20">
        <v>7.0</v>
      </c>
      <c r="D1491" s="27"/>
    </row>
    <row r="1492">
      <c r="A1492" s="26">
        <v>44607.70907170139</v>
      </c>
      <c r="B1492" s="20" t="s">
        <v>67</v>
      </c>
      <c r="C1492" s="20">
        <v>36.0</v>
      </c>
      <c r="D1492" s="27"/>
    </row>
    <row r="1493">
      <c r="A1493" s="26">
        <v>44607.714650752314</v>
      </c>
      <c r="B1493" s="20" t="s">
        <v>203</v>
      </c>
      <c r="C1493" s="20" t="s">
        <v>1335</v>
      </c>
      <c r="D1493" s="27"/>
    </row>
    <row r="1494">
      <c r="A1494" s="26">
        <v>44607.71537925926</v>
      </c>
      <c r="B1494" s="20" t="s">
        <v>203</v>
      </c>
      <c r="C1494" s="20" t="s">
        <v>1336</v>
      </c>
      <c r="D1494" s="27"/>
    </row>
    <row r="1495">
      <c r="A1495" s="26">
        <v>44607.72105506944</v>
      </c>
      <c r="B1495" s="20" t="s">
        <v>1337</v>
      </c>
      <c r="C1495" s="20">
        <v>31.0</v>
      </c>
      <c r="D1495" s="27"/>
    </row>
    <row r="1496">
      <c r="A1496" s="26">
        <v>44607.72126790509</v>
      </c>
      <c r="B1496" s="20" t="s">
        <v>637</v>
      </c>
      <c r="C1496" s="20">
        <v>22.0</v>
      </c>
      <c r="D1496" s="27"/>
    </row>
    <row r="1497">
      <c r="A1497" s="26">
        <v>44608.69611077546</v>
      </c>
      <c r="B1497" s="20" t="s">
        <v>203</v>
      </c>
      <c r="C1497" s="20" t="s">
        <v>1335</v>
      </c>
      <c r="D1497" s="27"/>
    </row>
    <row r="1498">
      <c r="A1498" s="26">
        <v>44608.69649123843</v>
      </c>
      <c r="B1498" s="20" t="s">
        <v>203</v>
      </c>
      <c r="C1498" s="20">
        <v>12.0</v>
      </c>
      <c r="D1498" s="27"/>
    </row>
    <row r="1499">
      <c r="A1499" s="26">
        <v>44608.70435863426</v>
      </c>
      <c r="B1499" s="20" t="s">
        <v>203</v>
      </c>
      <c r="C1499" s="20">
        <v>14.0</v>
      </c>
      <c r="D1499" s="27"/>
    </row>
    <row r="1500">
      <c r="A1500" s="26">
        <v>44608.70894517361</v>
      </c>
      <c r="B1500" s="20" t="s">
        <v>193</v>
      </c>
      <c r="C1500" s="20" t="s">
        <v>1338</v>
      </c>
      <c r="D1500" s="27"/>
    </row>
    <row r="1501">
      <c r="A1501" s="26">
        <v>44608.709610983795</v>
      </c>
      <c r="B1501" s="20" t="s">
        <v>193</v>
      </c>
      <c r="C1501" s="20">
        <v>26.0</v>
      </c>
      <c r="D1501" s="27"/>
    </row>
    <row r="1502">
      <c r="A1502" s="26">
        <v>44608.71579202546</v>
      </c>
      <c r="B1502" s="20" t="s">
        <v>370</v>
      </c>
      <c r="C1502" s="20">
        <v>15.0</v>
      </c>
      <c r="D1502" s="27"/>
    </row>
    <row r="1503">
      <c r="A1503" s="26">
        <v>44608.718487499995</v>
      </c>
      <c r="B1503" s="20" t="s">
        <v>370</v>
      </c>
      <c r="C1503" s="20" t="s">
        <v>1339</v>
      </c>
      <c r="D1503" s="27"/>
    </row>
    <row r="1504">
      <c r="A1504" s="26">
        <v>44608.725060185185</v>
      </c>
      <c r="B1504" s="20" t="s">
        <v>177</v>
      </c>
      <c r="C1504" s="20">
        <v>20.0</v>
      </c>
      <c r="D1504" s="27"/>
    </row>
    <row r="1505">
      <c r="A1505" s="26">
        <v>44608.72661056713</v>
      </c>
      <c r="B1505" s="20" t="s">
        <v>153</v>
      </c>
      <c r="C1505" s="20">
        <v>15.4</v>
      </c>
      <c r="D1505" s="27"/>
    </row>
    <row r="1506">
      <c r="A1506" s="26">
        <v>44608.7272446875</v>
      </c>
      <c r="B1506" s="20" t="s">
        <v>235</v>
      </c>
      <c r="C1506" s="20">
        <v>97.0</v>
      </c>
      <c r="D1506" s="27"/>
    </row>
    <row r="1507">
      <c r="A1507" s="26">
        <v>44608.728054074076</v>
      </c>
      <c r="B1507" s="20" t="s">
        <v>242</v>
      </c>
      <c r="C1507" s="20">
        <v>27.8</v>
      </c>
      <c r="D1507" s="27"/>
    </row>
    <row r="1508">
      <c r="A1508" s="26">
        <v>44608.85887078704</v>
      </c>
      <c r="B1508" s="20" t="s">
        <v>214</v>
      </c>
      <c r="C1508" s="20">
        <v>20.0</v>
      </c>
      <c r="D1508" s="27"/>
    </row>
    <row r="1509">
      <c r="A1509" s="26">
        <v>44608.862447824074</v>
      </c>
      <c r="B1509" s="20" t="s">
        <v>1340</v>
      </c>
      <c r="C1509" s="20">
        <v>5.0</v>
      </c>
      <c r="D1509" s="27"/>
    </row>
    <row r="1510">
      <c r="A1510" s="26">
        <v>44608.86648065972</v>
      </c>
      <c r="B1510" s="20" t="s">
        <v>818</v>
      </c>
      <c r="C1510" s="20" t="s">
        <v>1341</v>
      </c>
      <c r="D1510" s="27"/>
    </row>
    <row r="1511">
      <c r="A1511" s="26">
        <v>44608.86723395833</v>
      </c>
      <c r="B1511" s="20" t="s">
        <v>1342</v>
      </c>
      <c r="C1511" s="20">
        <v>20.0</v>
      </c>
      <c r="D1511" s="27"/>
    </row>
    <row r="1512">
      <c r="A1512" s="26">
        <v>44608.86754741898</v>
      </c>
      <c r="B1512" s="20" t="s">
        <v>1343</v>
      </c>
      <c r="C1512" s="20">
        <v>9.0</v>
      </c>
      <c r="D1512" s="27"/>
    </row>
    <row r="1513">
      <c r="A1513" s="26">
        <v>44608.868611701386</v>
      </c>
      <c r="B1513" s="20" t="s">
        <v>1344</v>
      </c>
      <c r="C1513" s="20">
        <v>10.0</v>
      </c>
      <c r="D1513" s="27"/>
    </row>
    <row r="1514">
      <c r="A1514" s="26">
        <v>44608.87041417824</v>
      </c>
      <c r="B1514" s="20" t="s">
        <v>786</v>
      </c>
      <c r="C1514" s="20">
        <v>24.0</v>
      </c>
      <c r="D1514" s="27"/>
    </row>
    <row r="1515">
      <c r="A1515" s="26">
        <v>44608.87165869213</v>
      </c>
      <c r="B1515" s="20" t="s">
        <v>1345</v>
      </c>
      <c r="C1515" s="20">
        <v>19.0</v>
      </c>
      <c r="D1515" s="27"/>
    </row>
    <row r="1516">
      <c r="A1516" s="26">
        <v>44608.87226934028</v>
      </c>
      <c r="B1516" s="20" t="s">
        <v>1346</v>
      </c>
      <c r="C1516" s="20">
        <v>20.0</v>
      </c>
      <c r="D1516" s="27"/>
    </row>
    <row r="1517">
      <c r="A1517" s="26">
        <v>44608.873539548615</v>
      </c>
      <c r="B1517" s="20" t="s">
        <v>1347</v>
      </c>
      <c r="C1517" s="20">
        <v>19.0</v>
      </c>
      <c r="D1517" s="27"/>
    </row>
    <row r="1518">
      <c r="A1518" s="26">
        <v>44608.87541305556</v>
      </c>
      <c r="B1518" s="20" t="s">
        <v>1158</v>
      </c>
      <c r="C1518" s="20" t="s">
        <v>1348</v>
      </c>
      <c r="D1518" s="27"/>
    </row>
    <row r="1519">
      <c r="A1519" s="26">
        <v>44608.875629710645</v>
      </c>
      <c r="B1519" s="20" t="s">
        <v>67</v>
      </c>
      <c r="C1519" s="20">
        <v>35.0</v>
      </c>
      <c r="D1519" s="27"/>
    </row>
    <row r="1520">
      <c r="A1520" s="26">
        <v>44608.87645625</v>
      </c>
      <c r="B1520" s="20" t="s">
        <v>760</v>
      </c>
      <c r="C1520" s="20">
        <v>20.0</v>
      </c>
      <c r="D1520" s="27"/>
    </row>
    <row r="1521">
      <c r="A1521" s="26">
        <v>44608.87728490741</v>
      </c>
      <c r="B1521" s="20" t="s">
        <v>242</v>
      </c>
      <c r="C1521" s="20">
        <v>25.0</v>
      </c>
      <c r="D1521" s="27"/>
    </row>
    <row r="1522">
      <c r="A1522" s="26">
        <v>44609.70805832176</v>
      </c>
      <c r="B1522" s="20" t="s">
        <v>163</v>
      </c>
      <c r="C1522" s="20">
        <v>16.0</v>
      </c>
      <c r="D1522" s="27"/>
    </row>
    <row r="1523">
      <c r="A1523" s="26">
        <v>44609.7084405787</v>
      </c>
      <c r="B1523" s="20" t="s">
        <v>1349</v>
      </c>
      <c r="C1523" s="20">
        <v>23.0</v>
      </c>
      <c r="D1523" s="27"/>
    </row>
    <row r="1524">
      <c r="A1524" s="26">
        <v>44609.70882479167</v>
      </c>
      <c r="B1524" s="20" t="s">
        <v>203</v>
      </c>
      <c r="C1524" s="20" t="s">
        <v>1223</v>
      </c>
      <c r="D1524" s="27"/>
    </row>
    <row r="1525">
      <c r="A1525" s="26">
        <v>44609.70892391204</v>
      </c>
      <c r="B1525" s="20" t="s">
        <v>203</v>
      </c>
      <c r="C1525" s="20">
        <v>1.0</v>
      </c>
      <c r="D1525" s="27"/>
    </row>
    <row r="1526">
      <c r="A1526" s="26">
        <v>44609.85984584491</v>
      </c>
      <c r="B1526" s="20" t="s">
        <v>67</v>
      </c>
      <c r="C1526" s="20">
        <v>25.0</v>
      </c>
      <c r="D1526" s="27"/>
    </row>
    <row r="1527">
      <c r="A1527" s="26">
        <v>44609.860128541666</v>
      </c>
      <c r="B1527" s="20" t="s">
        <v>820</v>
      </c>
      <c r="C1527" s="20" t="s">
        <v>1180</v>
      </c>
      <c r="D1527" s="27"/>
    </row>
    <row r="1528">
      <c r="A1528" s="26">
        <v>44609.86159966435</v>
      </c>
      <c r="B1528" s="20" t="s">
        <v>1225</v>
      </c>
      <c r="C1528" s="20">
        <v>16.0</v>
      </c>
      <c r="D1528" s="27"/>
    </row>
    <row r="1529">
      <c r="A1529" s="26">
        <v>44609.86837673611</v>
      </c>
      <c r="B1529" s="20" t="s">
        <v>1289</v>
      </c>
      <c r="C1529" s="20">
        <v>21.0</v>
      </c>
      <c r="D1529" s="27"/>
    </row>
    <row r="1530">
      <c r="A1530" s="26">
        <v>44609.868481909725</v>
      </c>
      <c r="B1530" s="20" t="s">
        <v>1285</v>
      </c>
      <c r="C1530" s="20">
        <v>19.0</v>
      </c>
      <c r="D1530" s="27"/>
    </row>
    <row r="1531">
      <c r="A1531" s="26">
        <v>44609.8738233912</v>
      </c>
      <c r="B1531" s="20" t="s">
        <v>437</v>
      </c>
      <c r="C1531" s="20">
        <v>20.0</v>
      </c>
      <c r="D1531" s="27"/>
    </row>
    <row r="1532">
      <c r="A1532" s="26">
        <v>44610.70554603009</v>
      </c>
      <c r="B1532" s="20" t="s">
        <v>344</v>
      </c>
      <c r="C1532" s="20">
        <v>19.0</v>
      </c>
      <c r="D1532" s="27"/>
    </row>
    <row r="1533">
      <c r="A1533" s="26">
        <v>44610.70650638889</v>
      </c>
      <c r="B1533" s="20" t="s">
        <v>1076</v>
      </c>
      <c r="C1533" s="20">
        <v>19.0</v>
      </c>
      <c r="D1533" s="27"/>
    </row>
    <row r="1534">
      <c r="A1534" s="26">
        <v>44610.70678853009</v>
      </c>
      <c r="B1534" s="20" t="s">
        <v>344</v>
      </c>
      <c r="C1534" s="20" t="s">
        <v>1145</v>
      </c>
      <c r="D1534" s="27"/>
    </row>
    <row r="1535">
      <c r="A1535" s="26">
        <v>44610.70679921296</v>
      </c>
      <c r="B1535" s="20" t="s">
        <v>214</v>
      </c>
      <c r="C1535" s="20">
        <v>19.0</v>
      </c>
      <c r="D1535" s="27"/>
    </row>
    <row r="1536">
      <c r="A1536" s="26">
        <v>44610.708335717594</v>
      </c>
      <c r="B1536" s="20" t="s">
        <v>1350</v>
      </c>
      <c r="C1536" s="20">
        <v>19.0</v>
      </c>
      <c r="D1536" s="27"/>
    </row>
    <row r="1537">
      <c r="A1537" s="26">
        <v>44610.71333298611</v>
      </c>
      <c r="B1537" s="20" t="s">
        <v>1351</v>
      </c>
      <c r="C1537" s="20" t="s">
        <v>1352</v>
      </c>
      <c r="D1537" s="27"/>
    </row>
    <row r="1538">
      <c r="A1538" s="26">
        <v>44610.721598344906</v>
      </c>
      <c r="B1538" s="20" t="s">
        <v>200</v>
      </c>
      <c r="C1538" s="20">
        <v>20.0</v>
      </c>
      <c r="D1538" s="27"/>
    </row>
    <row r="1539">
      <c r="A1539" s="26">
        <v>44610.72233554398</v>
      </c>
      <c r="B1539" s="20" t="s">
        <v>1353</v>
      </c>
      <c r="C1539" s="20">
        <v>12.0</v>
      </c>
      <c r="D1539" s="27"/>
    </row>
    <row r="1540">
      <c r="A1540" s="26">
        <v>44610.72929046296</v>
      </c>
      <c r="B1540" s="20" t="s">
        <v>1354</v>
      </c>
      <c r="C1540" s="20">
        <v>20.0</v>
      </c>
      <c r="D1540" s="27"/>
    </row>
    <row r="1541">
      <c r="A1541" s="26">
        <v>44611.67532303241</v>
      </c>
      <c r="B1541" s="20" t="s">
        <v>1355</v>
      </c>
      <c r="C1541" s="20">
        <v>20.0</v>
      </c>
      <c r="D1541" s="27"/>
    </row>
    <row r="1542">
      <c r="A1542" s="26">
        <v>44611.6758266088</v>
      </c>
      <c r="B1542" s="20" t="s">
        <v>1241</v>
      </c>
      <c r="C1542" s="20">
        <v>9.0</v>
      </c>
      <c r="D1542" s="27"/>
    </row>
    <row r="1543">
      <c r="A1543" s="26">
        <v>44611.6802206713</v>
      </c>
      <c r="B1543" s="20" t="s">
        <v>971</v>
      </c>
      <c r="C1543" s="20">
        <v>21.0</v>
      </c>
      <c r="D1543" s="27"/>
    </row>
    <row r="1544">
      <c r="A1544" s="26">
        <v>44611.680729699074</v>
      </c>
      <c r="B1544" s="20" t="s">
        <v>242</v>
      </c>
      <c r="C1544" s="20">
        <v>5.0</v>
      </c>
      <c r="D1544" s="27"/>
    </row>
    <row r="1545">
      <c r="A1545" s="26">
        <v>44611.682653344906</v>
      </c>
      <c r="B1545" s="20" t="s">
        <v>1228</v>
      </c>
      <c r="C1545" s="20">
        <v>20.0</v>
      </c>
      <c r="D1545" s="27"/>
    </row>
    <row r="1546">
      <c r="A1546" s="26">
        <v>44611.68280708333</v>
      </c>
      <c r="B1546" s="20" t="s">
        <v>1356</v>
      </c>
      <c r="C1546" s="20">
        <v>9.0</v>
      </c>
      <c r="D1546" s="27"/>
    </row>
    <row r="1547">
      <c r="A1547" s="26">
        <v>44611.68390055555</v>
      </c>
      <c r="B1547" s="20" t="s">
        <v>1357</v>
      </c>
      <c r="C1547" s="20">
        <v>17.0</v>
      </c>
      <c r="D1547" s="27"/>
    </row>
    <row r="1548">
      <c r="A1548" s="26">
        <v>44611.684210277774</v>
      </c>
      <c r="B1548" s="20" t="s">
        <v>1358</v>
      </c>
      <c r="C1548" s="20" t="s">
        <v>1359</v>
      </c>
      <c r="D1548" s="27"/>
    </row>
    <row r="1549">
      <c r="A1549" s="26">
        <v>44611.68469541667</v>
      </c>
      <c r="B1549" s="20" t="s">
        <v>1360</v>
      </c>
      <c r="C1549" s="20">
        <v>19.0</v>
      </c>
      <c r="D1549" s="27"/>
    </row>
    <row r="1550">
      <c r="A1550" s="26">
        <v>44611.68532583333</v>
      </c>
      <c r="B1550" s="20" t="s">
        <v>1288</v>
      </c>
      <c r="C1550" s="20" t="s">
        <v>1361</v>
      </c>
      <c r="D1550" s="27"/>
    </row>
    <row r="1551">
      <c r="A1551" s="26">
        <v>44611.69104002314</v>
      </c>
      <c r="B1551" s="20" t="s">
        <v>178</v>
      </c>
      <c r="C1551" s="20">
        <v>11.0</v>
      </c>
      <c r="D1551" s="27"/>
    </row>
    <row r="1552">
      <c r="A1552" s="26">
        <v>44611.69118555555</v>
      </c>
      <c r="B1552" s="20" t="s">
        <v>300</v>
      </c>
      <c r="C1552" s="20" t="s">
        <v>1012</v>
      </c>
      <c r="D1552" s="27"/>
    </row>
    <row r="1553">
      <c r="A1553" s="26">
        <v>44611.692429849536</v>
      </c>
      <c r="B1553" s="20" t="s">
        <v>1362</v>
      </c>
      <c r="C1553" s="20">
        <v>2.0</v>
      </c>
      <c r="D1553" s="27"/>
    </row>
    <row r="1554">
      <c r="A1554" s="26">
        <v>44611.69672832176</v>
      </c>
      <c r="B1554" s="20" t="s">
        <v>1363</v>
      </c>
      <c r="C1554" s="20">
        <v>21.0</v>
      </c>
      <c r="D1554" s="27"/>
    </row>
    <row r="1555">
      <c r="A1555" s="26">
        <v>44611.700312581015</v>
      </c>
      <c r="B1555" s="20" t="s">
        <v>370</v>
      </c>
      <c r="C1555" s="20">
        <v>5.0</v>
      </c>
      <c r="D1555" s="27"/>
    </row>
    <row r="1556">
      <c r="A1556" s="26">
        <v>44612.62654972222</v>
      </c>
      <c r="B1556" s="20" t="s">
        <v>1364</v>
      </c>
      <c r="C1556" s="20">
        <v>15.0</v>
      </c>
      <c r="D1556" s="27"/>
    </row>
    <row r="1557">
      <c r="A1557" s="26">
        <v>44612.628994432875</v>
      </c>
      <c r="B1557" s="20" t="s">
        <v>982</v>
      </c>
      <c r="C1557" s="20">
        <v>20.0</v>
      </c>
      <c r="D1557" s="27"/>
    </row>
    <row r="1558">
      <c r="A1558" s="26">
        <v>44612.62910155093</v>
      </c>
      <c r="B1558" s="20" t="s">
        <v>144</v>
      </c>
      <c r="C1558" s="20">
        <v>16.3</v>
      </c>
      <c r="D1558" s="27"/>
    </row>
    <row r="1559">
      <c r="A1559" s="26">
        <v>44612.630467766205</v>
      </c>
      <c r="B1559" s="20" t="s">
        <v>79</v>
      </c>
      <c r="C1559" s="20">
        <v>16.3</v>
      </c>
      <c r="D1559" s="27"/>
    </row>
    <row r="1560">
      <c r="A1560" s="26">
        <v>44612.63055799769</v>
      </c>
      <c r="B1560" s="20" t="s">
        <v>79</v>
      </c>
      <c r="C1560" s="20">
        <v>5.0</v>
      </c>
      <c r="D1560" s="27"/>
    </row>
    <row r="1561">
      <c r="A1561" s="26">
        <v>44612.63070612268</v>
      </c>
      <c r="B1561" s="20" t="s">
        <v>982</v>
      </c>
      <c r="C1561" s="20">
        <v>20.0</v>
      </c>
      <c r="D1561" s="27"/>
    </row>
    <row r="1562">
      <c r="A1562" s="26">
        <v>44612.63172543982</v>
      </c>
      <c r="B1562" s="20" t="s">
        <v>799</v>
      </c>
      <c r="C1562" s="20">
        <v>19.0</v>
      </c>
      <c r="D1562" s="27"/>
    </row>
    <row r="1563">
      <c r="A1563" s="26">
        <v>44612.63388318287</v>
      </c>
      <c r="B1563" s="20" t="s">
        <v>995</v>
      </c>
      <c r="C1563" s="20">
        <v>12.0</v>
      </c>
      <c r="D1563" s="27"/>
    </row>
    <row r="1564">
      <c r="A1564" s="26">
        <v>44612.6499406713</v>
      </c>
      <c r="B1564" s="20" t="s">
        <v>224</v>
      </c>
      <c r="C1564" s="20" t="s">
        <v>1365</v>
      </c>
      <c r="D1564" s="27"/>
    </row>
    <row r="1565">
      <c r="A1565" s="26">
        <v>44612.65011096065</v>
      </c>
      <c r="B1565" s="20" t="s">
        <v>224</v>
      </c>
      <c r="C1565" s="20">
        <v>2.0</v>
      </c>
      <c r="D1565" s="27"/>
    </row>
    <row r="1566">
      <c r="A1566" s="26">
        <v>44612.66319199074</v>
      </c>
      <c r="B1566" s="20" t="s">
        <v>1366</v>
      </c>
      <c r="C1566" s="20">
        <v>7.0</v>
      </c>
      <c r="D1566" s="27"/>
    </row>
    <row r="1567">
      <c r="A1567" s="26">
        <v>44612.67651211805</v>
      </c>
      <c r="B1567" s="20" t="s">
        <v>224</v>
      </c>
      <c r="C1567" s="20" t="s">
        <v>1016</v>
      </c>
      <c r="D1567" s="27"/>
    </row>
    <row r="1568">
      <c r="A1568" s="26">
        <v>44612.67879547454</v>
      </c>
      <c r="B1568" s="20" t="s">
        <v>67</v>
      </c>
      <c r="C1568" s="20">
        <v>39.0</v>
      </c>
      <c r="D1568" s="27"/>
    </row>
    <row r="1569">
      <c r="A1569" s="26">
        <v>44612.70588934028</v>
      </c>
      <c r="B1569" s="20" t="s">
        <v>1182</v>
      </c>
      <c r="C1569" s="20">
        <v>12.0</v>
      </c>
      <c r="D1569" s="27"/>
    </row>
    <row r="1570">
      <c r="A1570" s="26">
        <v>44613.63694056713</v>
      </c>
      <c r="B1570" s="20" t="s">
        <v>191</v>
      </c>
      <c r="C1570" s="20" t="s">
        <v>1367</v>
      </c>
      <c r="D1570" s="27"/>
    </row>
    <row r="1571">
      <c r="A1571" s="26">
        <v>44613.63729358796</v>
      </c>
      <c r="B1571" s="20" t="s">
        <v>193</v>
      </c>
      <c r="C1571" s="20" t="s">
        <v>1368</v>
      </c>
      <c r="D1571" s="27"/>
    </row>
    <row r="1572">
      <c r="A1572" s="26">
        <v>44613.6375679051</v>
      </c>
      <c r="B1572" s="20" t="s">
        <v>191</v>
      </c>
      <c r="C1572" s="20">
        <v>28.0</v>
      </c>
      <c r="D1572" s="27"/>
    </row>
    <row r="1573">
      <c r="A1573" s="26">
        <v>44614.67132368055</v>
      </c>
      <c r="B1573" s="20" t="s">
        <v>203</v>
      </c>
      <c r="C1573" s="20" t="s">
        <v>1369</v>
      </c>
      <c r="D1573" s="27"/>
    </row>
    <row r="1574">
      <c r="A1574" s="26">
        <v>44614.69254434027</v>
      </c>
      <c r="B1574" s="20" t="s">
        <v>67</v>
      </c>
      <c r="C1574" s="20">
        <v>101.0</v>
      </c>
      <c r="D1574" s="27"/>
    </row>
    <row r="1575">
      <c r="A1575" s="26">
        <v>44614.69561436343</v>
      </c>
      <c r="B1575" s="20" t="s">
        <v>163</v>
      </c>
      <c r="C1575" s="20">
        <v>28.0</v>
      </c>
      <c r="D1575" s="27"/>
    </row>
    <row r="1576">
      <c r="A1576" s="26">
        <v>44614.69582105324</v>
      </c>
      <c r="B1576" s="20" t="s">
        <v>163</v>
      </c>
      <c r="C1576" s="20">
        <v>69.0</v>
      </c>
      <c r="D1576" s="27"/>
    </row>
    <row r="1577">
      <c r="A1577" s="26">
        <v>44614.69716835648</v>
      </c>
      <c r="B1577" s="20" t="s">
        <v>637</v>
      </c>
      <c r="C1577" s="20">
        <v>11.0</v>
      </c>
      <c r="D1577" s="27"/>
    </row>
    <row r="1578">
      <c r="A1578" s="26">
        <v>44614.697914143515</v>
      </c>
      <c r="B1578" s="20" t="s">
        <v>1370</v>
      </c>
      <c r="C1578" s="20">
        <v>67.0</v>
      </c>
      <c r="D1578" s="27"/>
    </row>
    <row r="1579">
      <c r="A1579" s="26">
        <v>44615.598620833334</v>
      </c>
      <c r="B1579" s="20" t="s">
        <v>803</v>
      </c>
      <c r="C1579" s="20" t="s">
        <v>1371</v>
      </c>
      <c r="D1579" s="27"/>
    </row>
    <row r="1580">
      <c r="A1580" s="26">
        <v>44615.72222623843</v>
      </c>
      <c r="B1580" s="20" t="s">
        <v>203</v>
      </c>
      <c r="C1580" s="20">
        <v>26.0</v>
      </c>
      <c r="D1580" s="27"/>
    </row>
    <row r="1581">
      <c r="A1581" s="26">
        <v>44615.72422251158</v>
      </c>
      <c r="B1581" s="20" t="s">
        <v>370</v>
      </c>
      <c r="C1581" s="20">
        <v>11.0</v>
      </c>
      <c r="D1581" s="27"/>
    </row>
    <row r="1582">
      <c r="A1582" s="26">
        <v>44615.72689465278</v>
      </c>
      <c r="B1582" s="20" t="s">
        <v>1372</v>
      </c>
      <c r="C1582" s="20">
        <v>8.0</v>
      </c>
      <c r="D1582" s="27"/>
    </row>
    <row r="1583">
      <c r="A1583" s="26">
        <v>44615.73017052084</v>
      </c>
      <c r="B1583" s="20" t="s">
        <v>224</v>
      </c>
      <c r="C1583" s="20" t="s">
        <v>1196</v>
      </c>
      <c r="D1583" s="27"/>
    </row>
    <row r="1584">
      <c r="A1584" s="26">
        <v>44615.82978436342</v>
      </c>
      <c r="B1584" s="20" t="s">
        <v>67</v>
      </c>
      <c r="C1584" s="20">
        <v>30.0</v>
      </c>
      <c r="D1584" s="27"/>
    </row>
    <row r="1585">
      <c r="A1585" s="26">
        <v>44615.84530585648</v>
      </c>
      <c r="B1585" s="20" t="s">
        <v>804</v>
      </c>
      <c r="C1585" s="20" t="s">
        <v>1373</v>
      </c>
      <c r="D1585" s="27"/>
    </row>
    <row r="1586">
      <c r="A1586" s="26">
        <v>44615.85376090278</v>
      </c>
      <c r="B1586" s="20" t="s">
        <v>786</v>
      </c>
      <c r="C1586" s="20">
        <v>20.0</v>
      </c>
      <c r="D1586" s="27"/>
    </row>
    <row r="1587">
      <c r="A1587" s="26">
        <v>44615.85684125</v>
      </c>
      <c r="B1587" s="20" t="s">
        <v>1374</v>
      </c>
      <c r="C1587" s="20">
        <v>19.0</v>
      </c>
      <c r="D1587" s="27"/>
    </row>
    <row r="1588">
      <c r="A1588" s="26">
        <v>44615.857112199075</v>
      </c>
      <c r="B1588" s="20" t="s">
        <v>1375</v>
      </c>
      <c r="C1588" s="20">
        <v>3.0</v>
      </c>
      <c r="D1588" s="27"/>
    </row>
    <row r="1589">
      <c r="A1589" s="26">
        <v>44615.85982329861</v>
      </c>
      <c r="B1589" s="20" t="s">
        <v>760</v>
      </c>
      <c r="C1589" s="20">
        <v>20.0</v>
      </c>
      <c r="D1589" s="27"/>
    </row>
    <row r="1590">
      <c r="A1590" s="26">
        <v>44615.8599912037</v>
      </c>
      <c r="B1590" s="20" t="s">
        <v>235</v>
      </c>
      <c r="C1590" s="20">
        <v>23.0</v>
      </c>
      <c r="D1590" s="27"/>
    </row>
    <row r="1591">
      <c r="A1591" s="26">
        <v>44615.86028771991</v>
      </c>
      <c r="B1591" s="20" t="s">
        <v>1158</v>
      </c>
      <c r="C1591" s="20" t="s">
        <v>1376</v>
      </c>
      <c r="D1591" s="27"/>
    </row>
    <row r="1592">
      <c r="A1592" s="26">
        <v>44616.705448252316</v>
      </c>
      <c r="B1592" s="20" t="s">
        <v>1377</v>
      </c>
      <c r="C1592" s="20">
        <v>10.0</v>
      </c>
      <c r="D1592" s="27"/>
    </row>
    <row r="1593">
      <c r="A1593" s="26">
        <v>44616.70568327546</v>
      </c>
      <c r="B1593" s="20" t="s">
        <v>249</v>
      </c>
      <c r="C1593" s="20">
        <v>11.0</v>
      </c>
      <c r="D1593" s="27"/>
    </row>
    <row r="1594">
      <c r="A1594" s="26">
        <v>44616.70639679398</v>
      </c>
      <c r="B1594" s="20" t="s">
        <v>1378</v>
      </c>
      <c r="C1594" s="20">
        <v>6.0</v>
      </c>
      <c r="D1594" s="27"/>
    </row>
    <row r="1595">
      <c r="A1595" s="26">
        <v>44616.7068271875</v>
      </c>
      <c r="B1595" s="20" t="s">
        <v>163</v>
      </c>
      <c r="C1595" s="20">
        <v>14.0</v>
      </c>
      <c r="D1595" s="27"/>
    </row>
    <row r="1596">
      <c r="A1596" s="26">
        <v>44616.70721984954</v>
      </c>
      <c r="B1596" s="20" t="s">
        <v>249</v>
      </c>
      <c r="C1596" s="20">
        <v>4.0</v>
      </c>
      <c r="D1596" s="27"/>
    </row>
    <row r="1597">
      <c r="A1597" s="26">
        <v>44616.71262708333</v>
      </c>
      <c r="B1597" s="20" t="s">
        <v>637</v>
      </c>
      <c r="C1597" s="20">
        <v>19.0</v>
      </c>
      <c r="D1597" s="27"/>
    </row>
    <row r="1598">
      <c r="A1598" s="26">
        <v>44616.71570961806</v>
      </c>
      <c r="B1598" s="20" t="s">
        <v>1379</v>
      </c>
      <c r="C1598" s="20">
        <v>12.0</v>
      </c>
      <c r="D1598" s="27"/>
    </row>
    <row r="1599">
      <c r="A1599" s="26">
        <v>44616.71758953704</v>
      </c>
      <c r="B1599" s="20" t="s">
        <v>1372</v>
      </c>
      <c r="C1599" s="20">
        <v>3.0</v>
      </c>
      <c r="D1599" s="27"/>
    </row>
    <row r="1600">
      <c r="A1600" s="26">
        <v>44616.85539373843</v>
      </c>
      <c r="B1600" s="20" t="s">
        <v>1052</v>
      </c>
      <c r="C1600" s="20">
        <v>9.0</v>
      </c>
      <c r="D1600" s="27"/>
    </row>
    <row r="1601">
      <c r="A1601" s="26">
        <v>44616.86649664352</v>
      </c>
      <c r="B1601" s="20" t="s">
        <v>1289</v>
      </c>
      <c r="C1601" s="20">
        <v>11.0</v>
      </c>
      <c r="D1601" s="27"/>
    </row>
    <row r="1602">
      <c r="A1602" s="26">
        <v>44616.866910462966</v>
      </c>
      <c r="B1602" s="20" t="s">
        <v>129</v>
      </c>
      <c r="C1602" s="20">
        <v>20.0</v>
      </c>
      <c r="D1602" s="27"/>
    </row>
    <row r="1603">
      <c r="A1603" s="26">
        <v>44616.87176688657</v>
      </c>
      <c r="B1603" s="20" t="s">
        <v>800</v>
      </c>
      <c r="C1603" s="20" t="s">
        <v>1380</v>
      </c>
      <c r="D1603" s="27"/>
    </row>
    <row r="1604">
      <c r="A1604" s="26">
        <v>44616.87268782407</v>
      </c>
      <c r="B1604" s="20" t="s">
        <v>1381</v>
      </c>
      <c r="C1604" s="20">
        <v>12.0</v>
      </c>
      <c r="D1604" s="27"/>
    </row>
    <row r="1605">
      <c r="A1605" s="26">
        <v>44616.873008807874</v>
      </c>
      <c r="B1605" s="20" t="s">
        <v>1290</v>
      </c>
      <c r="C1605" s="20">
        <v>12.0</v>
      </c>
      <c r="D1605" s="27"/>
    </row>
    <row r="1606">
      <c r="A1606" s="26">
        <v>44616.876785914355</v>
      </c>
      <c r="B1606" s="20" t="s">
        <v>437</v>
      </c>
      <c r="C1606" s="20">
        <v>20.0</v>
      </c>
      <c r="D1606" s="27"/>
    </row>
    <row r="1607">
      <c r="A1607" s="26">
        <v>44617.600876145836</v>
      </c>
      <c r="B1607" s="20" t="s">
        <v>203</v>
      </c>
      <c r="C1607" s="20" t="s">
        <v>1382</v>
      </c>
      <c r="D1607" s="27"/>
    </row>
    <row r="1608">
      <c r="A1608" s="26">
        <v>44617.62771105324</v>
      </c>
      <c r="B1608" s="20" t="s">
        <v>1383</v>
      </c>
      <c r="C1608" s="20">
        <v>15.0</v>
      </c>
      <c r="D1608" s="27"/>
    </row>
    <row r="1609">
      <c r="A1609" s="26">
        <v>44617.62943990741</v>
      </c>
      <c r="B1609" s="20" t="s">
        <v>344</v>
      </c>
      <c r="C1609" s="20">
        <v>21.0</v>
      </c>
      <c r="D1609" s="27"/>
    </row>
    <row r="1610">
      <c r="A1610" s="26">
        <v>44617.630554965275</v>
      </c>
      <c r="B1610" s="20" t="s">
        <v>344</v>
      </c>
      <c r="C1610" s="20" t="s">
        <v>1384</v>
      </c>
      <c r="D1610" s="27"/>
    </row>
    <row r="1611">
      <c r="A1611" s="26">
        <v>44618.68392092593</v>
      </c>
      <c r="B1611" s="20" t="s">
        <v>1146</v>
      </c>
      <c r="C1611" s="20">
        <v>21.0</v>
      </c>
      <c r="D1611" s="27"/>
    </row>
    <row r="1612">
      <c r="A1612" s="26">
        <v>44618.68919380787</v>
      </c>
      <c r="B1612" s="20" t="s">
        <v>220</v>
      </c>
      <c r="C1612" s="20">
        <v>24.0</v>
      </c>
      <c r="D1612" s="27"/>
    </row>
    <row r="1613">
      <c r="A1613" s="26">
        <v>44618.69190960648</v>
      </c>
      <c r="B1613" s="20" t="s">
        <v>242</v>
      </c>
      <c r="C1613" s="20">
        <v>6.0</v>
      </c>
      <c r="D1613" s="27"/>
    </row>
    <row r="1614">
      <c r="A1614" s="26">
        <v>44618.70004565972</v>
      </c>
      <c r="B1614" s="20" t="s">
        <v>975</v>
      </c>
      <c r="C1614" s="20">
        <v>20.0</v>
      </c>
      <c r="D1614" s="27"/>
    </row>
    <row r="1615">
      <c r="A1615" s="26">
        <v>44618.70013327546</v>
      </c>
      <c r="B1615" s="20" t="s">
        <v>422</v>
      </c>
      <c r="C1615" s="20">
        <v>21.0</v>
      </c>
      <c r="D1615" s="27"/>
    </row>
    <row r="1616">
      <c r="A1616" s="26">
        <v>44618.700527928246</v>
      </c>
      <c r="B1616" s="20" t="s">
        <v>224</v>
      </c>
      <c r="C1616" s="20">
        <v>20.0</v>
      </c>
      <c r="D1616" s="27"/>
    </row>
    <row r="1617">
      <c r="A1617" s="26">
        <v>44618.70089876157</v>
      </c>
      <c r="B1617" s="20" t="s">
        <v>1385</v>
      </c>
      <c r="C1617" s="20">
        <v>3.0</v>
      </c>
      <c r="D1617" s="27"/>
    </row>
    <row r="1618">
      <c r="A1618" s="26">
        <v>44618.70200952546</v>
      </c>
      <c r="B1618" s="20" t="s">
        <v>1386</v>
      </c>
      <c r="C1618" s="20">
        <v>22.0</v>
      </c>
      <c r="D1618" s="27"/>
    </row>
    <row r="1619">
      <c r="A1619" s="26">
        <v>44618.703976550925</v>
      </c>
      <c r="B1619" s="20" t="s">
        <v>224</v>
      </c>
      <c r="C1619" s="20">
        <v>2.0</v>
      </c>
      <c r="D1619" s="27"/>
    </row>
    <row r="1620">
      <c r="A1620" s="26">
        <v>44618.71014081019</v>
      </c>
      <c r="B1620" s="20" t="s">
        <v>67</v>
      </c>
      <c r="C1620" s="20">
        <v>60.0</v>
      </c>
      <c r="D1620" s="27"/>
    </row>
    <row r="1621">
      <c r="A1621" s="26">
        <v>44619.60388325232</v>
      </c>
      <c r="B1621" s="20" t="s">
        <v>1387</v>
      </c>
      <c r="C1621" s="20">
        <v>16.0</v>
      </c>
      <c r="D1621" s="27"/>
    </row>
    <row r="1622">
      <c r="A1622" s="26">
        <v>44619.60848300926</v>
      </c>
      <c r="B1622" s="20" t="s">
        <v>79</v>
      </c>
      <c r="C1622" s="20">
        <v>17.0</v>
      </c>
      <c r="D1622" s="27"/>
    </row>
    <row r="1623">
      <c r="A1623" s="26">
        <v>44619.608641597224</v>
      </c>
      <c r="B1623" s="20" t="s">
        <v>982</v>
      </c>
      <c r="C1623" s="20">
        <v>20.0</v>
      </c>
      <c r="D1623" s="27"/>
    </row>
    <row r="1624">
      <c r="A1624" s="26">
        <v>44619.60997868056</v>
      </c>
      <c r="B1624" s="20" t="s">
        <v>224</v>
      </c>
      <c r="C1624" s="20">
        <v>11.0</v>
      </c>
      <c r="D1624" s="27"/>
    </row>
    <row r="1625">
      <c r="A1625" s="26">
        <v>44619.612912083336</v>
      </c>
      <c r="B1625" s="20" t="s">
        <v>203</v>
      </c>
      <c r="C1625" s="20" t="s">
        <v>1183</v>
      </c>
      <c r="D1625" s="27"/>
    </row>
    <row r="1626">
      <c r="A1626" s="26">
        <v>44619.687088148145</v>
      </c>
      <c r="B1626" s="20" t="s">
        <v>1182</v>
      </c>
      <c r="C1626" s="20">
        <v>13.0</v>
      </c>
      <c r="D1626" s="27"/>
    </row>
    <row r="1627">
      <c r="A1627" s="26">
        <v>44619.768904247685</v>
      </c>
      <c r="B1627" s="20" t="s">
        <v>67</v>
      </c>
      <c r="C1627" s="20">
        <v>18.0</v>
      </c>
      <c r="D1627" s="27"/>
    </row>
    <row r="1628">
      <c r="A1628" s="26">
        <v>44621.69271884259</v>
      </c>
      <c r="B1628" s="20" t="s">
        <v>1388</v>
      </c>
      <c r="C1628" s="20" t="s">
        <v>1389</v>
      </c>
      <c r="D1628" s="27"/>
    </row>
    <row r="1629">
      <c r="A1629" s="26">
        <v>44621.69465981481</v>
      </c>
      <c r="B1629" s="20" t="s">
        <v>922</v>
      </c>
      <c r="C1629" s="20" t="s">
        <v>1390</v>
      </c>
      <c r="D1629" s="27"/>
    </row>
    <row r="1630">
      <c r="A1630" s="26">
        <v>44621.696359699075</v>
      </c>
      <c r="B1630" s="20" t="s">
        <v>995</v>
      </c>
      <c r="C1630" s="20">
        <v>19.0</v>
      </c>
      <c r="D1630" s="27"/>
    </row>
    <row r="1631">
      <c r="A1631" s="26">
        <v>44621.6968978125</v>
      </c>
      <c r="B1631" s="20" t="s">
        <v>1391</v>
      </c>
      <c r="C1631" s="20">
        <v>5.0</v>
      </c>
      <c r="D1631" s="27"/>
    </row>
    <row r="1632">
      <c r="A1632" s="26">
        <v>44621.71333991898</v>
      </c>
      <c r="B1632" s="20" t="s">
        <v>1392</v>
      </c>
      <c r="C1632" s="20">
        <v>10.0</v>
      </c>
      <c r="D1632" s="27"/>
    </row>
    <row r="1633">
      <c r="A1633" s="26">
        <v>44621.713654861116</v>
      </c>
      <c r="B1633" s="20" t="s">
        <v>1393</v>
      </c>
      <c r="C1633" s="20">
        <v>85.0</v>
      </c>
      <c r="D1633" s="27"/>
    </row>
    <row r="1634">
      <c r="A1634" s="26">
        <v>44621.713848252315</v>
      </c>
      <c r="B1634" s="20" t="s">
        <v>163</v>
      </c>
      <c r="C1634" s="20">
        <v>14.0</v>
      </c>
      <c r="D1634" s="27"/>
    </row>
    <row r="1635">
      <c r="A1635" s="26">
        <v>44621.72109283565</v>
      </c>
      <c r="B1635" s="20" t="s">
        <v>163</v>
      </c>
      <c r="C1635" s="20">
        <v>5.0</v>
      </c>
      <c r="D1635" s="27"/>
    </row>
    <row r="1636">
      <c r="A1636" s="26">
        <v>44621.816588194444</v>
      </c>
      <c r="B1636" s="20" t="s">
        <v>67</v>
      </c>
      <c r="C1636" s="20">
        <v>66.0</v>
      </c>
      <c r="D1636" s="27"/>
    </row>
    <row r="1637">
      <c r="A1637" s="26">
        <v>44622.72794375</v>
      </c>
      <c r="B1637" s="20" t="s">
        <v>236</v>
      </c>
      <c r="C1637" s="20">
        <v>19.0</v>
      </c>
      <c r="D1637" s="27"/>
    </row>
    <row r="1638">
      <c r="A1638" s="26">
        <v>44622.72809748843</v>
      </c>
      <c r="B1638" s="20" t="s">
        <v>235</v>
      </c>
      <c r="C1638" s="20">
        <v>22.0</v>
      </c>
      <c r="D1638" s="27"/>
    </row>
    <row r="1639">
      <c r="A1639" s="26">
        <v>44622.729481828705</v>
      </c>
      <c r="B1639" s="20" t="s">
        <v>153</v>
      </c>
      <c r="C1639" s="20">
        <v>11.0</v>
      </c>
      <c r="D1639" s="27"/>
    </row>
    <row r="1640">
      <c r="A1640" s="26">
        <v>44622.72963269676</v>
      </c>
      <c r="B1640" s="20" t="s">
        <v>235</v>
      </c>
      <c r="C1640" s="20">
        <v>40.0</v>
      </c>
      <c r="D1640" s="27"/>
    </row>
    <row r="1641">
      <c r="A1641" s="26">
        <v>44622.73038137732</v>
      </c>
      <c r="B1641" s="20" t="s">
        <v>608</v>
      </c>
      <c r="C1641" s="20">
        <v>25.0</v>
      </c>
      <c r="D1641" s="27"/>
    </row>
    <row r="1642">
      <c r="A1642" s="26">
        <v>44622.730417997685</v>
      </c>
      <c r="B1642" s="20" t="s">
        <v>1394</v>
      </c>
      <c r="C1642" s="20">
        <v>13.0</v>
      </c>
      <c r="D1642" s="27"/>
    </row>
    <row r="1643">
      <c r="A1643" s="26">
        <v>44622.73185065972</v>
      </c>
      <c r="B1643" s="20" t="s">
        <v>1395</v>
      </c>
      <c r="C1643" s="20">
        <v>15.0</v>
      </c>
      <c r="D1643" s="27"/>
    </row>
    <row r="1644">
      <c r="A1644" s="26">
        <v>44622.74344877315</v>
      </c>
      <c r="B1644" s="20" t="s">
        <v>1396</v>
      </c>
      <c r="C1644" s="20">
        <v>20.0</v>
      </c>
      <c r="D1644" s="27"/>
    </row>
    <row r="1645">
      <c r="A1645" s="26">
        <v>44622.74362649306</v>
      </c>
      <c r="B1645" s="20" t="s">
        <v>608</v>
      </c>
      <c r="C1645" s="20">
        <v>2.0</v>
      </c>
      <c r="D1645" s="27"/>
    </row>
    <row r="1646">
      <c r="A1646" s="26">
        <v>44622.7533159375</v>
      </c>
      <c r="B1646" s="20" t="s">
        <v>1397</v>
      </c>
      <c r="C1646" s="20">
        <v>71.0</v>
      </c>
      <c r="D1646" s="27"/>
    </row>
    <row r="1647">
      <c r="A1647" s="26">
        <v>44622.75355907407</v>
      </c>
      <c r="B1647" s="20" t="s">
        <v>1398</v>
      </c>
      <c r="C1647" s="20">
        <v>3.0</v>
      </c>
      <c r="D1647" s="27"/>
    </row>
    <row r="1648">
      <c r="A1648" s="26">
        <v>44622.753796122684</v>
      </c>
      <c r="B1648" s="20" t="s">
        <v>1399</v>
      </c>
      <c r="C1648" s="20">
        <v>5.0</v>
      </c>
      <c r="D1648" s="27"/>
    </row>
    <row r="1649">
      <c r="A1649" s="26">
        <v>44622.804954444444</v>
      </c>
      <c r="B1649" s="20" t="s">
        <v>193</v>
      </c>
      <c r="C1649" s="20" t="s">
        <v>1400</v>
      </c>
      <c r="D1649" s="27"/>
    </row>
    <row r="1650">
      <c r="A1650" s="26">
        <v>44622.80516074074</v>
      </c>
      <c r="B1650" s="20" t="s">
        <v>191</v>
      </c>
      <c r="C1650" s="20">
        <v>26.0</v>
      </c>
      <c r="D1650" s="27"/>
    </row>
    <row r="1651">
      <c r="A1651" s="26">
        <v>44622.805300844906</v>
      </c>
      <c r="B1651" s="20" t="s">
        <v>1401</v>
      </c>
      <c r="C1651" s="20">
        <v>15.0</v>
      </c>
      <c r="D1651" s="27"/>
    </row>
    <row r="1652">
      <c r="A1652" s="26">
        <v>44622.8060992824</v>
      </c>
      <c r="B1652" s="20" t="s">
        <v>193</v>
      </c>
      <c r="C1652" s="20" t="s">
        <v>1402</v>
      </c>
      <c r="D1652" s="27"/>
    </row>
    <row r="1653">
      <c r="A1653" s="26">
        <v>44622.806480520834</v>
      </c>
      <c r="B1653" s="20" t="s">
        <v>1177</v>
      </c>
      <c r="C1653" s="20">
        <v>20.0</v>
      </c>
      <c r="D1653" s="27"/>
    </row>
    <row r="1654">
      <c r="A1654" s="26">
        <v>44622.886832511576</v>
      </c>
      <c r="B1654" s="20" t="s">
        <v>126</v>
      </c>
      <c r="C1654" s="20">
        <v>20.0</v>
      </c>
      <c r="D1654" s="27"/>
    </row>
    <row r="1655">
      <c r="A1655" s="26">
        <v>44622.88695543981</v>
      </c>
      <c r="B1655" s="20" t="s">
        <v>1309</v>
      </c>
      <c r="C1655" s="20">
        <v>11.0</v>
      </c>
      <c r="D1655" s="27"/>
    </row>
    <row r="1656">
      <c r="A1656" s="26">
        <v>44622.88758952546</v>
      </c>
      <c r="B1656" s="20" t="s">
        <v>842</v>
      </c>
      <c r="C1656" s="20">
        <v>20.0</v>
      </c>
      <c r="D1656" s="27"/>
    </row>
    <row r="1657">
      <c r="A1657" s="26">
        <v>44622.88791935185</v>
      </c>
      <c r="B1657" s="20" t="s">
        <v>1403</v>
      </c>
      <c r="C1657" s="20">
        <v>8.0</v>
      </c>
      <c r="D1657" s="27"/>
    </row>
    <row r="1658">
      <c r="A1658" s="26">
        <v>44622.888225358794</v>
      </c>
      <c r="B1658" s="20" t="s">
        <v>1158</v>
      </c>
      <c r="C1658" s="20" t="s">
        <v>1404</v>
      </c>
      <c r="D1658" s="27"/>
    </row>
    <row r="1659">
      <c r="A1659" s="26">
        <v>44623.695444282406</v>
      </c>
      <c r="B1659" s="20" t="s">
        <v>809</v>
      </c>
      <c r="C1659" s="20">
        <v>20.0</v>
      </c>
      <c r="D1659" s="27"/>
    </row>
    <row r="1660">
      <c r="A1660" s="26">
        <v>44623.70365952546</v>
      </c>
      <c r="B1660" s="20" t="s">
        <v>809</v>
      </c>
      <c r="C1660" s="20" t="s">
        <v>1405</v>
      </c>
      <c r="D1660" s="27"/>
    </row>
    <row r="1661">
      <c r="A1661" s="26">
        <v>44623.70379890046</v>
      </c>
      <c r="B1661" s="20" t="s">
        <v>809</v>
      </c>
      <c r="C1661" s="20">
        <v>20.0</v>
      </c>
      <c r="D1661" s="27"/>
    </row>
    <row r="1662">
      <c r="A1662" s="26">
        <v>44623.71126327546</v>
      </c>
      <c r="B1662" s="20" t="s">
        <v>163</v>
      </c>
      <c r="C1662" s="20">
        <v>44.0</v>
      </c>
      <c r="D1662" s="27"/>
    </row>
    <row r="1663">
      <c r="A1663" s="26">
        <v>44623.72188427083</v>
      </c>
      <c r="B1663" s="20" t="s">
        <v>203</v>
      </c>
      <c r="C1663" s="20">
        <v>7.0</v>
      </c>
      <c r="D1663" s="27"/>
    </row>
    <row r="1664">
      <c r="A1664" s="26">
        <v>44623.722586284726</v>
      </c>
      <c r="B1664" s="20" t="s">
        <v>1406</v>
      </c>
      <c r="C1664" s="20">
        <v>11.0</v>
      </c>
      <c r="D1664" s="27"/>
    </row>
    <row r="1665">
      <c r="A1665" s="26">
        <v>44623.72315696759</v>
      </c>
      <c r="B1665" s="20" t="s">
        <v>203</v>
      </c>
      <c r="C1665" s="20" t="s">
        <v>1407</v>
      </c>
      <c r="D1665" s="27"/>
    </row>
    <row r="1666">
      <c r="A1666" s="26">
        <v>44623.72657371528</v>
      </c>
      <c r="B1666" s="20" t="s">
        <v>1408</v>
      </c>
      <c r="C1666" s="20">
        <v>27.0</v>
      </c>
      <c r="D1666" s="27"/>
    </row>
    <row r="1667">
      <c r="A1667" s="26">
        <v>44623.72910517361</v>
      </c>
      <c r="B1667" s="20" t="s">
        <v>1409</v>
      </c>
      <c r="C1667" s="20">
        <v>21.0</v>
      </c>
      <c r="D1667" s="27"/>
    </row>
    <row r="1668">
      <c r="A1668" s="26">
        <v>44623.73552594907</v>
      </c>
      <c r="B1668" s="20" t="s">
        <v>203</v>
      </c>
      <c r="C1668" s="20" t="s">
        <v>1382</v>
      </c>
      <c r="D1668" s="27"/>
    </row>
    <row r="1669">
      <c r="A1669" s="26">
        <v>44623.868574224536</v>
      </c>
      <c r="B1669" s="20" t="s">
        <v>1052</v>
      </c>
      <c r="C1669" s="20" t="s">
        <v>1026</v>
      </c>
      <c r="D1669" s="27"/>
    </row>
    <row r="1670">
      <c r="A1670" s="26">
        <v>44623.87268223379</v>
      </c>
      <c r="B1670" s="20" t="s">
        <v>1225</v>
      </c>
      <c r="C1670" s="20">
        <v>3.0</v>
      </c>
      <c r="D1670" s="27"/>
    </row>
    <row r="1671">
      <c r="A1671" s="26">
        <v>44623.877808703706</v>
      </c>
      <c r="B1671" s="20" t="s">
        <v>1285</v>
      </c>
      <c r="C1671" s="20">
        <v>17.0</v>
      </c>
      <c r="D1671" s="27"/>
    </row>
    <row r="1672">
      <c r="A1672" s="26">
        <v>44623.882485243055</v>
      </c>
      <c r="B1672" s="20" t="s">
        <v>599</v>
      </c>
      <c r="C1672" s="20">
        <v>20.0</v>
      </c>
      <c r="D1672" s="27"/>
    </row>
    <row r="1673">
      <c r="A1673" s="26">
        <v>44623.88745820602</v>
      </c>
      <c r="B1673" s="20" t="s">
        <v>800</v>
      </c>
      <c r="C1673" s="20" t="s">
        <v>1410</v>
      </c>
      <c r="D1673" s="27"/>
    </row>
    <row r="1674">
      <c r="A1674" s="26">
        <v>44623.93102618055</v>
      </c>
      <c r="B1674" s="20" t="s">
        <v>67</v>
      </c>
      <c r="C1674" s="20">
        <v>33.0</v>
      </c>
      <c r="D1674" s="27"/>
    </row>
    <row r="1675">
      <c r="A1675" s="26">
        <v>44624.693745717595</v>
      </c>
      <c r="B1675" s="20" t="s">
        <v>233</v>
      </c>
      <c r="C1675" s="20">
        <v>4.0</v>
      </c>
      <c r="D1675" s="27"/>
    </row>
    <row r="1676">
      <c r="A1676" s="26">
        <v>44624.70271386574</v>
      </c>
      <c r="B1676" s="20" t="s">
        <v>344</v>
      </c>
      <c r="C1676" s="20">
        <v>18.0</v>
      </c>
      <c r="D1676" s="27"/>
    </row>
    <row r="1677">
      <c r="A1677" s="26">
        <v>44624.70420042824</v>
      </c>
      <c r="B1677" s="20" t="s">
        <v>344</v>
      </c>
      <c r="C1677" s="20" t="s">
        <v>1411</v>
      </c>
      <c r="D1677" s="27"/>
    </row>
    <row r="1678">
      <c r="A1678" s="26">
        <v>44624.70769744213</v>
      </c>
      <c r="B1678" s="20" t="s">
        <v>214</v>
      </c>
      <c r="C1678" s="20">
        <v>19.0</v>
      </c>
      <c r="D1678" s="27"/>
    </row>
    <row r="1679">
      <c r="A1679" s="26">
        <v>44624.707918252316</v>
      </c>
      <c r="B1679" s="20" t="s">
        <v>1076</v>
      </c>
      <c r="C1679" s="20">
        <v>50.0</v>
      </c>
      <c r="D1679" s="27"/>
    </row>
    <row r="1680">
      <c r="A1680" s="26">
        <v>44625.69505083333</v>
      </c>
      <c r="B1680" s="20" t="s">
        <v>1412</v>
      </c>
      <c r="C1680" s="20">
        <v>19.0</v>
      </c>
      <c r="D1680" s="27"/>
    </row>
    <row r="1681">
      <c r="A1681" s="26">
        <v>44625.6950920949</v>
      </c>
      <c r="B1681" s="20" t="s">
        <v>1413</v>
      </c>
      <c r="C1681" s="20" t="s">
        <v>1214</v>
      </c>
      <c r="D1681" s="27"/>
    </row>
    <row r="1682">
      <c r="A1682" s="26">
        <v>44625.69509533565</v>
      </c>
      <c r="B1682" s="20" t="s">
        <v>1414</v>
      </c>
      <c r="C1682" s="20">
        <v>7.0</v>
      </c>
      <c r="D1682" s="27"/>
    </row>
    <row r="1683">
      <c r="A1683" s="26">
        <v>44625.704225856476</v>
      </c>
      <c r="B1683" s="20" t="s">
        <v>1289</v>
      </c>
      <c r="C1683" s="20">
        <v>17.0</v>
      </c>
      <c r="D1683" s="27"/>
    </row>
    <row r="1684">
      <c r="A1684" s="26">
        <v>44625.70511458333</v>
      </c>
      <c r="B1684" s="20" t="s">
        <v>1415</v>
      </c>
      <c r="C1684" s="20" t="s">
        <v>1416</v>
      </c>
      <c r="D1684" s="27"/>
    </row>
    <row r="1685">
      <c r="A1685" s="26">
        <v>44625.707482812504</v>
      </c>
      <c r="B1685" s="20" t="s">
        <v>1417</v>
      </c>
      <c r="C1685" s="20">
        <v>19.0</v>
      </c>
      <c r="D1685" s="27"/>
    </row>
    <row r="1686">
      <c r="A1686" s="26">
        <v>44625.70784236111</v>
      </c>
      <c r="B1686" s="20" t="s">
        <v>1418</v>
      </c>
      <c r="C1686" s="20">
        <v>3.0</v>
      </c>
      <c r="D1686" s="27"/>
    </row>
    <row r="1687">
      <c r="A1687" s="26">
        <v>44625.71008429398</v>
      </c>
      <c r="B1687" s="20" t="s">
        <v>1419</v>
      </c>
      <c r="C1687" s="20">
        <v>16.0</v>
      </c>
      <c r="D1687" s="27"/>
    </row>
    <row r="1688">
      <c r="A1688" s="26">
        <v>44625.71109210648</v>
      </c>
      <c r="B1688" s="20" t="s">
        <v>637</v>
      </c>
      <c r="C1688" s="20">
        <v>22.0</v>
      </c>
      <c r="D1688" s="27"/>
    </row>
    <row r="1689">
      <c r="A1689" s="26">
        <v>44625.711212951384</v>
      </c>
      <c r="B1689" s="20" t="s">
        <v>366</v>
      </c>
      <c r="C1689" s="20">
        <v>6.0</v>
      </c>
      <c r="D1689" s="27"/>
    </row>
    <row r="1690">
      <c r="A1690" s="26">
        <v>44625.711983807865</v>
      </c>
      <c r="B1690" s="20" t="s">
        <v>300</v>
      </c>
      <c r="C1690" s="20">
        <v>17.0</v>
      </c>
      <c r="D1690" s="27"/>
    </row>
    <row r="1691">
      <c r="A1691" s="26">
        <v>44625.71208925926</v>
      </c>
      <c r="B1691" s="20" t="s">
        <v>1420</v>
      </c>
      <c r="C1691" s="20" t="s">
        <v>1075</v>
      </c>
      <c r="D1691" s="27"/>
    </row>
    <row r="1692">
      <c r="A1692" s="26">
        <v>44625.71645681713</v>
      </c>
      <c r="B1692" s="20" t="s">
        <v>203</v>
      </c>
      <c r="C1692" s="20">
        <v>1.5</v>
      </c>
      <c r="D1692" s="27"/>
    </row>
    <row r="1693">
      <c r="A1693" s="26">
        <v>44625.72431805555</v>
      </c>
      <c r="B1693" s="20" t="s">
        <v>1421</v>
      </c>
      <c r="C1693" s="20">
        <v>2.0</v>
      </c>
      <c r="D1693" s="27"/>
    </row>
    <row r="1694">
      <c r="A1694" s="26">
        <v>44625.72649037037</v>
      </c>
      <c r="B1694" s="20" t="s">
        <v>67</v>
      </c>
      <c r="C1694" s="20">
        <v>95.0</v>
      </c>
      <c r="D1694" s="27"/>
    </row>
    <row r="1695">
      <c r="A1695" s="26">
        <v>44625.78437335648</v>
      </c>
      <c r="B1695" s="20" t="s">
        <v>1422</v>
      </c>
      <c r="C1695" s="20">
        <v>19.0</v>
      </c>
      <c r="D1695" s="27"/>
    </row>
    <row r="1696">
      <c r="A1696" s="26">
        <v>44626.65087736111</v>
      </c>
      <c r="B1696" s="20" t="s">
        <v>995</v>
      </c>
      <c r="C1696" s="20">
        <v>10.0</v>
      </c>
      <c r="D1696" s="27"/>
    </row>
    <row r="1697">
      <c r="A1697" s="26">
        <v>44626.66360494213</v>
      </c>
      <c r="B1697" s="20" t="s">
        <v>982</v>
      </c>
      <c r="C1697" s="20">
        <v>17.0</v>
      </c>
      <c r="D1697" s="27"/>
    </row>
    <row r="1698">
      <c r="A1698" s="26">
        <v>44626.663936655095</v>
      </c>
      <c r="B1698" s="20" t="s">
        <v>79</v>
      </c>
      <c r="C1698" s="20">
        <v>15.0</v>
      </c>
      <c r="D1698" s="27"/>
    </row>
    <row r="1699">
      <c r="A1699" s="26">
        <v>44626.66410233796</v>
      </c>
      <c r="B1699" s="20" t="s">
        <v>1423</v>
      </c>
      <c r="C1699" s="20">
        <v>4.0</v>
      </c>
      <c r="D1699" s="27"/>
    </row>
    <row r="1700">
      <c r="A1700" s="26">
        <v>44626.66451509259</v>
      </c>
      <c r="B1700" s="20" t="s">
        <v>193</v>
      </c>
      <c r="C1700" s="20" t="s">
        <v>1424</v>
      </c>
      <c r="D1700" s="27"/>
    </row>
    <row r="1701">
      <c r="A1701" s="26">
        <v>44626.67897208333</v>
      </c>
      <c r="B1701" s="20" t="s">
        <v>110</v>
      </c>
      <c r="C1701" s="20">
        <v>108.0</v>
      </c>
      <c r="D1701" s="27"/>
    </row>
    <row r="1702">
      <c r="A1702" s="26">
        <v>44626.68141056713</v>
      </c>
      <c r="B1702" s="20" t="s">
        <v>1215</v>
      </c>
      <c r="C1702" s="20" t="s">
        <v>999</v>
      </c>
      <c r="D1702" s="27"/>
    </row>
    <row r="1703">
      <c r="A1703" s="26">
        <v>44626.69163663195</v>
      </c>
      <c r="B1703" s="20" t="s">
        <v>1182</v>
      </c>
      <c r="C1703" s="20">
        <v>15.0</v>
      </c>
      <c r="D1703" s="27"/>
    </row>
    <row r="1704">
      <c r="A1704" s="26">
        <v>44626.712292199074</v>
      </c>
      <c r="B1704" s="20" t="s">
        <v>203</v>
      </c>
      <c r="C1704" s="20" t="s">
        <v>1425</v>
      </c>
      <c r="D1704" s="27"/>
    </row>
    <row r="1705">
      <c r="A1705" s="26">
        <v>44626.716513101856</v>
      </c>
      <c r="B1705" s="20" t="s">
        <v>193</v>
      </c>
      <c r="C1705" s="20" t="s">
        <v>1426</v>
      </c>
      <c r="D1705" s="27"/>
    </row>
    <row r="1706">
      <c r="A1706" s="26">
        <v>44626.71953015046</v>
      </c>
      <c r="B1706" s="20" t="s">
        <v>67</v>
      </c>
      <c r="C1706" s="20">
        <v>45.0</v>
      </c>
      <c r="D1706" s="27"/>
    </row>
    <row r="1707">
      <c r="A1707" s="26">
        <v>44626.73026818287</v>
      </c>
      <c r="B1707" s="20" t="s">
        <v>193</v>
      </c>
      <c r="C1707" s="20" t="s">
        <v>1427</v>
      </c>
      <c r="D1707" s="27"/>
    </row>
    <row r="1708">
      <c r="A1708" s="26">
        <v>44628.6724503588</v>
      </c>
      <c r="B1708" s="20" t="s">
        <v>67</v>
      </c>
      <c r="C1708" s="20">
        <v>77.0</v>
      </c>
      <c r="D1708" s="27"/>
    </row>
    <row r="1709">
      <c r="A1709" s="26">
        <v>44628.71518326389</v>
      </c>
      <c r="B1709" s="20" t="s">
        <v>203</v>
      </c>
      <c r="C1709" s="20">
        <v>5.0</v>
      </c>
      <c r="D1709" s="27"/>
    </row>
    <row r="1710">
      <c r="A1710" s="26">
        <v>44628.715373900464</v>
      </c>
      <c r="B1710" s="20" t="s">
        <v>1428</v>
      </c>
      <c r="C1710" s="20">
        <v>17.0</v>
      </c>
      <c r="D1710" s="27"/>
    </row>
    <row r="1711">
      <c r="A1711" s="26">
        <v>44628.71572583333</v>
      </c>
      <c r="B1711" s="20" t="s">
        <v>203</v>
      </c>
      <c r="C1711" s="20">
        <v>38.0</v>
      </c>
      <c r="D1711" s="27"/>
    </row>
    <row r="1712">
      <c r="A1712" s="26">
        <v>44628.71677758102</v>
      </c>
      <c r="B1712" s="20" t="s">
        <v>995</v>
      </c>
      <c r="C1712" s="20" t="s">
        <v>1429</v>
      </c>
      <c r="D1712" s="27"/>
    </row>
    <row r="1713">
      <c r="A1713" s="26">
        <v>44628.71705709491</v>
      </c>
      <c r="B1713" s="20" t="s">
        <v>1430</v>
      </c>
      <c r="C1713" s="20">
        <v>28.0</v>
      </c>
      <c r="D1713" s="27"/>
    </row>
    <row r="1714">
      <c r="A1714" s="26">
        <v>44628.72473141203</v>
      </c>
      <c r="B1714" s="20" t="s">
        <v>1431</v>
      </c>
      <c r="C1714" s="20">
        <v>53.0</v>
      </c>
      <c r="D1714" s="27"/>
    </row>
    <row r="1715">
      <c r="A1715" s="26">
        <v>44628.72558629629</v>
      </c>
      <c r="B1715" s="20" t="s">
        <v>163</v>
      </c>
      <c r="C1715" s="20" t="s">
        <v>1432</v>
      </c>
      <c r="D1715" s="27"/>
    </row>
    <row r="1716">
      <c r="A1716" s="26">
        <v>44628.72594577546</v>
      </c>
      <c r="B1716" s="20" t="s">
        <v>1433</v>
      </c>
      <c r="C1716" s="20">
        <v>13.0</v>
      </c>
      <c r="D1716" s="27"/>
    </row>
    <row r="1717">
      <c r="A1717" s="26">
        <v>44628.726076238425</v>
      </c>
      <c r="B1717" s="20" t="s">
        <v>637</v>
      </c>
      <c r="C1717" s="20">
        <v>27.0</v>
      </c>
      <c r="D1717" s="27"/>
    </row>
    <row r="1718">
      <c r="A1718" s="26">
        <v>44628.726176979166</v>
      </c>
      <c r="B1718" s="20" t="s">
        <v>163</v>
      </c>
      <c r="C1718" s="20">
        <v>21.0</v>
      </c>
      <c r="D1718" s="27"/>
    </row>
    <row r="1719">
      <c r="A1719" s="26">
        <v>44628.74153234954</v>
      </c>
      <c r="B1719" s="20" t="s">
        <v>1434</v>
      </c>
      <c r="C1719" s="20">
        <v>1.0</v>
      </c>
      <c r="D1719" s="27"/>
    </row>
    <row r="1720">
      <c r="A1720" s="26">
        <v>44629.70768025463</v>
      </c>
      <c r="B1720" s="20" t="s">
        <v>203</v>
      </c>
      <c r="C1720" s="20" t="s">
        <v>1435</v>
      </c>
      <c r="D1720" s="27"/>
    </row>
    <row r="1721">
      <c r="A1721" s="26">
        <v>44629.70786956018</v>
      </c>
      <c r="B1721" s="20" t="s">
        <v>203</v>
      </c>
      <c r="C1721" s="20">
        <v>8.0</v>
      </c>
      <c r="D1721" s="27"/>
    </row>
    <row r="1722">
      <c r="A1722" s="26">
        <v>44629.723188993055</v>
      </c>
      <c r="B1722" s="20" t="s">
        <v>153</v>
      </c>
      <c r="C1722" s="20">
        <v>20.0</v>
      </c>
      <c r="D1722" s="27"/>
    </row>
    <row r="1723">
      <c r="A1723" s="26">
        <v>44629.88922693287</v>
      </c>
      <c r="B1723" s="20" t="s">
        <v>786</v>
      </c>
      <c r="C1723" s="20">
        <v>17.0</v>
      </c>
      <c r="D1723" s="27"/>
    </row>
    <row r="1724">
      <c r="A1724" s="26">
        <v>44629.89202693287</v>
      </c>
      <c r="B1724" s="20" t="s">
        <v>787</v>
      </c>
      <c r="C1724" s="20">
        <v>20.0</v>
      </c>
      <c r="D1724" s="27"/>
    </row>
    <row r="1725">
      <c r="A1725" s="26">
        <v>44629.893994479164</v>
      </c>
      <c r="B1725" s="20" t="s">
        <v>760</v>
      </c>
      <c r="C1725" s="20">
        <v>20.0</v>
      </c>
      <c r="D1725" s="27"/>
    </row>
    <row r="1726">
      <c r="A1726" s="26">
        <v>44629.89466907407</v>
      </c>
      <c r="B1726" s="20" t="s">
        <v>235</v>
      </c>
      <c r="C1726" s="20">
        <v>28.0</v>
      </c>
      <c r="D1726" s="27"/>
    </row>
    <row r="1727">
      <c r="A1727" s="26">
        <v>44630.71018253472</v>
      </c>
      <c r="B1727" s="20" t="s">
        <v>809</v>
      </c>
      <c r="C1727" s="20">
        <v>8.0</v>
      </c>
      <c r="D1727" s="27"/>
    </row>
    <row r="1728">
      <c r="A1728" s="26">
        <v>44630.71286832176</v>
      </c>
      <c r="B1728" s="20" t="s">
        <v>809</v>
      </c>
      <c r="C1728" s="20" t="s">
        <v>1436</v>
      </c>
      <c r="D1728" s="27"/>
    </row>
    <row r="1729">
      <c r="A1729" s="26">
        <v>44630.71707434028</v>
      </c>
      <c r="B1729" s="20" t="s">
        <v>193</v>
      </c>
      <c r="C1729" s="20" t="s">
        <v>1437</v>
      </c>
      <c r="D1729" s="27"/>
    </row>
    <row r="1730">
      <c r="A1730" s="26">
        <v>44630.72156068287</v>
      </c>
      <c r="B1730" s="20" t="s">
        <v>193</v>
      </c>
      <c r="C1730" s="20" t="s">
        <v>1438</v>
      </c>
      <c r="D1730" s="27"/>
    </row>
    <row r="1731">
      <c r="A1731" s="26">
        <v>44630.72305880787</v>
      </c>
      <c r="B1731" s="20" t="s">
        <v>1439</v>
      </c>
      <c r="C1731" s="20">
        <v>20.0</v>
      </c>
      <c r="D1731" s="27"/>
    </row>
    <row r="1732">
      <c r="A1732" s="26">
        <v>44630.72331741898</v>
      </c>
      <c r="B1732" s="20" t="s">
        <v>163</v>
      </c>
      <c r="C1732" s="20">
        <v>19.0</v>
      </c>
      <c r="D1732" s="27"/>
    </row>
    <row r="1733">
      <c r="A1733" s="26">
        <v>44630.724343587965</v>
      </c>
      <c r="B1733" s="20" t="s">
        <v>163</v>
      </c>
      <c r="C1733" s="20">
        <v>4.0</v>
      </c>
      <c r="D1733" s="27"/>
    </row>
    <row r="1734">
      <c r="A1734" s="26">
        <v>44630.73676104167</v>
      </c>
      <c r="B1734" s="20" t="s">
        <v>1440</v>
      </c>
      <c r="C1734" s="20">
        <v>63.0</v>
      </c>
      <c r="D1734" s="27"/>
    </row>
    <row r="1735">
      <c r="A1735" s="26">
        <v>44630.737017418985</v>
      </c>
      <c r="B1735" s="20" t="s">
        <v>637</v>
      </c>
      <c r="C1735" s="20">
        <v>19.0</v>
      </c>
      <c r="D1735" s="27"/>
    </row>
    <row r="1736">
      <c r="A1736" s="26">
        <v>44630.746728611106</v>
      </c>
      <c r="B1736" s="20" t="s">
        <v>203</v>
      </c>
      <c r="C1736" s="20">
        <v>7.0</v>
      </c>
      <c r="D1736" s="27"/>
    </row>
    <row r="1737">
      <c r="A1737" s="26">
        <v>44630.74708701389</v>
      </c>
      <c r="B1737" s="20" t="s">
        <v>203</v>
      </c>
      <c r="C1737" s="20" t="s">
        <v>1441</v>
      </c>
      <c r="D1737" s="27"/>
    </row>
    <row r="1738">
      <c r="A1738" s="26">
        <v>44630.7476703125</v>
      </c>
      <c r="B1738" s="20" t="s">
        <v>203</v>
      </c>
      <c r="C1738" s="20" t="s">
        <v>1442</v>
      </c>
      <c r="D1738" s="27"/>
    </row>
    <row r="1739">
      <c r="A1739" s="26">
        <v>44630.84861714121</v>
      </c>
      <c r="B1739" s="20" t="s">
        <v>67</v>
      </c>
      <c r="C1739" s="20">
        <v>34.0</v>
      </c>
      <c r="D1739" s="27"/>
    </row>
    <row r="1740">
      <c r="A1740" s="26">
        <v>44630.864883738424</v>
      </c>
      <c r="B1740" s="20" t="s">
        <v>820</v>
      </c>
      <c r="C1740" s="20" t="s">
        <v>1359</v>
      </c>
      <c r="D1740" s="27"/>
    </row>
    <row r="1741">
      <c r="A1741" s="26">
        <v>44630.87541984954</v>
      </c>
      <c r="B1741" s="20" t="s">
        <v>1158</v>
      </c>
      <c r="C1741" s="20" t="s">
        <v>1443</v>
      </c>
      <c r="D1741" s="27"/>
    </row>
    <row r="1742">
      <c r="A1742" s="26">
        <v>44631.688380231484</v>
      </c>
      <c r="B1742" s="20" t="s">
        <v>344</v>
      </c>
      <c r="C1742" s="20" t="s">
        <v>1444</v>
      </c>
      <c r="D1742" s="27"/>
    </row>
    <row r="1743">
      <c r="A1743" s="26">
        <v>44631.69129300926</v>
      </c>
      <c r="B1743" s="20" t="s">
        <v>233</v>
      </c>
      <c r="C1743" s="20">
        <v>5.0</v>
      </c>
      <c r="D1743" s="27"/>
    </row>
    <row r="1744">
      <c r="A1744" s="26">
        <v>44631.69589224537</v>
      </c>
      <c r="B1744" s="20" t="s">
        <v>163</v>
      </c>
      <c r="C1744" s="20">
        <v>17.0</v>
      </c>
      <c r="D1744" s="27"/>
    </row>
    <row r="1745">
      <c r="A1745" s="26">
        <v>44631.696334629625</v>
      </c>
      <c r="B1745" s="20" t="s">
        <v>163</v>
      </c>
      <c r="C1745" s="20" t="s">
        <v>1445</v>
      </c>
      <c r="D1745" s="27"/>
    </row>
    <row r="1746">
      <c r="A1746" s="26">
        <v>44631.69988539352</v>
      </c>
      <c r="B1746" s="20" t="s">
        <v>344</v>
      </c>
      <c r="C1746" s="20" t="s">
        <v>1446</v>
      </c>
      <c r="D1746" s="27"/>
    </row>
    <row r="1747">
      <c r="A1747" s="26">
        <v>44631.70678685185</v>
      </c>
      <c r="B1747" s="20" t="s">
        <v>344</v>
      </c>
      <c r="C1747" s="20" t="s">
        <v>1447</v>
      </c>
      <c r="D1747" s="27"/>
    </row>
    <row r="1748">
      <c r="A1748" s="26">
        <v>44631.70689219907</v>
      </c>
      <c r="B1748" s="20" t="s">
        <v>344</v>
      </c>
      <c r="C1748" s="20">
        <v>15.0</v>
      </c>
      <c r="D1748" s="27"/>
    </row>
    <row r="1749">
      <c r="A1749" s="26">
        <v>44631.70758890046</v>
      </c>
      <c r="B1749" s="20" t="s">
        <v>260</v>
      </c>
      <c r="C1749" s="20">
        <v>20.0</v>
      </c>
      <c r="D1749" s="27"/>
    </row>
    <row r="1750">
      <c r="A1750" s="26">
        <v>44632.716457256945</v>
      </c>
      <c r="B1750" s="20" t="s">
        <v>971</v>
      </c>
      <c r="C1750" s="20">
        <v>19.0</v>
      </c>
      <c r="D1750" s="27"/>
    </row>
    <row r="1751">
      <c r="A1751" s="26">
        <v>44632.7171452662</v>
      </c>
      <c r="B1751" s="20" t="s">
        <v>242</v>
      </c>
      <c r="C1751" s="20">
        <v>7.0</v>
      </c>
      <c r="D1751" s="27"/>
    </row>
    <row r="1752">
      <c r="A1752" s="26">
        <v>44632.71983976851</v>
      </c>
      <c r="B1752" s="20" t="s">
        <v>1448</v>
      </c>
      <c r="C1752" s="20">
        <v>21.0</v>
      </c>
      <c r="D1752" s="27"/>
    </row>
    <row r="1753">
      <c r="A1753" s="26">
        <v>44632.72317079861</v>
      </c>
      <c r="B1753" s="20" t="s">
        <v>1449</v>
      </c>
      <c r="C1753" s="20">
        <v>21.0</v>
      </c>
      <c r="D1753" s="27"/>
    </row>
    <row r="1754">
      <c r="A1754" s="26">
        <v>44632.7232905787</v>
      </c>
      <c r="B1754" s="20" t="s">
        <v>1450</v>
      </c>
      <c r="C1754" s="20">
        <v>21.0</v>
      </c>
      <c r="D1754" s="27"/>
    </row>
    <row r="1755">
      <c r="A1755" s="26">
        <v>44632.72375509259</v>
      </c>
      <c r="B1755" s="20" t="s">
        <v>1451</v>
      </c>
      <c r="C1755" s="20">
        <v>22.0</v>
      </c>
      <c r="D1755" s="27"/>
    </row>
    <row r="1756">
      <c r="A1756" s="26">
        <v>44632.72671497685</v>
      </c>
      <c r="B1756" s="20" t="s">
        <v>300</v>
      </c>
      <c r="C1756" s="20" t="s">
        <v>1012</v>
      </c>
      <c r="D1756" s="27"/>
    </row>
    <row r="1757">
      <c r="A1757" s="26">
        <v>44632.726975185185</v>
      </c>
      <c r="B1757" s="20" t="s">
        <v>300</v>
      </c>
      <c r="C1757" s="20" t="s">
        <v>1452</v>
      </c>
      <c r="D1757" s="27"/>
    </row>
    <row r="1758">
      <c r="A1758" s="26">
        <v>44632.72713943287</v>
      </c>
      <c r="B1758" s="20" t="s">
        <v>1453</v>
      </c>
      <c r="C1758" s="20" t="s">
        <v>1454</v>
      </c>
      <c r="D1758" s="27"/>
    </row>
    <row r="1759">
      <c r="A1759" s="26">
        <v>44632.72720541667</v>
      </c>
      <c r="B1759" s="20" t="s">
        <v>1455</v>
      </c>
      <c r="C1759" s="20">
        <v>14.0</v>
      </c>
      <c r="D1759" s="27"/>
    </row>
    <row r="1760">
      <c r="A1760" s="26">
        <v>44633.65267159722</v>
      </c>
      <c r="B1760" s="20" t="s">
        <v>193</v>
      </c>
      <c r="C1760" s="20" t="s">
        <v>1367</v>
      </c>
      <c r="D1760" s="27"/>
    </row>
    <row r="1761">
      <c r="A1761" s="26">
        <v>44633.65444608797</v>
      </c>
      <c r="B1761" s="20" t="s">
        <v>249</v>
      </c>
      <c r="C1761" s="20" t="s">
        <v>1456</v>
      </c>
      <c r="D1761" s="27"/>
    </row>
    <row r="1762">
      <c r="A1762" s="26">
        <v>44633.66687901621</v>
      </c>
      <c r="B1762" s="20" t="s">
        <v>191</v>
      </c>
      <c r="C1762" s="20">
        <v>22.0</v>
      </c>
      <c r="D1762" s="27"/>
    </row>
    <row r="1763">
      <c r="A1763" s="26">
        <v>44633.67159508102</v>
      </c>
      <c r="B1763" s="20" t="s">
        <v>193</v>
      </c>
      <c r="C1763" s="20" t="s">
        <v>1457</v>
      </c>
      <c r="D1763" s="27"/>
    </row>
    <row r="1764">
      <c r="A1764" s="26">
        <v>44633.68193733796</v>
      </c>
      <c r="B1764" s="20" t="s">
        <v>191</v>
      </c>
      <c r="C1764" s="20" t="s">
        <v>1458</v>
      </c>
      <c r="D1764" s="27"/>
    </row>
    <row r="1765">
      <c r="A1765" s="26">
        <v>44633.68336837963</v>
      </c>
      <c r="B1765" s="20" t="s">
        <v>193</v>
      </c>
      <c r="C1765" s="20">
        <v>32.0</v>
      </c>
      <c r="D1765" s="27"/>
    </row>
    <row r="1766">
      <c r="A1766" s="26">
        <v>44633.6895784838</v>
      </c>
      <c r="B1766" s="20" t="s">
        <v>1459</v>
      </c>
      <c r="C1766" s="20">
        <v>12.0</v>
      </c>
      <c r="D1766" s="27"/>
    </row>
    <row r="1767">
      <c r="A1767" s="26">
        <v>44633.78046890046</v>
      </c>
      <c r="B1767" s="20" t="s">
        <v>67</v>
      </c>
      <c r="C1767" s="20">
        <v>118.0</v>
      </c>
      <c r="D1767" s="27"/>
    </row>
    <row r="1768">
      <c r="A1768" s="26">
        <v>44635.70484247685</v>
      </c>
      <c r="B1768" s="20" t="s">
        <v>995</v>
      </c>
      <c r="C1768" s="20">
        <v>20.0</v>
      </c>
      <c r="D1768" s="27"/>
    </row>
    <row r="1769">
      <c r="A1769" s="26">
        <v>44635.70510211805</v>
      </c>
      <c r="B1769" s="20" t="s">
        <v>1460</v>
      </c>
      <c r="C1769" s="20">
        <v>11.0</v>
      </c>
      <c r="D1769" s="27"/>
    </row>
    <row r="1770">
      <c r="A1770" s="26">
        <v>44635.705903483795</v>
      </c>
      <c r="B1770" s="20" t="s">
        <v>1461</v>
      </c>
      <c r="C1770" s="20">
        <v>270.0</v>
      </c>
      <c r="D1770" s="27"/>
    </row>
    <row r="1771">
      <c r="A1771" s="26">
        <v>44635.70616865741</v>
      </c>
      <c r="B1771" s="20" t="s">
        <v>1462</v>
      </c>
      <c r="C1771" s="20">
        <v>30.0</v>
      </c>
      <c r="D1771" s="27"/>
    </row>
    <row r="1772">
      <c r="A1772" s="26">
        <v>44635.71400876157</v>
      </c>
      <c r="B1772" s="20" t="s">
        <v>203</v>
      </c>
      <c r="C1772" s="20">
        <v>15.0</v>
      </c>
      <c r="D1772" s="27"/>
    </row>
    <row r="1773">
      <c r="A1773" s="26">
        <v>44635.714135104165</v>
      </c>
      <c r="B1773" s="20" t="s">
        <v>203</v>
      </c>
      <c r="C1773" s="20" t="s">
        <v>1301</v>
      </c>
      <c r="D1773" s="27"/>
    </row>
    <row r="1774">
      <c r="A1774" s="26">
        <v>44635.71501666667</v>
      </c>
      <c r="B1774" s="20" t="s">
        <v>1463</v>
      </c>
      <c r="C1774" s="20">
        <v>11.0</v>
      </c>
      <c r="D1774" s="27"/>
    </row>
    <row r="1775">
      <c r="A1775" s="26">
        <v>44635.71540622685</v>
      </c>
      <c r="B1775" s="20" t="s">
        <v>1464</v>
      </c>
      <c r="C1775" s="20">
        <v>26.0</v>
      </c>
      <c r="D1775" s="27"/>
    </row>
    <row r="1776">
      <c r="A1776" s="26">
        <v>44635.72007776621</v>
      </c>
      <c r="B1776" s="20" t="s">
        <v>637</v>
      </c>
      <c r="C1776" s="20">
        <v>24.0</v>
      </c>
      <c r="D1776" s="27"/>
    </row>
    <row r="1777">
      <c r="A1777" s="26">
        <v>44635.72123650463</v>
      </c>
      <c r="B1777" s="20" t="s">
        <v>67</v>
      </c>
      <c r="C1777" s="20">
        <v>23.0</v>
      </c>
      <c r="D1777" s="27"/>
    </row>
    <row r="1778">
      <c r="A1778" s="26">
        <v>44636.731584016205</v>
      </c>
      <c r="B1778" s="20" t="s">
        <v>1465</v>
      </c>
      <c r="C1778" s="20" t="s">
        <v>1466</v>
      </c>
      <c r="D1778" s="27"/>
    </row>
    <row r="1779">
      <c r="A1779" s="26">
        <v>44636.73732100695</v>
      </c>
      <c r="B1779" s="20" t="s">
        <v>366</v>
      </c>
      <c r="C1779" s="20" t="s">
        <v>1467</v>
      </c>
      <c r="D1779" s="27"/>
    </row>
    <row r="1780">
      <c r="A1780" s="26">
        <v>44636.884422766205</v>
      </c>
      <c r="B1780" s="20" t="s">
        <v>760</v>
      </c>
      <c r="C1780" s="20">
        <v>20.0</v>
      </c>
      <c r="D1780" s="27"/>
    </row>
    <row r="1781">
      <c r="A1781" s="26">
        <v>44636.88457181713</v>
      </c>
      <c r="B1781" s="20" t="s">
        <v>235</v>
      </c>
      <c r="C1781" s="20">
        <v>12.0</v>
      </c>
      <c r="D1781" s="27"/>
    </row>
    <row r="1782">
      <c r="A1782" s="26">
        <v>44636.88698972222</v>
      </c>
      <c r="B1782" s="20" t="s">
        <v>1158</v>
      </c>
      <c r="C1782" s="20" t="s">
        <v>1468</v>
      </c>
      <c r="D1782" s="27"/>
    </row>
    <row r="1783">
      <c r="A1783" s="26">
        <v>44637.72031763889</v>
      </c>
      <c r="B1783" s="20" t="s">
        <v>163</v>
      </c>
      <c r="C1783" s="20">
        <v>26.0</v>
      </c>
      <c r="D1783" s="27"/>
    </row>
    <row r="1784">
      <c r="A1784" s="26">
        <v>44637.722174560186</v>
      </c>
      <c r="B1784" s="20" t="s">
        <v>1378</v>
      </c>
      <c r="C1784" s="20">
        <v>18.0</v>
      </c>
      <c r="D1784" s="27"/>
    </row>
    <row r="1785">
      <c r="A1785" s="26">
        <v>44637.732705381946</v>
      </c>
      <c r="B1785" s="20" t="s">
        <v>1469</v>
      </c>
      <c r="C1785" s="20">
        <v>20.0</v>
      </c>
      <c r="D1785" s="27"/>
    </row>
    <row r="1786">
      <c r="A1786" s="26">
        <v>44637.73491600694</v>
      </c>
      <c r="B1786" s="20" t="s">
        <v>608</v>
      </c>
      <c r="C1786" s="20">
        <v>18.0</v>
      </c>
      <c r="D1786" s="27"/>
    </row>
    <row r="1787">
      <c r="A1787" s="26">
        <v>44637.737109131944</v>
      </c>
      <c r="B1787" s="20" t="s">
        <v>366</v>
      </c>
      <c r="C1787" s="20" t="s">
        <v>1470</v>
      </c>
      <c r="D1787" s="27"/>
    </row>
    <row r="1788">
      <c r="A1788" s="26">
        <v>44637.73823819445</v>
      </c>
      <c r="B1788" s="20" t="s">
        <v>366</v>
      </c>
      <c r="C1788" s="20" t="s">
        <v>1471</v>
      </c>
      <c r="D1788" s="27"/>
    </row>
    <row r="1789">
      <c r="A1789" s="26">
        <v>44637.86854939815</v>
      </c>
      <c r="B1789" s="20" t="s">
        <v>67</v>
      </c>
      <c r="C1789" s="20">
        <v>15.0</v>
      </c>
      <c r="D1789" s="27"/>
    </row>
    <row r="1790">
      <c r="A1790" s="26">
        <v>44637.872054872685</v>
      </c>
      <c r="B1790" s="20" t="s">
        <v>167</v>
      </c>
      <c r="C1790" s="20">
        <v>20.0</v>
      </c>
      <c r="D1790" s="27"/>
    </row>
    <row r="1791">
      <c r="A1791" s="26">
        <v>44638.688656666665</v>
      </c>
      <c r="B1791" s="20" t="s">
        <v>291</v>
      </c>
      <c r="C1791" s="20" t="s">
        <v>1472</v>
      </c>
      <c r="D1791" s="27"/>
    </row>
    <row r="1792">
      <c r="A1792" s="26">
        <v>44638.69079140046</v>
      </c>
      <c r="B1792" s="20" t="s">
        <v>1473</v>
      </c>
      <c r="C1792" s="20">
        <v>19.0</v>
      </c>
      <c r="D1792" s="27"/>
    </row>
    <row r="1793">
      <c r="A1793" s="26">
        <v>44638.69148450231</v>
      </c>
      <c r="B1793" s="20" t="s">
        <v>344</v>
      </c>
      <c r="C1793" s="20">
        <v>19.0</v>
      </c>
      <c r="D1793" s="27"/>
    </row>
    <row r="1794">
      <c r="A1794" s="26">
        <v>44638.691891724535</v>
      </c>
      <c r="B1794" s="20" t="s">
        <v>344</v>
      </c>
      <c r="C1794" s="20" t="s">
        <v>1446</v>
      </c>
      <c r="D1794" s="27"/>
    </row>
    <row r="1795">
      <c r="A1795" s="26">
        <v>44638.69429443287</v>
      </c>
      <c r="B1795" s="20" t="s">
        <v>260</v>
      </c>
      <c r="C1795" s="20">
        <v>20.0</v>
      </c>
      <c r="D1795" s="27"/>
    </row>
    <row r="1796">
      <c r="A1796" s="26">
        <v>44638.69816576389</v>
      </c>
      <c r="B1796" s="20" t="s">
        <v>1474</v>
      </c>
      <c r="C1796" s="20">
        <v>16.0</v>
      </c>
      <c r="D1796" s="27"/>
    </row>
    <row r="1797">
      <c r="A1797" s="26">
        <v>44638.701671076386</v>
      </c>
      <c r="B1797" s="20" t="s">
        <v>233</v>
      </c>
      <c r="C1797" s="20">
        <v>2.0</v>
      </c>
      <c r="D1797" s="27"/>
    </row>
    <row r="1798">
      <c r="A1798" s="26">
        <v>44638.708603692125</v>
      </c>
      <c r="B1798" s="20" t="s">
        <v>366</v>
      </c>
      <c r="C1798" s="20" t="s">
        <v>1475</v>
      </c>
      <c r="D1798" s="27"/>
    </row>
    <row r="1799">
      <c r="A1799" s="26">
        <v>44638.716389270834</v>
      </c>
      <c r="B1799" s="20" t="s">
        <v>786</v>
      </c>
      <c r="C1799" s="20">
        <v>12.0</v>
      </c>
      <c r="D1799" s="27"/>
    </row>
    <row r="1800">
      <c r="A1800" s="26">
        <v>44638.718915219906</v>
      </c>
      <c r="B1800" s="20" t="s">
        <v>191</v>
      </c>
      <c r="C1800" s="20">
        <v>16.0</v>
      </c>
      <c r="D1800" s="27"/>
    </row>
    <row r="1801">
      <c r="A1801" s="26">
        <v>44638.722232245374</v>
      </c>
      <c r="B1801" s="20" t="s">
        <v>193</v>
      </c>
      <c r="C1801" s="20" t="s">
        <v>1476</v>
      </c>
      <c r="D1801" s="27"/>
    </row>
    <row r="1802">
      <c r="A1802" s="26">
        <v>44638.72784666667</v>
      </c>
      <c r="B1802" s="20" t="s">
        <v>193</v>
      </c>
      <c r="C1802" s="20">
        <v>20.0</v>
      </c>
      <c r="D1802" s="27"/>
    </row>
    <row r="1803">
      <c r="A1803" s="26">
        <v>44639.584412870376</v>
      </c>
      <c r="B1803" s="20" t="s">
        <v>110</v>
      </c>
      <c r="C1803" s="20">
        <v>125.0</v>
      </c>
      <c r="D1803" s="27"/>
    </row>
    <row r="1804">
      <c r="A1804" s="26">
        <v>44639.71955085648</v>
      </c>
      <c r="B1804" s="20" t="s">
        <v>1413</v>
      </c>
      <c r="C1804" s="20">
        <v>16.0</v>
      </c>
      <c r="D1804" s="27"/>
    </row>
    <row r="1805">
      <c r="A1805" s="26">
        <v>44640.65177196759</v>
      </c>
      <c r="B1805" s="20" t="s">
        <v>825</v>
      </c>
      <c r="C1805" s="20" t="s">
        <v>1477</v>
      </c>
      <c r="D1805" s="27"/>
    </row>
    <row r="1806">
      <c r="A1806" s="26">
        <v>44640.65476789352</v>
      </c>
      <c r="B1806" s="20" t="s">
        <v>982</v>
      </c>
      <c r="C1806" s="20">
        <v>13.0</v>
      </c>
      <c r="D1806" s="27"/>
    </row>
    <row r="1807">
      <c r="A1807" s="26">
        <v>44640.65499283565</v>
      </c>
      <c r="B1807" s="20" t="s">
        <v>79</v>
      </c>
      <c r="C1807" s="20">
        <v>17.0</v>
      </c>
      <c r="D1807" s="27"/>
    </row>
    <row r="1808">
      <c r="A1808" s="26">
        <v>44640.65512358796</v>
      </c>
      <c r="B1808" s="20" t="s">
        <v>144</v>
      </c>
      <c r="C1808" s="20" t="s">
        <v>1382</v>
      </c>
      <c r="D1808" s="27"/>
    </row>
    <row r="1809">
      <c r="A1809" s="26">
        <v>44640.65697730324</v>
      </c>
      <c r="B1809" s="20" t="s">
        <v>995</v>
      </c>
      <c r="C1809" s="20">
        <v>17.0</v>
      </c>
      <c r="D1809" s="27"/>
    </row>
    <row r="1810">
      <c r="A1810" s="26">
        <v>44640.657526724535</v>
      </c>
      <c r="B1810" s="20" t="s">
        <v>1478</v>
      </c>
      <c r="C1810" s="20">
        <v>8.0</v>
      </c>
      <c r="D1810" s="27"/>
    </row>
    <row r="1811">
      <c r="A1811" s="26">
        <v>44640.69705454861</v>
      </c>
      <c r="B1811" s="20" t="s">
        <v>193</v>
      </c>
      <c r="C1811" s="20">
        <v>33.0</v>
      </c>
      <c r="D1811" s="27"/>
    </row>
    <row r="1812">
      <c r="A1812" s="26">
        <v>44640.697213946754</v>
      </c>
      <c r="B1812" s="20" t="s">
        <v>193</v>
      </c>
      <c r="C1812" s="20" t="s">
        <v>1458</v>
      </c>
      <c r="D1812" s="27"/>
    </row>
    <row r="1813">
      <c r="A1813" s="26">
        <v>44640.70280104167</v>
      </c>
      <c r="B1813" s="20" t="s">
        <v>1182</v>
      </c>
      <c r="C1813" s="20">
        <v>11.0</v>
      </c>
      <c r="D1813" s="27"/>
    </row>
    <row r="1814">
      <c r="A1814" s="26">
        <v>44640.702930625004</v>
      </c>
      <c r="B1814" s="20" t="s">
        <v>193</v>
      </c>
      <c r="C1814" s="20" t="s">
        <v>1479</v>
      </c>
      <c r="D1814" s="27"/>
    </row>
    <row r="1815">
      <c r="A1815" s="26">
        <v>44640.7259199074</v>
      </c>
      <c r="B1815" s="20" t="s">
        <v>67</v>
      </c>
      <c r="C1815" s="20">
        <v>73.0</v>
      </c>
      <c r="D1815" s="27"/>
    </row>
    <row r="1816">
      <c r="A1816" s="26">
        <v>44642.689893993054</v>
      </c>
      <c r="B1816" s="20" t="s">
        <v>67</v>
      </c>
      <c r="C1816" s="20">
        <v>54.0</v>
      </c>
      <c r="D1816" s="27"/>
    </row>
    <row r="1817">
      <c r="A1817" s="26">
        <v>44642.706390300926</v>
      </c>
      <c r="B1817" s="20" t="s">
        <v>858</v>
      </c>
      <c r="C1817" s="20">
        <v>30.0</v>
      </c>
      <c r="D1817" s="27"/>
    </row>
    <row r="1818">
      <c r="A1818" s="26">
        <v>44642.706749317134</v>
      </c>
      <c r="B1818" s="20" t="s">
        <v>809</v>
      </c>
      <c r="C1818" s="20">
        <v>15.0</v>
      </c>
      <c r="D1818" s="27"/>
    </row>
    <row r="1819">
      <c r="A1819" s="26">
        <v>44642.70868328704</v>
      </c>
      <c r="B1819" s="20" t="s">
        <v>995</v>
      </c>
      <c r="C1819" s="20">
        <v>20.0</v>
      </c>
      <c r="D1819" s="27"/>
    </row>
    <row r="1820">
      <c r="A1820" s="26">
        <v>44642.720766087965</v>
      </c>
      <c r="B1820" s="20" t="s">
        <v>1430</v>
      </c>
      <c r="C1820" s="20">
        <v>29.0</v>
      </c>
      <c r="D1820" s="27"/>
    </row>
    <row r="1821">
      <c r="A1821" s="26">
        <v>44642.76949302084</v>
      </c>
      <c r="B1821" s="20" t="s">
        <v>931</v>
      </c>
      <c r="C1821" s="20">
        <v>11.0</v>
      </c>
      <c r="D1821" s="27"/>
    </row>
    <row r="1822">
      <c r="A1822" s="26">
        <v>44642.76978087963</v>
      </c>
      <c r="B1822" s="20" t="s">
        <v>163</v>
      </c>
      <c r="C1822" s="20">
        <v>26.0</v>
      </c>
      <c r="D1822" s="27"/>
    </row>
    <row r="1823">
      <c r="A1823" s="26">
        <v>44643.705929710646</v>
      </c>
      <c r="B1823" s="20" t="s">
        <v>193</v>
      </c>
      <c r="C1823" s="20">
        <v>13.0</v>
      </c>
      <c r="D1823" s="27"/>
    </row>
    <row r="1824">
      <c r="A1824" s="26">
        <v>44643.70734946759</v>
      </c>
      <c r="B1824" s="20" t="s">
        <v>366</v>
      </c>
      <c r="C1824" s="20" t="s">
        <v>1480</v>
      </c>
      <c r="D1824" s="27"/>
    </row>
    <row r="1825">
      <c r="A1825" s="26">
        <v>44643.71335709491</v>
      </c>
      <c r="B1825" s="20" t="s">
        <v>153</v>
      </c>
      <c r="C1825" s="20">
        <v>20.0</v>
      </c>
      <c r="D1825" s="27"/>
    </row>
    <row r="1826">
      <c r="A1826" s="26">
        <v>44643.713549328706</v>
      </c>
      <c r="B1826" s="20" t="s">
        <v>235</v>
      </c>
      <c r="C1826" s="20">
        <v>14.0</v>
      </c>
      <c r="D1826" s="27"/>
    </row>
    <row r="1827">
      <c r="A1827" s="26">
        <v>44643.716054247685</v>
      </c>
      <c r="B1827" s="20" t="s">
        <v>1481</v>
      </c>
      <c r="C1827" s="20">
        <v>9.0</v>
      </c>
      <c r="D1827" s="27"/>
    </row>
    <row r="1828">
      <c r="A1828" s="26">
        <v>44643.71661099537</v>
      </c>
      <c r="B1828" s="20" t="s">
        <v>331</v>
      </c>
      <c r="C1828" s="20">
        <v>16.0</v>
      </c>
      <c r="D1828" s="27"/>
    </row>
    <row r="1829">
      <c r="A1829" s="26">
        <v>44643.71915542824</v>
      </c>
      <c r="B1829" s="20" t="s">
        <v>1440</v>
      </c>
      <c r="C1829" s="20">
        <v>15.0</v>
      </c>
      <c r="D1829" s="27"/>
    </row>
    <row r="1830">
      <c r="A1830" s="26">
        <v>44643.71933270834</v>
      </c>
      <c r="B1830" s="20" t="s">
        <v>608</v>
      </c>
      <c r="C1830" s="20">
        <v>17.0</v>
      </c>
      <c r="D1830" s="27"/>
    </row>
    <row r="1831">
      <c r="A1831" s="26">
        <v>44643.72146060185</v>
      </c>
      <c r="B1831" s="20" t="s">
        <v>608</v>
      </c>
      <c r="C1831" s="20">
        <v>2.0</v>
      </c>
      <c r="D1831" s="27"/>
    </row>
    <row r="1832">
      <c r="A1832" s="26">
        <v>44643.721761458335</v>
      </c>
      <c r="B1832" s="20" t="s">
        <v>193</v>
      </c>
      <c r="C1832" s="20" t="s">
        <v>1482</v>
      </c>
      <c r="D1832" s="27"/>
    </row>
    <row r="1833">
      <c r="A1833" s="26">
        <v>44643.72383083333</v>
      </c>
      <c r="B1833" s="20" t="s">
        <v>366</v>
      </c>
      <c r="C1833" s="20" t="s">
        <v>1483</v>
      </c>
      <c r="D1833" s="27"/>
    </row>
    <row r="1834">
      <c r="A1834" s="26">
        <v>44643.735773402776</v>
      </c>
      <c r="B1834" s="20" t="s">
        <v>193</v>
      </c>
      <c r="C1834" s="20" t="s">
        <v>1484</v>
      </c>
      <c r="D1834" s="27"/>
    </row>
    <row r="1835">
      <c r="A1835" s="26">
        <v>44643.87535120371</v>
      </c>
      <c r="B1835" s="20" t="s">
        <v>818</v>
      </c>
      <c r="C1835" s="20">
        <v>15.0</v>
      </c>
      <c r="D1835" s="27"/>
    </row>
    <row r="1836">
      <c r="A1836" s="26">
        <v>44643.87807545139</v>
      </c>
      <c r="B1836" s="20" t="s">
        <v>1485</v>
      </c>
      <c r="C1836" s="20">
        <v>22.0</v>
      </c>
      <c r="D1836" s="27"/>
    </row>
    <row r="1837">
      <c r="A1837" s="26">
        <v>44643.88072284722</v>
      </c>
      <c r="B1837" s="20" t="s">
        <v>1486</v>
      </c>
      <c r="C1837" s="20">
        <v>20.0</v>
      </c>
      <c r="D1837" s="27"/>
    </row>
    <row r="1838">
      <c r="A1838" s="26">
        <v>44643.880922638884</v>
      </c>
      <c r="B1838" s="20" t="s">
        <v>155</v>
      </c>
      <c r="C1838" s="20" t="s">
        <v>1487</v>
      </c>
      <c r="D1838" s="27"/>
    </row>
    <row r="1839">
      <c r="A1839" s="26">
        <v>44643.88487288194</v>
      </c>
      <c r="B1839" s="20" t="s">
        <v>1374</v>
      </c>
      <c r="C1839" s="20" t="s">
        <v>1488</v>
      </c>
      <c r="D1839" s="27"/>
    </row>
    <row r="1840">
      <c r="A1840" s="26">
        <v>44643.88499730324</v>
      </c>
      <c r="B1840" s="20" t="s">
        <v>1489</v>
      </c>
      <c r="C1840" s="20" t="s">
        <v>1429</v>
      </c>
      <c r="D1840" s="27"/>
    </row>
    <row r="1841">
      <c r="A1841" s="26">
        <v>44643.88530952546</v>
      </c>
      <c r="B1841" s="20" t="s">
        <v>824</v>
      </c>
      <c r="C1841" s="20">
        <v>20.0</v>
      </c>
      <c r="D1841" s="27"/>
    </row>
    <row r="1842">
      <c r="A1842" s="26">
        <v>44643.8854909375</v>
      </c>
      <c r="B1842" s="20" t="s">
        <v>235</v>
      </c>
      <c r="C1842" s="20">
        <v>11.0</v>
      </c>
      <c r="D1842" s="27"/>
    </row>
    <row r="1843">
      <c r="A1843" s="26">
        <v>44643.88659336806</v>
      </c>
      <c r="B1843" s="20" t="s">
        <v>787</v>
      </c>
      <c r="C1843" s="20">
        <v>19.0</v>
      </c>
      <c r="D1843" s="27"/>
    </row>
    <row r="1844">
      <c r="A1844" s="26">
        <v>44643.88745304398</v>
      </c>
      <c r="B1844" s="20" t="s">
        <v>787</v>
      </c>
      <c r="C1844" s="20" t="s">
        <v>1490</v>
      </c>
      <c r="D1844" s="27"/>
    </row>
    <row r="1845">
      <c r="A1845" s="26">
        <v>44643.88996857639</v>
      </c>
      <c r="B1845" s="20" t="s">
        <v>67</v>
      </c>
      <c r="C1845" s="20">
        <v>55.0</v>
      </c>
      <c r="D1845" s="27"/>
    </row>
    <row r="1846">
      <c r="A1846" s="26">
        <v>44644.69475913195</v>
      </c>
      <c r="B1846" s="20" t="s">
        <v>1473</v>
      </c>
      <c r="C1846" s="20">
        <v>20.0</v>
      </c>
      <c r="D1846" s="27"/>
    </row>
    <row r="1847">
      <c r="A1847" s="26">
        <v>44644.69487925926</v>
      </c>
      <c r="B1847" s="20" t="s">
        <v>201</v>
      </c>
      <c r="C1847" s="20" t="s">
        <v>987</v>
      </c>
      <c r="D1847" s="27"/>
    </row>
    <row r="1848">
      <c r="A1848" s="26">
        <v>44644.69723695602</v>
      </c>
      <c r="B1848" s="20" t="s">
        <v>1351</v>
      </c>
      <c r="C1848" s="20" t="s">
        <v>1491</v>
      </c>
      <c r="D1848" s="27"/>
    </row>
    <row r="1849">
      <c r="A1849" s="26">
        <v>44644.71652122685</v>
      </c>
      <c r="B1849" s="20" t="s">
        <v>366</v>
      </c>
      <c r="C1849" s="20" t="s">
        <v>1492</v>
      </c>
      <c r="D1849" s="27"/>
    </row>
    <row r="1850">
      <c r="A1850" s="26">
        <v>44644.71683572917</v>
      </c>
      <c r="B1850" s="20" t="s">
        <v>366</v>
      </c>
      <c r="C1850" s="20" t="s">
        <v>1493</v>
      </c>
      <c r="D1850" s="27"/>
    </row>
    <row r="1851">
      <c r="A1851" s="26">
        <v>44644.724350856486</v>
      </c>
      <c r="B1851" s="20" t="s">
        <v>163</v>
      </c>
      <c r="C1851" s="20">
        <v>18.0</v>
      </c>
      <c r="D1851" s="27"/>
    </row>
    <row r="1852">
      <c r="A1852" s="26">
        <v>44644.72471765046</v>
      </c>
      <c r="B1852" s="20" t="s">
        <v>1494</v>
      </c>
      <c r="C1852" s="20">
        <v>13.0</v>
      </c>
      <c r="D1852" s="27"/>
    </row>
    <row r="1853">
      <c r="A1853" s="26">
        <v>44644.72538234954</v>
      </c>
      <c r="B1853" s="20" t="s">
        <v>1495</v>
      </c>
      <c r="C1853" s="20">
        <v>21.0</v>
      </c>
      <c r="D1853" s="27"/>
    </row>
    <row r="1854">
      <c r="A1854" s="26">
        <v>44644.72559939815</v>
      </c>
      <c r="B1854" s="20" t="s">
        <v>1495</v>
      </c>
      <c r="C1854" s="20">
        <v>4.0</v>
      </c>
      <c r="D1854" s="27"/>
    </row>
    <row r="1855">
      <c r="A1855" s="26">
        <v>44644.751222754625</v>
      </c>
      <c r="B1855" s="20" t="s">
        <v>406</v>
      </c>
      <c r="C1855" s="20" t="s">
        <v>1496</v>
      </c>
      <c r="D1855" s="27"/>
    </row>
    <row r="1856">
      <c r="A1856" s="26">
        <v>44644.7520680787</v>
      </c>
      <c r="B1856" s="20" t="s">
        <v>331</v>
      </c>
      <c r="C1856" s="20" t="s">
        <v>1497</v>
      </c>
      <c r="D1856" s="27"/>
    </row>
    <row r="1857">
      <c r="A1857" s="26">
        <v>44644.79865726852</v>
      </c>
      <c r="B1857" s="20" t="s">
        <v>1498</v>
      </c>
      <c r="C1857" s="20" t="s">
        <v>1499</v>
      </c>
      <c r="D1857" s="27"/>
    </row>
    <row r="1858">
      <c r="A1858" s="26">
        <v>44644.79903547454</v>
      </c>
      <c r="B1858" s="20" t="s">
        <v>1498</v>
      </c>
      <c r="C1858" s="20" t="s">
        <v>1500</v>
      </c>
      <c r="D1858" s="27"/>
    </row>
    <row r="1859">
      <c r="A1859" s="26">
        <v>44644.87046290509</v>
      </c>
      <c r="B1859" s="20" t="s">
        <v>67</v>
      </c>
      <c r="C1859" s="20">
        <v>28.0</v>
      </c>
      <c r="D1859" s="27"/>
    </row>
    <row r="1860">
      <c r="A1860" s="26">
        <v>44645.67113510417</v>
      </c>
      <c r="B1860" s="20" t="s">
        <v>1501</v>
      </c>
      <c r="C1860" s="20">
        <v>120.0</v>
      </c>
      <c r="D1860" s="27"/>
    </row>
    <row r="1861">
      <c r="A1861" s="26">
        <v>44645.696156157406</v>
      </c>
      <c r="B1861" s="20" t="s">
        <v>233</v>
      </c>
      <c r="C1861" s="20">
        <v>8.0</v>
      </c>
      <c r="D1861" s="27"/>
    </row>
    <row r="1862">
      <c r="A1862" s="26">
        <v>44645.69919119213</v>
      </c>
      <c r="B1862" s="20" t="s">
        <v>344</v>
      </c>
      <c r="C1862" s="20">
        <v>19.0</v>
      </c>
      <c r="D1862" s="27"/>
    </row>
    <row r="1863">
      <c r="A1863" s="26">
        <v>44645.69982504629</v>
      </c>
      <c r="B1863" s="20" t="s">
        <v>344</v>
      </c>
      <c r="C1863" s="20" t="s">
        <v>1502</v>
      </c>
      <c r="D1863" s="27"/>
    </row>
    <row r="1864">
      <c r="A1864" s="26">
        <v>44645.705441377315</v>
      </c>
      <c r="B1864" s="20" t="s">
        <v>344</v>
      </c>
      <c r="C1864" s="20" t="s">
        <v>1503</v>
      </c>
      <c r="D1864" s="27"/>
    </row>
    <row r="1865">
      <c r="A1865" s="26">
        <v>44645.708273055556</v>
      </c>
      <c r="B1865" s="20" t="s">
        <v>1474</v>
      </c>
      <c r="C1865" s="20" t="s">
        <v>1504</v>
      </c>
      <c r="D1865" s="27"/>
    </row>
    <row r="1866">
      <c r="A1866" s="26">
        <v>44645.70937974537</v>
      </c>
      <c r="B1866" s="20" t="s">
        <v>260</v>
      </c>
      <c r="C1866" s="20">
        <v>20.0</v>
      </c>
      <c r="D1866" s="27"/>
    </row>
    <row r="1867">
      <c r="A1867" s="26">
        <v>44645.709437997684</v>
      </c>
      <c r="B1867" s="20" t="s">
        <v>1474</v>
      </c>
      <c r="C1867" s="20" t="s">
        <v>1505</v>
      </c>
      <c r="D1867" s="27"/>
    </row>
    <row r="1868">
      <c r="A1868" s="26">
        <v>44645.72689586805</v>
      </c>
      <c r="B1868" s="20" t="s">
        <v>193</v>
      </c>
      <c r="C1868" s="20" t="s">
        <v>1506</v>
      </c>
      <c r="D1868" s="27"/>
    </row>
    <row r="1869">
      <c r="A1869" s="26">
        <v>44645.72834189815</v>
      </c>
      <c r="B1869" s="20" t="s">
        <v>193</v>
      </c>
      <c r="C1869" s="20">
        <v>36.0</v>
      </c>
      <c r="D1869" s="27"/>
    </row>
    <row r="1870">
      <c r="A1870" s="26">
        <v>44646.52341081019</v>
      </c>
      <c r="B1870" s="20" t="s">
        <v>861</v>
      </c>
      <c r="C1870" s="20">
        <v>17.0</v>
      </c>
      <c r="D1870" s="27"/>
    </row>
    <row r="1871">
      <c r="A1871" s="26">
        <v>44646.67196175926</v>
      </c>
      <c r="B1871" s="20" t="s">
        <v>971</v>
      </c>
      <c r="C1871" s="20">
        <v>16.0</v>
      </c>
      <c r="D1871" s="27"/>
    </row>
    <row r="1872">
      <c r="A1872" s="26">
        <v>44646.67240696759</v>
      </c>
      <c r="B1872" s="20" t="s">
        <v>49</v>
      </c>
      <c r="C1872" s="20">
        <v>0.0</v>
      </c>
      <c r="D1872" s="27"/>
    </row>
    <row r="1873">
      <c r="A1873" s="26">
        <v>44646.6731834838</v>
      </c>
      <c r="B1873" s="20" t="s">
        <v>1507</v>
      </c>
      <c r="C1873" s="20" t="s">
        <v>1085</v>
      </c>
      <c r="D1873" s="27"/>
    </row>
    <row r="1874">
      <c r="A1874" s="26">
        <v>44646.6766965162</v>
      </c>
      <c r="B1874" s="20" t="s">
        <v>1508</v>
      </c>
      <c r="C1874" s="20" t="s">
        <v>1075</v>
      </c>
      <c r="D1874" s="27"/>
    </row>
    <row r="1875">
      <c r="A1875" s="26">
        <v>44646.6769766088</v>
      </c>
      <c r="B1875" s="20" t="s">
        <v>1509</v>
      </c>
      <c r="C1875" s="20" t="s">
        <v>1510</v>
      </c>
      <c r="D1875" s="27"/>
    </row>
    <row r="1876">
      <c r="A1876" s="26">
        <v>44646.68288633102</v>
      </c>
      <c r="B1876" s="20" t="s">
        <v>1511</v>
      </c>
      <c r="C1876" s="20">
        <v>18.0</v>
      </c>
      <c r="D1876" s="27"/>
    </row>
    <row r="1877">
      <c r="A1877" s="26">
        <v>44646.68312236111</v>
      </c>
      <c r="B1877" s="20" t="s">
        <v>1512</v>
      </c>
      <c r="C1877" s="20" t="s">
        <v>1028</v>
      </c>
      <c r="D1877" s="27"/>
    </row>
    <row r="1878">
      <c r="A1878" s="26">
        <v>44646.683976342596</v>
      </c>
      <c r="B1878" s="20" t="s">
        <v>1513</v>
      </c>
      <c r="C1878" s="20">
        <v>19.0</v>
      </c>
      <c r="D1878" s="27"/>
    </row>
    <row r="1879">
      <c r="A1879" s="26">
        <v>44646.68562391204</v>
      </c>
      <c r="B1879" s="20" t="s">
        <v>1514</v>
      </c>
      <c r="C1879" s="20" t="s">
        <v>1013</v>
      </c>
      <c r="D1879" s="27"/>
    </row>
    <row r="1880">
      <c r="A1880" s="26">
        <v>44646.686104988425</v>
      </c>
      <c r="B1880" s="20" t="s">
        <v>1515</v>
      </c>
      <c r="C1880" s="20" t="s">
        <v>1516</v>
      </c>
      <c r="D1880" s="27"/>
    </row>
    <row r="1881">
      <c r="A1881" s="26">
        <v>44646.68793824074</v>
      </c>
      <c r="B1881" s="20" t="s">
        <v>1517</v>
      </c>
      <c r="C1881" s="20" t="s">
        <v>1085</v>
      </c>
      <c r="D1881" s="27"/>
    </row>
    <row r="1882">
      <c r="A1882" s="26">
        <v>44646.689193067126</v>
      </c>
      <c r="B1882" s="20" t="s">
        <v>1518</v>
      </c>
      <c r="C1882" s="20" t="s">
        <v>1519</v>
      </c>
      <c r="D1882" s="27"/>
    </row>
    <row r="1883">
      <c r="A1883" s="26">
        <v>44646.68947981481</v>
      </c>
      <c r="B1883" s="20" t="s">
        <v>1520</v>
      </c>
      <c r="C1883" s="20">
        <v>12.0</v>
      </c>
      <c r="D1883" s="27"/>
    </row>
    <row r="1884">
      <c r="A1884" s="26">
        <v>44646.68954047454</v>
      </c>
      <c r="B1884" s="20" t="s">
        <v>1521</v>
      </c>
      <c r="C1884" s="20" t="s">
        <v>1522</v>
      </c>
      <c r="D1884" s="27"/>
    </row>
    <row r="1885">
      <c r="A1885" s="26">
        <v>44646.689890995374</v>
      </c>
      <c r="B1885" s="20" t="s">
        <v>1523</v>
      </c>
      <c r="C1885" s="20" t="s">
        <v>1075</v>
      </c>
      <c r="D1885" s="27"/>
    </row>
    <row r="1886">
      <c r="A1886" s="26">
        <v>44646.690644953705</v>
      </c>
      <c r="B1886" s="20" t="s">
        <v>1524</v>
      </c>
      <c r="C1886" s="20">
        <v>5.0</v>
      </c>
      <c r="D1886" s="27"/>
    </row>
    <row r="1887">
      <c r="A1887" s="26">
        <v>44646.69167302083</v>
      </c>
      <c r="B1887" s="20" t="s">
        <v>1525</v>
      </c>
      <c r="C1887" s="20">
        <v>9.0</v>
      </c>
      <c r="D1887" s="27"/>
    </row>
    <row r="1888">
      <c r="A1888" s="26">
        <v>44646.69357396991</v>
      </c>
      <c r="B1888" s="20" t="s">
        <v>1526</v>
      </c>
      <c r="C1888" s="20">
        <v>20.0</v>
      </c>
      <c r="D1888" s="27"/>
    </row>
    <row r="1889">
      <c r="A1889" s="26">
        <v>44646.6937003125</v>
      </c>
      <c r="B1889" s="20" t="s">
        <v>217</v>
      </c>
      <c r="C1889" s="20">
        <v>20.0</v>
      </c>
      <c r="D1889" s="27"/>
    </row>
    <row r="1890">
      <c r="A1890" s="26">
        <v>44646.6939934375</v>
      </c>
      <c r="B1890" s="20" t="s">
        <v>1527</v>
      </c>
      <c r="C1890" s="20">
        <v>20.0</v>
      </c>
      <c r="D1890" s="27"/>
    </row>
    <row r="1891">
      <c r="A1891" s="26">
        <v>44646.694144699075</v>
      </c>
      <c r="B1891" s="20" t="s">
        <v>1528</v>
      </c>
      <c r="C1891" s="20">
        <v>18.0</v>
      </c>
      <c r="D1891" s="27"/>
    </row>
    <row r="1892">
      <c r="A1892" s="26">
        <v>44646.69449043981</v>
      </c>
      <c r="B1892" s="20" t="s">
        <v>1529</v>
      </c>
      <c r="C1892" s="20">
        <v>20.0</v>
      </c>
      <c r="D1892" s="27"/>
    </row>
    <row r="1893">
      <c r="A1893" s="26">
        <v>44646.694690358796</v>
      </c>
      <c r="B1893" s="20" t="s">
        <v>1530</v>
      </c>
      <c r="C1893" s="20" t="s">
        <v>1429</v>
      </c>
      <c r="D1893" s="27"/>
    </row>
    <row r="1894">
      <c r="A1894" s="26">
        <v>44646.69514523148</v>
      </c>
      <c r="B1894" s="20" t="s">
        <v>1531</v>
      </c>
      <c r="C1894" s="20">
        <v>20.0</v>
      </c>
      <c r="D1894" s="27"/>
    </row>
    <row r="1895">
      <c r="A1895" s="26">
        <v>44646.69519303241</v>
      </c>
      <c r="B1895" s="20" t="s">
        <v>1532</v>
      </c>
      <c r="C1895" s="20" t="s">
        <v>999</v>
      </c>
      <c r="D1895" s="27"/>
    </row>
    <row r="1896">
      <c r="A1896" s="26">
        <v>44646.695298252314</v>
      </c>
      <c r="B1896" s="20" t="s">
        <v>1533</v>
      </c>
      <c r="C1896" s="20">
        <v>14.0</v>
      </c>
      <c r="D1896" s="27"/>
    </row>
    <row r="1897">
      <c r="A1897" s="26">
        <v>44646.69556986111</v>
      </c>
      <c r="B1897" s="20" t="s">
        <v>1531</v>
      </c>
      <c r="C1897" s="20" t="s">
        <v>1534</v>
      </c>
      <c r="D1897" s="27"/>
    </row>
    <row r="1898">
      <c r="A1898" s="26">
        <v>44646.70099045139</v>
      </c>
      <c r="B1898" s="20" t="s">
        <v>1417</v>
      </c>
      <c r="C1898" s="20">
        <v>19.0</v>
      </c>
      <c r="D1898" s="27"/>
    </row>
    <row r="1899">
      <c r="A1899" s="26">
        <v>44646.701124513886</v>
      </c>
      <c r="B1899" s="20" t="s">
        <v>1417</v>
      </c>
      <c r="C1899" s="20" t="s">
        <v>1535</v>
      </c>
      <c r="D1899" s="27"/>
    </row>
    <row r="1900">
      <c r="A1900" s="26">
        <v>44646.71438880787</v>
      </c>
      <c r="B1900" s="20" t="s">
        <v>1399</v>
      </c>
      <c r="C1900" s="20">
        <v>12.0</v>
      </c>
      <c r="D1900" s="27"/>
    </row>
    <row r="1901">
      <c r="A1901" s="26">
        <v>44646.714658020835</v>
      </c>
      <c r="B1901" s="20" t="s">
        <v>1536</v>
      </c>
      <c r="C1901" s="20">
        <v>11.0</v>
      </c>
      <c r="D1901" s="27"/>
    </row>
    <row r="1902">
      <c r="A1902" s="26">
        <v>44646.71602068287</v>
      </c>
      <c r="B1902" s="20" t="s">
        <v>637</v>
      </c>
      <c r="C1902" s="20">
        <v>2.0</v>
      </c>
      <c r="D1902" s="27"/>
    </row>
    <row r="1903">
      <c r="A1903" s="26">
        <v>44646.71652751157</v>
      </c>
      <c r="B1903" s="20" t="s">
        <v>284</v>
      </c>
      <c r="C1903" s="20" t="s">
        <v>1179</v>
      </c>
      <c r="D1903" s="27"/>
    </row>
    <row r="1904">
      <c r="A1904" s="26">
        <v>44646.716988935186</v>
      </c>
      <c r="B1904" s="20" t="s">
        <v>284</v>
      </c>
      <c r="C1904" s="20">
        <v>9.0</v>
      </c>
      <c r="D1904" s="27"/>
    </row>
    <row r="1905">
      <c r="A1905" s="26">
        <v>44646.72164413195</v>
      </c>
      <c r="B1905" s="20" t="s">
        <v>67</v>
      </c>
    </row>
    <row r="1906">
      <c r="A1906" s="26">
        <v>44646.72200892361</v>
      </c>
      <c r="B1906" s="20" t="s">
        <v>67</v>
      </c>
      <c r="C1906" s="20">
        <v>20.0</v>
      </c>
      <c r="D1906" s="27"/>
    </row>
    <row r="1907">
      <c r="A1907" s="26">
        <v>44647.652115324076</v>
      </c>
      <c r="B1907" s="20" t="s">
        <v>1537</v>
      </c>
      <c r="C1907" s="20">
        <v>6.0</v>
      </c>
      <c r="D1907" s="27"/>
    </row>
    <row r="1908">
      <c r="A1908" s="26">
        <v>44647.65231305556</v>
      </c>
      <c r="B1908" s="20" t="s">
        <v>1538</v>
      </c>
      <c r="C1908" s="20">
        <v>20.0</v>
      </c>
      <c r="D1908" s="27"/>
    </row>
    <row r="1909">
      <c r="A1909" s="26">
        <v>44647.65311368056</v>
      </c>
      <c r="B1909" s="20" t="s">
        <v>995</v>
      </c>
      <c r="C1909" s="20">
        <v>19.0</v>
      </c>
      <c r="D1909" s="27"/>
    </row>
    <row r="1910">
      <c r="A1910" s="26">
        <v>44647.65399668981</v>
      </c>
      <c r="B1910" s="20" t="s">
        <v>1532</v>
      </c>
      <c r="C1910" s="20">
        <v>18.0</v>
      </c>
      <c r="D1910" s="27"/>
    </row>
    <row r="1911">
      <c r="A1911" s="26">
        <v>44647.65428700231</v>
      </c>
      <c r="B1911" s="20" t="s">
        <v>800</v>
      </c>
      <c r="C1911" s="20" t="s">
        <v>1539</v>
      </c>
      <c r="D1911" s="27"/>
    </row>
    <row r="1912">
      <c r="A1912" s="26">
        <v>44647.65462236111</v>
      </c>
      <c r="B1912" s="20" t="s">
        <v>1532</v>
      </c>
      <c r="C1912" s="20" t="s">
        <v>1540</v>
      </c>
      <c r="D1912" s="27"/>
    </row>
    <row r="1913">
      <c r="A1913" s="26">
        <v>44647.66028597222</v>
      </c>
      <c r="B1913" s="20" t="s">
        <v>888</v>
      </c>
      <c r="C1913" s="20">
        <v>20.0</v>
      </c>
      <c r="D1913" s="27"/>
    </row>
    <row r="1914">
      <c r="A1914" s="26">
        <v>44647.660926192126</v>
      </c>
      <c r="B1914" s="20" t="s">
        <v>1541</v>
      </c>
      <c r="C1914" s="20" t="s">
        <v>1429</v>
      </c>
      <c r="D1914" s="27"/>
    </row>
    <row r="1915">
      <c r="A1915" s="26">
        <v>44647.66291375</v>
      </c>
      <c r="B1915" s="20" t="s">
        <v>1430</v>
      </c>
      <c r="C1915" s="20">
        <v>6.0</v>
      </c>
      <c r="D1915" s="27"/>
    </row>
    <row r="1916">
      <c r="A1916" s="26">
        <v>44647.694869224535</v>
      </c>
      <c r="B1916" s="20" t="s">
        <v>67</v>
      </c>
      <c r="C1916" s="20">
        <v>43.0</v>
      </c>
      <c r="D1916" s="27"/>
    </row>
    <row r="1917">
      <c r="A1917" s="26">
        <v>44649.7001087963</v>
      </c>
      <c r="B1917" s="20" t="s">
        <v>203</v>
      </c>
      <c r="C1917" s="20">
        <v>20.0</v>
      </c>
      <c r="D1917" s="27"/>
    </row>
    <row r="1918">
      <c r="A1918" s="26">
        <v>44649.70026835648</v>
      </c>
      <c r="B1918" s="20" t="s">
        <v>203</v>
      </c>
      <c r="C1918" s="20" t="s">
        <v>1070</v>
      </c>
      <c r="D1918" s="27"/>
    </row>
    <row r="1919">
      <c r="A1919" s="26">
        <v>44649.701767708335</v>
      </c>
      <c r="B1919" s="20" t="s">
        <v>962</v>
      </c>
      <c r="C1919" s="20" t="s">
        <v>1405</v>
      </c>
      <c r="D1919" s="27"/>
    </row>
    <row r="1920">
      <c r="A1920" s="26">
        <v>44649.70186597222</v>
      </c>
      <c r="B1920" s="20" t="s">
        <v>1542</v>
      </c>
      <c r="C1920" s="20">
        <v>19.0</v>
      </c>
      <c r="D1920" s="27"/>
    </row>
    <row r="1921">
      <c r="A1921" s="26">
        <v>44649.70210622685</v>
      </c>
      <c r="B1921" s="20" t="s">
        <v>1037</v>
      </c>
      <c r="C1921" s="20">
        <v>10.0</v>
      </c>
      <c r="D1921" s="27"/>
    </row>
    <row r="1922">
      <c r="A1922" s="26">
        <v>44649.70549460648</v>
      </c>
      <c r="B1922" s="20" t="s">
        <v>203</v>
      </c>
      <c r="C1922" s="20">
        <v>1.0</v>
      </c>
      <c r="D1922" s="27"/>
    </row>
    <row r="1923">
      <c r="A1923" s="26">
        <v>44649.71235342593</v>
      </c>
      <c r="B1923" s="20" t="s">
        <v>1543</v>
      </c>
      <c r="C1923" s="20">
        <v>14.0</v>
      </c>
      <c r="D1923" s="27"/>
    </row>
    <row r="1924">
      <c r="A1924" s="26">
        <v>44649.71245877315</v>
      </c>
      <c r="B1924" s="20" t="s">
        <v>995</v>
      </c>
      <c r="C1924" s="20">
        <v>19.0</v>
      </c>
      <c r="D1924" s="27"/>
    </row>
    <row r="1925">
      <c r="A1925" s="26">
        <v>44649.71251515046</v>
      </c>
      <c r="B1925" s="20" t="s">
        <v>266</v>
      </c>
      <c r="C1925" s="20" t="s">
        <v>1544</v>
      </c>
      <c r="D1925" s="27"/>
    </row>
    <row r="1926">
      <c r="A1926" s="26">
        <v>44649.71270846065</v>
      </c>
      <c r="B1926" s="20" t="s">
        <v>284</v>
      </c>
      <c r="C1926" s="20">
        <v>13.0</v>
      </c>
      <c r="D1926" s="27"/>
    </row>
    <row r="1927">
      <c r="A1927" s="26">
        <v>44649.71432835648</v>
      </c>
      <c r="B1927" s="20" t="s">
        <v>1545</v>
      </c>
      <c r="C1927" s="20">
        <v>23.0</v>
      </c>
      <c r="D1927" s="27"/>
    </row>
    <row r="1928">
      <c r="A1928" s="26">
        <v>44649.723038819444</v>
      </c>
      <c r="B1928" s="20" t="s">
        <v>67</v>
      </c>
      <c r="C1928" s="20">
        <v>27.0</v>
      </c>
      <c r="D1928" s="27"/>
    </row>
    <row r="1929">
      <c r="A1929" s="26">
        <v>44649.72433282407</v>
      </c>
      <c r="B1929" s="20" t="s">
        <v>384</v>
      </c>
      <c r="C1929" s="20">
        <v>6.0</v>
      </c>
      <c r="D1929" s="27"/>
    </row>
    <row r="1930">
      <c r="A1930" s="26">
        <v>44649.72449278935</v>
      </c>
      <c r="B1930" s="20" t="s">
        <v>1546</v>
      </c>
      <c r="C1930" s="20">
        <v>5.0</v>
      </c>
      <c r="D1930" s="27"/>
    </row>
    <row r="1931">
      <c r="A1931" s="26">
        <v>44650.71945390046</v>
      </c>
      <c r="B1931" s="20" t="s">
        <v>193</v>
      </c>
      <c r="C1931" s="20" t="s">
        <v>1547</v>
      </c>
      <c r="D1931" s="27"/>
    </row>
    <row r="1932">
      <c r="A1932" s="26">
        <v>44650.72488847222</v>
      </c>
      <c r="B1932" s="20" t="s">
        <v>366</v>
      </c>
      <c r="C1932" s="20" t="s">
        <v>1548</v>
      </c>
      <c r="D1932" s="27"/>
    </row>
    <row r="1933">
      <c r="A1933" s="26">
        <v>44650.725466793985</v>
      </c>
      <c r="B1933" s="20" t="s">
        <v>366</v>
      </c>
      <c r="C1933" s="20" t="s">
        <v>1549</v>
      </c>
      <c r="D1933" s="27"/>
    </row>
    <row r="1934">
      <c r="A1934" s="26">
        <v>44650.73211961806</v>
      </c>
      <c r="B1934" s="20" t="s">
        <v>193</v>
      </c>
      <c r="C1934" s="20">
        <v>18.0</v>
      </c>
      <c r="D1934" s="27"/>
    </row>
    <row r="1935">
      <c r="A1935" s="26">
        <v>44650.733634432865</v>
      </c>
      <c r="B1935" s="20" t="s">
        <v>177</v>
      </c>
      <c r="C1935" s="20">
        <v>20.0</v>
      </c>
      <c r="D1935" s="27"/>
    </row>
    <row r="1936">
      <c r="A1936" s="26">
        <v>44650.73374915509</v>
      </c>
      <c r="B1936" s="20" t="s">
        <v>235</v>
      </c>
      <c r="C1936" s="20">
        <v>8.0</v>
      </c>
      <c r="D1936" s="27"/>
    </row>
    <row r="1937">
      <c r="A1937" s="26">
        <v>44650.86436953704</v>
      </c>
      <c r="B1937" s="20" t="s">
        <v>786</v>
      </c>
      <c r="C1937" s="20">
        <v>17.0</v>
      </c>
      <c r="D1937" s="27"/>
    </row>
    <row r="1938">
      <c r="A1938" s="26">
        <v>44650.86483827546</v>
      </c>
      <c r="B1938" s="20" t="s">
        <v>804</v>
      </c>
      <c r="C1938" s="20" t="s">
        <v>1550</v>
      </c>
      <c r="D1938" s="27"/>
    </row>
    <row r="1939">
      <c r="A1939" s="26">
        <v>44650.870159513885</v>
      </c>
      <c r="B1939" s="20" t="s">
        <v>1551</v>
      </c>
      <c r="C1939" s="20" t="s">
        <v>1552</v>
      </c>
      <c r="D1939" s="27"/>
    </row>
    <row r="1940">
      <c r="A1940" s="26">
        <v>44650.87055584491</v>
      </c>
      <c r="B1940" s="20" t="s">
        <v>214</v>
      </c>
      <c r="C1940" s="20" t="s">
        <v>1553</v>
      </c>
      <c r="D1940" s="27"/>
    </row>
    <row r="1941">
      <c r="A1941" s="26">
        <v>44650.873556666666</v>
      </c>
      <c r="B1941" s="20" t="s">
        <v>1158</v>
      </c>
      <c r="C1941" s="20" t="s">
        <v>1554</v>
      </c>
      <c r="D1941" s="27"/>
    </row>
    <row r="1942">
      <c r="A1942" s="26">
        <v>44651.66896412037</v>
      </c>
      <c r="B1942" s="20" t="s">
        <v>1555</v>
      </c>
      <c r="C1942" s="20">
        <v>5.0</v>
      </c>
      <c r="D1942" s="27"/>
    </row>
    <row r="1943">
      <c r="A1943" s="26">
        <v>44651.70091072917</v>
      </c>
      <c r="B1943" s="20" t="s">
        <v>1556</v>
      </c>
      <c r="C1943" s="20">
        <v>28.0</v>
      </c>
      <c r="D1943" s="27"/>
    </row>
    <row r="1944">
      <c r="A1944" s="26">
        <v>44651.70212960648</v>
      </c>
      <c r="B1944" s="20" t="s">
        <v>1557</v>
      </c>
      <c r="C1944" s="20">
        <v>4.0</v>
      </c>
      <c r="D1944" s="27"/>
    </row>
    <row r="1945">
      <c r="A1945" s="26">
        <v>44651.70236119213</v>
      </c>
      <c r="B1945" s="20" t="s">
        <v>1558</v>
      </c>
      <c r="C1945" s="20">
        <v>16.0</v>
      </c>
      <c r="D1945" s="27"/>
    </row>
    <row r="1946">
      <c r="A1946" s="26">
        <v>44651.70870358797</v>
      </c>
      <c r="B1946" s="20" t="s">
        <v>366</v>
      </c>
      <c r="C1946" s="20">
        <v>21.0</v>
      </c>
      <c r="D1946" s="27"/>
    </row>
    <row r="1947">
      <c r="A1947" s="26">
        <v>44651.710289780094</v>
      </c>
      <c r="B1947" s="20" t="s">
        <v>760</v>
      </c>
      <c r="C1947" s="20">
        <v>18.0</v>
      </c>
      <c r="D1947" s="27"/>
    </row>
    <row r="1948">
      <c r="A1948" s="26">
        <v>44651.71065835648</v>
      </c>
      <c r="B1948" s="20" t="s">
        <v>235</v>
      </c>
      <c r="C1948" s="20">
        <v>15.0</v>
      </c>
      <c r="D1948" s="27"/>
    </row>
    <row r="1949">
      <c r="A1949" s="26">
        <v>44651.71571451389</v>
      </c>
      <c r="B1949" s="20" t="s">
        <v>1559</v>
      </c>
      <c r="C1949" s="20">
        <v>19.0</v>
      </c>
      <c r="D1949" s="27"/>
    </row>
    <row r="1950">
      <c r="A1950" s="26">
        <v>44651.71635261574</v>
      </c>
      <c r="B1950" s="20" t="s">
        <v>1560</v>
      </c>
      <c r="C1950" s="20">
        <v>19.0</v>
      </c>
      <c r="D1950" s="27"/>
    </row>
    <row r="1951">
      <c r="A1951" s="26">
        <v>44651.717056180554</v>
      </c>
      <c r="B1951" s="20" t="s">
        <v>1399</v>
      </c>
      <c r="C1951" s="20">
        <v>10.0</v>
      </c>
      <c r="D1951" s="27"/>
    </row>
    <row r="1952">
      <c r="A1952" s="26">
        <v>44651.7215550463</v>
      </c>
      <c r="B1952" s="20" t="s">
        <v>608</v>
      </c>
      <c r="C1952" s="20">
        <v>6.0</v>
      </c>
      <c r="D1952" s="27"/>
    </row>
    <row r="1953">
      <c r="A1953" s="26">
        <v>44651.72175681713</v>
      </c>
      <c r="B1953" s="20" t="s">
        <v>1561</v>
      </c>
      <c r="C1953" s="20">
        <v>3.0</v>
      </c>
      <c r="D1953" s="27"/>
    </row>
    <row r="1954">
      <c r="A1954" s="26">
        <v>44651.7227615625</v>
      </c>
      <c r="B1954" s="20" t="s">
        <v>962</v>
      </c>
      <c r="C1954" s="20">
        <v>21.0</v>
      </c>
      <c r="D1954" s="27"/>
    </row>
    <row r="1955">
      <c r="A1955" s="26">
        <v>44651.722879699075</v>
      </c>
      <c r="B1955" s="20" t="s">
        <v>242</v>
      </c>
      <c r="C1955" s="20">
        <v>51.0</v>
      </c>
      <c r="D1955" s="27"/>
    </row>
    <row r="1956">
      <c r="A1956" s="26">
        <v>44651.83622034722</v>
      </c>
      <c r="B1956" s="20" t="s">
        <v>67</v>
      </c>
      <c r="C1956" s="20">
        <v>68.0</v>
      </c>
      <c r="D1956" s="27"/>
    </row>
    <row r="1957">
      <c r="A1957" s="26">
        <v>44651.85849802083</v>
      </c>
      <c r="B1957" s="20" t="s">
        <v>1052</v>
      </c>
      <c r="C1957" s="20" t="s">
        <v>1053</v>
      </c>
      <c r="D1957" s="27"/>
    </row>
    <row r="1958">
      <c r="A1958" s="26">
        <v>44651.85896128472</v>
      </c>
      <c r="B1958" s="20" t="s">
        <v>1562</v>
      </c>
      <c r="C1958" s="20">
        <v>5.0</v>
      </c>
      <c r="D1958" s="27"/>
    </row>
    <row r="1959">
      <c r="A1959" s="26">
        <v>44651.86557875</v>
      </c>
      <c r="B1959" s="20" t="s">
        <v>63</v>
      </c>
      <c r="C1959" s="20">
        <v>8.0</v>
      </c>
      <c r="D1959" s="27"/>
    </row>
    <row r="1960">
      <c r="A1960" s="26">
        <v>44651.86570451389</v>
      </c>
      <c r="B1960" s="20" t="s">
        <v>770</v>
      </c>
      <c r="C1960" s="20">
        <v>20.0</v>
      </c>
      <c r="D1960" s="27"/>
    </row>
    <row r="1961">
      <c r="A1961" s="26">
        <v>44652.68254841435</v>
      </c>
      <c r="B1961" s="20" t="s">
        <v>366</v>
      </c>
      <c r="C1961" s="20" t="s">
        <v>1563</v>
      </c>
      <c r="D1961" s="27"/>
    </row>
    <row r="1962">
      <c r="A1962" s="26">
        <v>44652.68444013889</v>
      </c>
      <c r="B1962" s="20" t="s">
        <v>366</v>
      </c>
      <c r="C1962" s="20" t="s">
        <v>1564</v>
      </c>
      <c r="D1962" s="27"/>
    </row>
    <row r="1963">
      <c r="A1963" s="26">
        <v>44652.69244063657</v>
      </c>
      <c r="B1963" s="20" t="s">
        <v>344</v>
      </c>
      <c r="C1963" s="20">
        <v>20.0</v>
      </c>
      <c r="D1963" s="27"/>
    </row>
    <row r="1964">
      <c r="A1964" s="26">
        <v>44652.692612858795</v>
      </c>
      <c r="B1964" s="20" t="s">
        <v>344</v>
      </c>
      <c r="C1964" s="20" t="s">
        <v>1206</v>
      </c>
      <c r="D1964" s="27"/>
    </row>
    <row r="1965">
      <c r="A1965" s="26">
        <v>44652.69351111111</v>
      </c>
      <c r="B1965" s="20" t="s">
        <v>260</v>
      </c>
      <c r="C1965" s="20">
        <v>20.0</v>
      </c>
      <c r="D1965" s="27"/>
    </row>
    <row r="1966">
      <c r="A1966" s="26">
        <v>44652.703153263894</v>
      </c>
      <c r="B1966" s="20" t="s">
        <v>233</v>
      </c>
      <c r="C1966" s="20">
        <v>9.0</v>
      </c>
      <c r="D1966" s="27"/>
    </row>
    <row r="1967">
      <c r="A1967" s="26">
        <v>44652.71210314815</v>
      </c>
      <c r="B1967" s="20" t="s">
        <v>288</v>
      </c>
      <c r="C1967" s="20">
        <v>13.0</v>
      </c>
      <c r="D1967" s="27"/>
    </row>
    <row r="1968">
      <c r="A1968" s="26">
        <v>44653.556237349534</v>
      </c>
      <c r="B1968" s="20" t="s">
        <v>110</v>
      </c>
      <c r="C1968" s="20">
        <v>35.0</v>
      </c>
      <c r="D1968" s="27"/>
    </row>
    <row r="1969">
      <c r="A1969" s="26">
        <v>44653.69344028935</v>
      </c>
      <c r="B1969" s="20" t="s">
        <v>112</v>
      </c>
      <c r="C1969" s="20">
        <v>21.0</v>
      </c>
      <c r="D1969" s="27"/>
    </row>
    <row r="1970">
      <c r="A1970" s="26">
        <v>44653.69417644676</v>
      </c>
      <c r="B1970" s="20" t="s">
        <v>1565</v>
      </c>
      <c r="C1970" s="20">
        <v>19.0</v>
      </c>
      <c r="D1970" s="27"/>
    </row>
    <row r="1971">
      <c r="A1971" s="26">
        <v>44653.70038034722</v>
      </c>
      <c r="B1971" s="20" t="s">
        <v>300</v>
      </c>
      <c r="C1971" s="20" t="s">
        <v>1012</v>
      </c>
      <c r="D1971" s="27"/>
    </row>
    <row r="1972">
      <c r="A1972" s="26">
        <v>44653.70400563657</v>
      </c>
      <c r="B1972" s="20" t="s">
        <v>1566</v>
      </c>
      <c r="C1972" s="20">
        <v>18.0</v>
      </c>
      <c r="D1972" s="27"/>
    </row>
    <row r="1973">
      <c r="A1973" s="26">
        <v>44653.704544189815</v>
      </c>
      <c r="B1973" s="20" t="s">
        <v>1567</v>
      </c>
      <c r="C1973" s="20">
        <v>19.0</v>
      </c>
      <c r="D1973" s="27"/>
    </row>
    <row r="1974">
      <c r="A1974" s="26">
        <v>44653.70511697917</v>
      </c>
      <c r="B1974" s="20" t="s">
        <v>1568</v>
      </c>
      <c r="C1974" s="20">
        <v>18.0</v>
      </c>
      <c r="D1974" s="27"/>
    </row>
    <row r="1975">
      <c r="A1975" s="26">
        <v>44653.70735383102</v>
      </c>
      <c r="B1975" s="20" t="s">
        <v>1103</v>
      </c>
      <c r="C1975" s="20">
        <v>20.0</v>
      </c>
      <c r="D1975" s="27"/>
    </row>
    <row r="1976">
      <c r="A1976" s="26">
        <v>44653.70823065972</v>
      </c>
      <c r="B1976" s="20" t="s">
        <v>971</v>
      </c>
      <c r="C1976" s="20">
        <v>19.0</v>
      </c>
      <c r="D1976" s="27"/>
    </row>
    <row r="1977">
      <c r="A1977" s="26">
        <v>44653.70845414352</v>
      </c>
      <c r="B1977" s="20" t="s">
        <v>1569</v>
      </c>
      <c r="C1977" s="20">
        <v>20.0</v>
      </c>
      <c r="D1977" s="27"/>
    </row>
    <row r="1978">
      <c r="A1978" s="26">
        <v>44653.70890834491</v>
      </c>
      <c r="B1978" s="20" t="s">
        <v>1570</v>
      </c>
      <c r="C1978" s="20">
        <v>14.0</v>
      </c>
      <c r="D1978" s="27"/>
    </row>
    <row r="1979">
      <c r="A1979" s="26">
        <v>44653.7090684375</v>
      </c>
      <c r="B1979" s="20" t="s">
        <v>235</v>
      </c>
      <c r="C1979" s="20">
        <v>6.0</v>
      </c>
      <c r="D1979" s="27"/>
    </row>
    <row r="1980">
      <c r="A1980" s="26">
        <v>44653.70928142361</v>
      </c>
      <c r="B1980" s="20" t="s">
        <v>285</v>
      </c>
      <c r="C1980" s="20">
        <v>14.0</v>
      </c>
      <c r="D1980" s="27"/>
    </row>
    <row r="1981">
      <c r="A1981" s="26">
        <v>44653.713388749995</v>
      </c>
      <c r="B1981" s="20" t="s">
        <v>1571</v>
      </c>
      <c r="C1981" s="20">
        <v>19.0</v>
      </c>
      <c r="D1981" s="27"/>
    </row>
    <row r="1982">
      <c r="A1982" s="26">
        <v>44653.713829976856</v>
      </c>
      <c r="B1982" s="20" t="s">
        <v>1572</v>
      </c>
      <c r="C1982" s="20">
        <v>16.0</v>
      </c>
      <c r="D1982" s="27"/>
    </row>
    <row r="1983">
      <c r="A1983" s="26">
        <v>44653.714445150465</v>
      </c>
      <c r="B1983" s="20" t="s">
        <v>1573</v>
      </c>
      <c r="C1983" s="20">
        <v>16.0</v>
      </c>
      <c r="D1983" s="27"/>
    </row>
    <row r="1984">
      <c r="A1984" s="26">
        <v>44653.717413171296</v>
      </c>
      <c r="B1984" s="20" t="s">
        <v>1574</v>
      </c>
      <c r="C1984" s="20" t="s">
        <v>1575</v>
      </c>
      <c r="D1984" s="27"/>
    </row>
    <row r="1985">
      <c r="A1985" s="26">
        <v>44653.71946516204</v>
      </c>
      <c r="B1985" s="20" t="s">
        <v>637</v>
      </c>
      <c r="C1985" s="20">
        <v>14.0</v>
      </c>
      <c r="D1985" s="27"/>
    </row>
    <row r="1986">
      <c r="A1986" s="26">
        <v>44653.723114444445</v>
      </c>
      <c r="B1986" s="20" t="s">
        <v>1576</v>
      </c>
      <c r="C1986" s="20">
        <v>5.0</v>
      </c>
      <c r="D1986" s="27"/>
    </row>
    <row r="1987">
      <c r="A1987" s="26">
        <v>44654.651592395836</v>
      </c>
      <c r="B1987" s="20" t="s">
        <v>1577</v>
      </c>
      <c r="C1987" s="20">
        <v>5.0</v>
      </c>
      <c r="D1987" s="27"/>
    </row>
    <row r="1988">
      <c r="A1988" s="26">
        <v>44654.652127002315</v>
      </c>
      <c r="B1988" s="20" t="s">
        <v>1578</v>
      </c>
      <c r="C1988" s="20">
        <v>17.0</v>
      </c>
      <c r="D1988" s="27"/>
    </row>
    <row r="1989">
      <c r="A1989" s="26">
        <v>44654.655952002315</v>
      </c>
      <c r="B1989" s="20" t="s">
        <v>995</v>
      </c>
      <c r="C1989" s="20">
        <v>16.0</v>
      </c>
      <c r="D1989" s="27"/>
    </row>
    <row r="1990">
      <c r="A1990" s="26">
        <v>44654.65623069444</v>
      </c>
      <c r="B1990" s="20" t="s">
        <v>1430</v>
      </c>
      <c r="C1990" s="20">
        <v>16.0</v>
      </c>
      <c r="D1990" s="27"/>
    </row>
    <row r="1991">
      <c r="A1991" s="26">
        <v>44654.657734189816</v>
      </c>
      <c r="B1991" s="20" t="s">
        <v>800</v>
      </c>
      <c r="C1991" s="20" t="s">
        <v>1579</v>
      </c>
      <c r="D1991" s="27"/>
    </row>
    <row r="1992">
      <c r="A1992" s="26">
        <v>44654.65868221065</v>
      </c>
      <c r="B1992" s="20" t="s">
        <v>79</v>
      </c>
      <c r="C1992" s="20">
        <v>19.0</v>
      </c>
      <c r="D1992" s="27"/>
    </row>
    <row r="1993">
      <c r="A1993" s="26">
        <v>44654.65881606481</v>
      </c>
      <c r="B1993" s="20" t="s">
        <v>982</v>
      </c>
      <c r="C1993" s="20">
        <v>20.0</v>
      </c>
      <c r="D1993" s="27"/>
    </row>
    <row r="1994">
      <c r="A1994" s="26">
        <v>44654.65896509259</v>
      </c>
      <c r="B1994" s="20" t="s">
        <v>1580</v>
      </c>
      <c r="C1994" s="20">
        <v>4.0</v>
      </c>
      <c r="D1994" s="27"/>
    </row>
    <row r="1995">
      <c r="A1995" s="26">
        <v>44654.659149513885</v>
      </c>
      <c r="B1995" s="20" t="s">
        <v>214</v>
      </c>
      <c r="C1995" s="20" t="s">
        <v>1581</v>
      </c>
      <c r="D1995" s="27"/>
    </row>
    <row r="1996">
      <c r="A1996" s="26">
        <v>44654.66510861111</v>
      </c>
      <c r="B1996" s="20" t="s">
        <v>1350</v>
      </c>
      <c r="C1996" s="20" t="s">
        <v>1582</v>
      </c>
      <c r="D1996" s="27"/>
    </row>
    <row r="1997">
      <c r="A1997" s="26">
        <v>44654.693814502316</v>
      </c>
      <c r="B1997" s="20" t="s">
        <v>67</v>
      </c>
      <c r="C1997" s="20">
        <v>34.0</v>
      </c>
      <c r="D1997" s="27"/>
    </row>
    <row r="1998">
      <c r="A1998" s="26">
        <v>44654.69791112268</v>
      </c>
      <c r="B1998" s="20" t="s">
        <v>67</v>
      </c>
      <c r="C1998" s="20">
        <v>31.0</v>
      </c>
      <c r="D1998" s="27"/>
    </row>
    <row r="1999">
      <c r="A1999" s="26">
        <v>44656.69859976852</v>
      </c>
      <c r="B1999" s="20" t="s">
        <v>1583</v>
      </c>
      <c r="C1999" s="20">
        <v>10.0</v>
      </c>
      <c r="D1999" s="27"/>
    </row>
    <row r="2000">
      <c r="A2000" s="26">
        <v>44656.698885844904</v>
      </c>
      <c r="B2000" s="20" t="s">
        <v>285</v>
      </c>
      <c r="C2000" s="20">
        <v>10.0</v>
      </c>
      <c r="D2000" s="27"/>
    </row>
    <row r="2001">
      <c r="A2001" s="26">
        <v>44656.69985959491</v>
      </c>
      <c r="B2001" s="20" t="s">
        <v>528</v>
      </c>
      <c r="C2001" s="20">
        <v>20.0</v>
      </c>
      <c r="D2001" s="27"/>
    </row>
    <row r="2002">
      <c r="A2002" s="26">
        <v>44656.70012542824</v>
      </c>
      <c r="B2002" s="20" t="s">
        <v>1430</v>
      </c>
      <c r="C2002" s="20">
        <v>14.0</v>
      </c>
      <c r="D2002" s="27"/>
    </row>
    <row r="2003">
      <c r="A2003" s="26">
        <v>44656.7032484838</v>
      </c>
      <c r="B2003" s="20" t="s">
        <v>193</v>
      </c>
      <c r="C2003" s="20">
        <v>23.0</v>
      </c>
      <c r="D2003" s="27"/>
    </row>
    <row r="2004">
      <c r="A2004" s="26">
        <v>44656.7033919213</v>
      </c>
      <c r="B2004" s="20" t="s">
        <v>1546</v>
      </c>
      <c r="C2004" s="20">
        <v>18.0</v>
      </c>
      <c r="D2004" s="27"/>
    </row>
    <row r="2005">
      <c r="A2005" s="26">
        <v>44656.70345122685</v>
      </c>
      <c r="B2005" s="20" t="s">
        <v>193</v>
      </c>
      <c r="C2005" s="20" t="s">
        <v>1584</v>
      </c>
      <c r="D2005" s="27"/>
    </row>
    <row r="2006">
      <c r="A2006" s="26">
        <v>44656.70354585648</v>
      </c>
      <c r="B2006" s="20" t="s">
        <v>384</v>
      </c>
      <c r="C2006" s="20">
        <v>18.0</v>
      </c>
      <c r="D2006" s="27"/>
    </row>
    <row r="2007">
      <c r="A2007" s="26">
        <v>44656.70852590278</v>
      </c>
      <c r="B2007" s="20" t="s">
        <v>1333</v>
      </c>
      <c r="C2007" s="20">
        <v>9.0</v>
      </c>
      <c r="D2007" s="27"/>
    </row>
    <row r="2008">
      <c r="A2008" s="26">
        <v>44656.70911211806</v>
      </c>
      <c r="B2008" s="20" t="s">
        <v>1585</v>
      </c>
      <c r="C2008" s="20">
        <v>24.0</v>
      </c>
      <c r="D2008" s="27"/>
    </row>
    <row r="2009">
      <c r="A2009" s="26">
        <v>44656.7093358912</v>
      </c>
      <c r="B2009" s="20" t="s">
        <v>163</v>
      </c>
      <c r="C2009" s="20">
        <v>28.0</v>
      </c>
      <c r="D2009" s="27"/>
    </row>
    <row r="2010">
      <c r="A2010" s="26">
        <v>44657.709133171295</v>
      </c>
      <c r="B2010" s="20" t="s">
        <v>366</v>
      </c>
      <c r="C2010" s="20" t="s">
        <v>1586</v>
      </c>
      <c r="D2010" s="27"/>
    </row>
    <row r="2011">
      <c r="A2011" s="26">
        <v>44657.71048743055</v>
      </c>
      <c r="B2011" s="20" t="s">
        <v>366</v>
      </c>
      <c r="C2011" s="20" t="s">
        <v>1587</v>
      </c>
      <c r="D2011" s="27"/>
    </row>
    <row r="2012">
      <c r="A2012" s="26">
        <v>44657.8719547338</v>
      </c>
      <c r="B2012" s="20" t="s">
        <v>1551</v>
      </c>
      <c r="C2012" s="20">
        <v>19.0</v>
      </c>
      <c r="D2012" s="27"/>
    </row>
    <row r="2013">
      <c r="A2013" s="26">
        <v>44657.872050798615</v>
      </c>
      <c r="B2013" s="20" t="s">
        <v>787</v>
      </c>
      <c r="C2013" s="20">
        <v>20.0</v>
      </c>
      <c r="D2013" s="27"/>
    </row>
    <row r="2014">
      <c r="A2014" s="26">
        <v>44657.872299525465</v>
      </c>
      <c r="B2014" s="20" t="s">
        <v>235</v>
      </c>
      <c r="C2014" s="20">
        <v>6.0</v>
      </c>
      <c r="D2014" s="27"/>
    </row>
    <row r="2015">
      <c r="A2015" s="26">
        <v>44657.87266680556</v>
      </c>
      <c r="B2015" s="20" t="s">
        <v>1588</v>
      </c>
      <c r="C2015" s="20" t="s">
        <v>1589</v>
      </c>
      <c r="D2015" s="27"/>
    </row>
    <row r="2016">
      <c r="A2016" s="26">
        <v>44657.87838465278</v>
      </c>
      <c r="B2016" s="20" t="s">
        <v>1590</v>
      </c>
      <c r="C2016" s="20" t="s">
        <v>1591</v>
      </c>
      <c r="D2016" s="27"/>
    </row>
    <row r="2017">
      <c r="A2017" s="26">
        <v>44657.886450543985</v>
      </c>
      <c r="B2017" s="20" t="s">
        <v>784</v>
      </c>
      <c r="C2017" s="20">
        <v>20.0</v>
      </c>
      <c r="D2017" s="27"/>
    </row>
    <row r="2018">
      <c r="A2018" s="26">
        <v>44657.8865659838</v>
      </c>
      <c r="B2018" s="20" t="s">
        <v>242</v>
      </c>
      <c r="C2018" s="20">
        <v>5.0</v>
      </c>
      <c r="D2018" s="27"/>
    </row>
    <row r="2019">
      <c r="A2019" s="26">
        <v>44657.93413678241</v>
      </c>
      <c r="B2019" s="20" t="s">
        <v>67</v>
      </c>
      <c r="C2019" s="20">
        <v>50.0</v>
      </c>
      <c r="D2019" s="27"/>
    </row>
    <row r="2020">
      <c r="A2020" s="26">
        <v>44658.69884074074</v>
      </c>
      <c r="B2020" s="20" t="s">
        <v>242</v>
      </c>
      <c r="C2020" s="20">
        <v>25.0</v>
      </c>
      <c r="D2020" s="27"/>
    </row>
    <row r="2021">
      <c r="A2021" s="26">
        <v>44658.70267517361</v>
      </c>
      <c r="B2021" s="20" t="s">
        <v>886</v>
      </c>
      <c r="C2021" s="20">
        <v>10.0</v>
      </c>
      <c r="D2021" s="27"/>
    </row>
    <row r="2022">
      <c r="A2022" s="26">
        <v>44658.705642685185</v>
      </c>
      <c r="B2022" s="20" t="s">
        <v>1558</v>
      </c>
      <c r="C2022" s="20">
        <v>20.0</v>
      </c>
      <c r="D2022" s="27"/>
    </row>
    <row r="2023">
      <c r="A2023" s="26">
        <v>44658.860935289355</v>
      </c>
      <c r="B2023" s="20" t="s">
        <v>1562</v>
      </c>
      <c r="C2023" s="20">
        <v>11.0</v>
      </c>
      <c r="D2023" s="27"/>
    </row>
    <row r="2024">
      <c r="A2024" s="26">
        <v>44658.870991805554</v>
      </c>
      <c r="B2024" s="20" t="s">
        <v>67</v>
      </c>
      <c r="C2024" s="20">
        <v>27.0</v>
      </c>
      <c r="D2024" s="27"/>
    </row>
    <row r="2025">
      <c r="A2025" s="26">
        <v>44659.699288171294</v>
      </c>
      <c r="B2025" s="20" t="s">
        <v>922</v>
      </c>
      <c r="C2025" s="20" t="s">
        <v>1592</v>
      </c>
      <c r="D2025" s="27"/>
    </row>
    <row r="2026">
      <c r="A2026" s="26">
        <v>44659.700872256944</v>
      </c>
      <c r="B2026" s="20" t="s">
        <v>344</v>
      </c>
      <c r="C2026" s="20">
        <v>20.0</v>
      </c>
      <c r="D2026" s="27"/>
    </row>
    <row r="2027">
      <c r="A2027" s="26">
        <v>44659.70289560185</v>
      </c>
      <c r="B2027" s="20" t="s">
        <v>344</v>
      </c>
      <c r="C2027" s="20" t="s">
        <v>1503</v>
      </c>
      <c r="D2027" s="27"/>
    </row>
    <row r="2028">
      <c r="A2028" s="26">
        <v>44659.70649496528</v>
      </c>
      <c r="B2028" s="20" t="s">
        <v>233</v>
      </c>
      <c r="C2028" s="20">
        <v>5.0</v>
      </c>
      <c r="D2028" s="27"/>
    </row>
    <row r="2029">
      <c r="A2029" s="26">
        <v>44659.70784392361</v>
      </c>
      <c r="B2029" s="20" t="s">
        <v>366</v>
      </c>
      <c r="C2029" s="20" t="s">
        <v>1593</v>
      </c>
      <c r="D2029" s="27"/>
    </row>
    <row r="2030">
      <c r="A2030" s="26">
        <v>44659.71150238426</v>
      </c>
      <c r="B2030" s="20" t="s">
        <v>366</v>
      </c>
      <c r="C2030" s="20" t="s">
        <v>1594</v>
      </c>
      <c r="D2030" s="27"/>
    </row>
    <row r="2031">
      <c r="A2031" s="26">
        <v>44660.6718090625</v>
      </c>
      <c r="B2031" s="20" t="s">
        <v>1595</v>
      </c>
      <c r="C2031" s="20">
        <v>20.0</v>
      </c>
      <c r="D2031" s="27"/>
    </row>
    <row r="2032">
      <c r="A2032" s="26">
        <v>44660.67272519676</v>
      </c>
      <c r="B2032" s="20" t="s">
        <v>1413</v>
      </c>
      <c r="C2032" s="20" t="s">
        <v>1101</v>
      </c>
      <c r="D2032" s="27"/>
    </row>
    <row r="2033">
      <c r="A2033" s="26">
        <v>44660.69066332176</v>
      </c>
      <c r="B2033" s="20" t="s">
        <v>1596</v>
      </c>
      <c r="C2033" s="20" t="s">
        <v>1012</v>
      </c>
      <c r="D2033" s="27"/>
    </row>
    <row r="2034">
      <c r="A2034" s="26">
        <v>44660.69077288195</v>
      </c>
      <c r="B2034" s="20" t="s">
        <v>1597</v>
      </c>
      <c r="C2034" s="20" t="s">
        <v>1598</v>
      </c>
      <c r="D2034" s="27"/>
    </row>
    <row r="2035">
      <c r="A2035" s="26">
        <v>44660.69110466435</v>
      </c>
      <c r="B2035" s="20" t="s">
        <v>1599</v>
      </c>
      <c r="C2035" s="20">
        <v>19.9</v>
      </c>
      <c r="D2035" s="27"/>
    </row>
    <row r="2036">
      <c r="A2036" s="26">
        <v>44660.691521712964</v>
      </c>
      <c r="B2036" s="20" t="s">
        <v>1600</v>
      </c>
      <c r="C2036" s="20">
        <v>17.5</v>
      </c>
      <c r="D2036" s="27"/>
    </row>
    <row r="2037">
      <c r="A2037" s="26">
        <v>44660.70540478009</v>
      </c>
      <c r="B2037" s="20" t="s">
        <v>300</v>
      </c>
      <c r="C2037" s="20">
        <v>20.0</v>
      </c>
      <c r="D2037" s="27"/>
    </row>
    <row r="2038">
      <c r="A2038" s="26">
        <v>44660.70587604167</v>
      </c>
      <c r="B2038" s="20" t="s">
        <v>1420</v>
      </c>
      <c r="C2038" s="20">
        <v>14.0</v>
      </c>
      <c r="D2038" s="27"/>
    </row>
    <row r="2039">
      <c r="A2039" s="26">
        <v>44660.707214594906</v>
      </c>
      <c r="B2039" s="20" t="s">
        <v>178</v>
      </c>
      <c r="C2039" s="20">
        <v>18.0</v>
      </c>
      <c r="D2039" s="27"/>
    </row>
    <row r="2040">
      <c r="A2040" s="26">
        <v>44660.73143833333</v>
      </c>
      <c r="B2040" s="20" t="s">
        <v>67</v>
      </c>
      <c r="C2040" s="20">
        <v>38.0</v>
      </c>
      <c r="D2040" s="27"/>
    </row>
    <row r="2041">
      <c r="A2041" s="26">
        <v>44660.73734222222</v>
      </c>
      <c r="B2041" s="20" t="s">
        <v>366</v>
      </c>
      <c r="C2041" s="20">
        <v>16.0</v>
      </c>
      <c r="D2041" s="27"/>
    </row>
    <row r="2042">
      <c r="A2042" s="26">
        <v>44661.64732733797</v>
      </c>
      <c r="B2042" s="20" t="s">
        <v>995</v>
      </c>
      <c r="C2042" s="20">
        <v>11.0</v>
      </c>
      <c r="D2042" s="27"/>
    </row>
    <row r="2043">
      <c r="A2043" s="26">
        <v>44661.648499386574</v>
      </c>
      <c r="B2043" s="20" t="s">
        <v>1391</v>
      </c>
      <c r="C2043" s="20">
        <v>5.0</v>
      </c>
      <c r="D2043" s="27"/>
    </row>
    <row r="2044">
      <c r="A2044" s="26">
        <v>44661.65038555556</v>
      </c>
      <c r="B2044" s="20" t="s">
        <v>79</v>
      </c>
      <c r="C2044" s="20">
        <v>17.0</v>
      </c>
      <c r="D2044" s="27"/>
    </row>
    <row r="2045">
      <c r="A2045" s="26">
        <v>44661.650572025464</v>
      </c>
      <c r="B2045" s="20" t="s">
        <v>982</v>
      </c>
      <c r="C2045" s="20">
        <v>18.0</v>
      </c>
      <c r="D2045" s="27"/>
    </row>
    <row r="2046">
      <c r="A2046" s="26">
        <v>44661.650686574074</v>
      </c>
      <c r="B2046" s="20" t="s">
        <v>982</v>
      </c>
      <c r="C2046" s="20">
        <v>17.0</v>
      </c>
      <c r="D2046" s="27"/>
    </row>
    <row r="2047">
      <c r="A2047" s="26">
        <v>44661.65874513889</v>
      </c>
      <c r="B2047" s="20" t="s">
        <v>193</v>
      </c>
      <c r="C2047" s="20" t="s">
        <v>1601</v>
      </c>
      <c r="D2047" s="27"/>
    </row>
    <row r="2048">
      <c r="A2048" s="26">
        <v>44661.66324596065</v>
      </c>
      <c r="B2048" s="20" t="s">
        <v>1182</v>
      </c>
      <c r="C2048" s="20">
        <v>9.0</v>
      </c>
      <c r="D2048" s="27"/>
    </row>
    <row r="2049">
      <c r="A2049" s="26">
        <v>44661.676005497684</v>
      </c>
      <c r="B2049" s="20" t="s">
        <v>193</v>
      </c>
      <c r="C2049" s="20">
        <v>33.0</v>
      </c>
      <c r="D2049" s="27"/>
    </row>
    <row r="2050">
      <c r="A2050" s="26">
        <v>44661.67740190972</v>
      </c>
      <c r="B2050" s="20" t="s">
        <v>193</v>
      </c>
      <c r="C2050" s="20" t="s">
        <v>1602</v>
      </c>
      <c r="D2050" s="27"/>
    </row>
    <row r="2051">
      <c r="A2051" s="26">
        <v>44663.70280274306</v>
      </c>
      <c r="B2051" s="20" t="s">
        <v>995</v>
      </c>
      <c r="C2051" s="20">
        <v>20.0</v>
      </c>
      <c r="D2051" s="27"/>
    </row>
    <row r="2052">
      <c r="A2052" s="26">
        <v>44663.703103900465</v>
      </c>
      <c r="B2052" s="20" t="s">
        <v>1430</v>
      </c>
      <c r="C2052" s="20">
        <v>36.0</v>
      </c>
      <c r="D2052" s="27"/>
    </row>
    <row r="2053">
      <c r="A2053" s="26">
        <v>44663.704528437505</v>
      </c>
      <c r="B2053" s="20" t="s">
        <v>203</v>
      </c>
      <c r="C2053" s="20">
        <v>17.0</v>
      </c>
      <c r="D2053" s="27"/>
    </row>
    <row r="2054">
      <c r="A2054" s="26">
        <v>44663.70465383102</v>
      </c>
      <c r="B2054" s="20" t="s">
        <v>203</v>
      </c>
      <c r="C2054" s="20">
        <v>19.0</v>
      </c>
      <c r="D2054" s="27"/>
    </row>
    <row r="2055">
      <c r="A2055" s="26">
        <v>44663.705205949074</v>
      </c>
      <c r="B2055" s="20" t="s">
        <v>931</v>
      </c>
      <c r="C2055" s="20">
        <v>27.0</v>
      </c>
      <c r="D2055" s="27"/>
    </row>
    <row r="2056">
      <c r="A2056" s="26">
        <v>44663.70543822917</v>
      </c>
      <c r="B2056" s="20" t="s">
        <v>163</v>
      </c>
      <c r="C2056" s="20">
        <v>22.0</v>
      </c>
      <c r="D2056" s="27"/>
    </row>
    <row r="2057">
      <c r="A2057" s="26">
        <v>44663.70666221065</v>
      </c>
      <c r="B2057" s="20" t="s">
        <v>1603</v>
      </c>
      <c r="C2057" s="20" t="s">
        <v>1604</v>
      </c>
      <c r="D2057" s="27"/>
    </row>
    <row r="2058">
      <c r="A2058" s="26">
        <v>44663.70984471065</v>
      </c>
      <c r="B2058" s="20" t="s">
        <v>67</v>
      </c>
      <c r="C2058" s="20">
        <v>25.0</v>
      </c>
      <c r="D2058" s="27"/>
    </row>
    <row r="2059">
      <c r="A2059" s="26">
        <v>44664.69614071759</v>
      </c>
      <c r="B2059" s="20" t="s">
        <v>284</v>
      </c>
      <c r="C2059" s="20">
        <v>15.0</v>
      </c>
      <c r="D2059" s="27"/>
    </row>
    <row r="2060">
      <c r="A2060" s="26">
        <v>44664.697318715276</v>
      </c>
      <c r="B2060" s="20" t="s">
        <v>285</v>
      </c>
      <c r="C2060" s="20" t="s">
        <v>1056</v>
      </c>
      <c r="D2060" s="27"/>
    </row>
    <row r="2061">
      <c r="A2061" s="26">
        <v>44664.699644884255</v>
      </c>
      <c r="B2061" s="20" t="s">
        <v>214</v>
      </c>
      <c r="C2061" s="20" t="s">
        <v>1605</v>
      </c>
      <c r="D2061" s="27"/>
    </row>
    <row r="2062">
      <c r="A2062" s="26">
        <v>44664.6998425</v>
      </c>
      <c r="B2062" s="20" t="s">
        <v>214</v>
      </c>
      <c r="C2062" s="20">
        <v>20.0</v>
      </c>
      <c r="D2062" s="27"/>
    </row>
    <row r="2063">
      <c r="A2063" s="26">
        <v>44664.70407403936</v>
      </c>
      <c r="B2063" s="20" t="s">
        <v>366</v>
      </c>
      <c r="C2063" s="20" t="s">
        <v>1606</v>
      </c>
      <c r="D2063" s="27"/>
    </row>
    <row r="2064">
      <c r="A2064" s="26">
        <v>44664.70451053241</v>
      </c>
      <c r="B2064" s="20" t="s">
        <v>1574</v>
      </c>
      <c r="C2064" s="20" t="s">
        <v>1607</v>
      </c>
      <c r="D2064" s="27"/>
    </row>
    <row r="2065">
      <c r="A2065" s="26">
        <v>44664.71726457176</v>
      </c>
      <c r="B2065" s="20" t="s">
        <v>384</v>
      </c>
      <c r="C2065" s="20">
        <v>22.0</v>
      </c>
      <c r="D2065" s="27"/>
    </row>
    <row r="2066">
      <c r="A2066" s="26">
        <v>44664.71738695602</v>
      </c>
      <c r="B2066" s="20" t="s">
        <v>1608</v>
      </c>
      <c r="C2066" s="20">
        <v>13.0</v>
      </c>
      <c r="D2066" s="27"/>
    </row>
    <row r="2067">
      <c r="A2067" s="26">
        <v>44664.87519584491</v>
      </c>
      <c r="B2067" s="20" t="s">
        <v>1609</v>
      </c>
      <c r="C2067" s="20">
        <v>20.0</v>
      </c>
      <c r="D2067" s="27"/>
    </row>
    <row r="2068">
      <c r="A2068" s="26">
        <v>44664.878954050924</v>
      </c>
      <c r="B2068" s="20" t="s">
        <v>1342</v>
      </c>
      <c r="C2068" s="20">
        <v>18.0</v>
      </c>
      <c r="D2068" s="27"/>
    </row>
    <row r="2069">
      <c r="A2069" s="26">
        <v>44664.881797071765</v>
      </c>
      <c r="B2069" s="20" t="s">
        <v>760</v>
      </c>
      <c r="C2069" s="20">
        <v>19.0</v>
      </c>
      <c r="D2069" s="27"/>
    </row>
    <row r="2070">
      <c r="A2070" s="26">
        <v>44664.881903622685</v>
      </c>
      <c r="B2070" s="20" t="s">
        <v>235</v>
      </c>
      <c r="C2070" s="20">
        <v>17.0</v>
      </c>
      <c r="D2070" s="27"/>
    </row>
    <row r="2071">
      <c r="A2071" s="26">
        <v>44665.70955597222</v>
      </c>
      <c r="B2071" s="20" t="s">
        <v>326</v>
      </c>
      <c r="C2071" s="20">
        <v>9.0</v>
      </c>
      <c r="D2071" s="27"/>
    </row>
    <row r="2072">
      <c r="A2072" s="26">
        <v>44665.71430975695</v>
      </c>
      <c r="B2072" s="20" t="s">
        <v>1610</v>
      </c>
      <c r="C2072" s="20" t="s">
        <v>1611</v>
      </c>
      <c r="D2072" s="27"/>
    </row>
    <row r="2073">
      <c r="A2073" s="26">
        <v>44665.71452487269</v>
      </c>
      <c r="B2073" s="20" t="s">
        <v>384</v>
      </c>
      <c r="C2073" s="20">
        <v>21.0</v>
      </c>
      <c r="D2073" s="27"/>
    </row>
    <row r="2074">
      <c r="A2074" s="26">
        <v>44665.71465543981</v>
      </c>
      <c r="B2074" s="20" t="s">
        <v>1612</v>
      </c>
      <c r="C2074" s="20">
        <v>11.0</v>
      </c>
      <c r="D2074" s="27"/>
    </row>
    <row r="2075">
      <c r="A2075" s="26">
        <v>44665.71554078704</v>
      </c>
      <c r="B2075" s="20" t="s">
        <v>1610</v>
      </c>
      <c r="C2075" s="20" t="s">
        <v>1613</v>
      </c>
      <c r="D2075" s="27"/>
    </row>
    <row r="2076">
      <c r="A2076" s="26">
        <v>44665.718055729165</v>
      </c>
      <c r="B2076" s="20" t="s">
        <v>1473</v>
      </c>
      <c r="C2076" s="20">
        <v>20.0</v>
      </c>
      <c r="D2076" s="27"/>
    </row>
    <row r="2077">
      <c r="A2077" s="26">
        <v>44665.72291340277</v>
      </c>
      <c r="B2077" s="20" t="s">
        <v>1614</v>
      </c>
      <c r="C2077" s="20">
        <v>2.0</v>
      </c>
      <c r="D2077" s="27"/>
    </row>
    <row r="2078">
      <c r="A2078" s="26">
        <v>44665.73445452546</v>
      </c>
      <c r="B2078" s="20" t="s">
        <v>366</v>
      </c>
      <c r="C2078" s="20" t="s">
        <v>1615</v>
      </c>
      <c r="D2078" s="27"/>
    </row>
    <row r="2079">
      <c r="A2079" s="26">
        <v>44665.73587711806</v>
      </c>
      <c r="B2079" s="20" t="s">
        <v>366</v>
      </c>
      <c r="C2079" s="20" t="s">
        <v>1616</v>
      </c>
      <c r="D2079" s="27"/>
    </row>
    <row r="2080">
      <c r="A2080" s="26">
        <v>44665.86223652778</v>
      </c>
    </row>
    <row r="2081">
      <c r="A2081" s="26">
        <v>44665.864721122685</v>
      </c>
      <c r="B2081" s="20" t="s">
        <v>820</v>
      </c>
      <c r="C2081" s="20">
        <v>7.0</v>
      </c>
      <c r="D2081" s="27"/>
    </row>
    <row r="2082">
      <c r="A2082" s="26">
        <v>44665.86811737268</v>
      </c>
      <c r="B2082" s="20" t="s">
        <v>67</v>
      </c>
      <c r="C2082" s="20">
        <v>44.0</v>
      </c>
      <c r="D2082" s="27"/>
    </row>
    <row r="2083">
      <c r="A2083" s="26">
        <v>44665.87392424769</v>
      </c>
      <c r="B2083" s="20" t="s">
        <v>437</v>
      </c>
      <c r="C2083" s="20">
        <v>20.0</v>
      </c>
      <c r="D2083" s="27"/>
    </row>
    <row r="2084">
      <c r="A2084" s="26">
        <v>44665.87435375</v>
      </c>
      <c r="B2084" s="20" t="s">
        <v>1617</v>
      </c>
      <c r="C2084" s="20">
        <v>5.0</v>
      </c>
      <c r="D2084" s="27"/>
    </row>
    <row r="2085">
      <c r="A2085" s="26">
        <v>44665.877386319444</v>
      </c>
      <c r="B2085" s="20" t="s">
        <v>1618</v>
      </c>
      <c r="C2085" s="20">
        <v>23.0</v>
      </c>
      <c r="D2085" s="27"/>
    </row>
    <row r="2086">
      <c r="A2086" s="26">
        <v>44665.878011712965</v>
      </c>
      <c r="B2086" s="20" t="s">
        <v>1619</v>
      </c>
      <c r="C2086" s="20">
        <v>5.0</v>
      </c>
      <c r="D2086" s="27"/>
    </row>
    <row r="2087">
      <c r="A2087" s="26">
        <v>44666.69388359954</v>
      </c>
      <c r="B2087" s="20" t="s">
        <v>233</v>
      </c>
      <c r="C2087" s="20">
        <v>9.0</v>
      </c>
      <c r="D2087" s="27"/>
    </row>
    <row r="2088">
      <c r="A2088" s="26">
        <v>44666.700862812504</v>
      </c>
      <c r="B2088" s="20" t="s">
        <v>1558</v>
      </c>
      <c r="C2088" s="20">
        <v>20.0</v>
      </c>
      <c r="D2088" s="27"/>
    </row>
    <row r="2089">
      <c r="A2089" s="26">
        <v>44666.705104293986</v>
      </c>
      <c r="B2089" s="20" t="s">
        <v>1558</v>
      </c>
      <c r="C2089" s="20">
        <v>18.0</v>
      </c>
      <c r="D2089" s="27"/>
    </row>
    <row r="2090">
      <c r="A2090" s="26">
        <v>44666.70751076389</v>
      </c>
      <c r="B2090" s="20" t="s">
        <v>344</v>
      </c>
      <c r="C2090" s="20">
        <v>18.0</v>
      </c>
      <c r="D2090" s="27"/>
    </row>
    <row r="2091">
      <c r="A2091" s="26">
        <v>44666.70795769676</v>
      </c>
      <c r="B2091" s="20" t="s">
        <v>344</v>
      </c>
      <c r="C2091" s="20" t="s">
        <v>1620</v>
      </c>
      <c r="D2091" s="27"/>
    </row>
    <row r="2092">
      <c r="A2092" s="26">
        <v>44666.71075116898</v>
      </c>
      <c r="B2092" s="20" t="s">
        <v>260</v>
      </c>
      <c r="C2092" s="20">
        <v>20.0</v>
      </c>
      <c r="D2092" s="27"/>
    </row>
    <row r="2093">
      <c r="A2093" s="26">
        <v>44666.713362731476</v>
      </c>
      <c r="B2093" s="20" t="s">
        <v>1350</v>
      </c>
      <c r="C2093" s="20" t="s">
        <v>1621</v>
      </c>
      <c r="D2093" s="27"/>
    </row>
    <row r="2094">
      <c r="A2094" s="26">
        <v>44666.71374381945</v>
      </c>
      <c r="B2094" s="20" t="s">
        <v>366</v>
      </c>
      <c r="C2094" s="20" t="s">
        <v>1622</v>
      </c>
      <c r="D2094" s="27"/>
    </row>
    <row r="2095">
      <c r="A2095" s="26">
        <v>44666.71522420138</v>
      </c>
      <c r="B2095" s="20" t="s">
        <v>1610</v>
      </c>
      <c r="C2095" s="20">
        <v>21.0</v>
      </c>
      <c r="D2095" s="27"/>
    </row>
    <row r="2096">
      <c r="A2096" s="26">
        <v>44666.71601988426</v>
      </c>
      <c r="B2096" s="20" t="s">
        <v>366</v>
      </c>
      <c r="C2096" s="20" t="s">
        <v>1623</v>
      </c>
      <c r="D2096" s="27"/>
    </row>
    <row r="2097">
      <c r="A2097" s="26">
        <v>44666.716020567124</v>
      </c>
      <c r="B2097" s="20" t="s">
        <v>1610</v>
      </c>
      <c r="C2097" s="20">
        <v>7.0</v>
      </c>
      <c r="D2097" s="27"/>
    </row>
    <row r="2098">
      <c r="A2098" s="26">
        <v>44666.730393715276</v>
      </c>
      <c r="B2098" s="20" t="s">
        <v>193</v>
      </c>
      <c r="C2098" s="20" t="s">
        <v>1624</v>
      </c>
      <c r="D2098" s="27"/>
    </row>
    <row r="2099">
      <c r="A2099" s="26">
        <v>44666.73335267361</v>
      </c>
      <c r="B2099" s="20" t="s">
        <v>193</v>
      </c>
      <c r="C2099" s="20" t="s">
        <v>1625</v>
      </c>
      <c r="D2099" s="27"/>
    </row>
    <row r="2100">
      <c r="A2100" s="26">
        <v>44666.73657987268</v>
      </c>
      <c r="B2100" s="20" t="s">
        <v>193</v>
      </c>
      <c r="C2100" s="20" t="s">
        <v>1626</v>
      </c>
      <c r="D2100" s="27"/>
    </row>
    <row r="2101">
      <c r="A2101" s="26">
        <v>44667.52513601852</v>
      </c>
      <c r="B2101" s="20" t="s">
        <v>930</v>
      </c>
      <c r="C2101" s="20">
        <v>11.0</v>
      </c>
      <c r="D2101" s="27"/>
    </row>
    <row r="2102">
      <c r="A2102" s="26">
        <v>44667.67568871527</v>
      </c>
      <c r="B2102" s="20" t="s">
        <v>1627</v>
      </c>
      <c r="C2102" s="20">
        <v>20.0</v>
      </c>
      <c r="D2102" s="27"/>
    </row>
    <row r="2103">
      <c r="A2103" s="26">
        <v>44667.67865915509</v>
      </c>
      <c r="B2103" s="20" t="s">
        <v>1628</v>
      </c>
      <c r="C2103" s="20">
        <v>17.0</v>
      </c>
      <c r="D2103" s="27"/>
    </row>
    <row r="2104">
      <c r="A2104" s="26">
        <v>44667.6840824074</v>
      </c>
      <c r="B2104" s="20" t="s">
        <v>1629</v>
      </c>
      <c r="C2104" s="20">
        <v>16.0</v>
      </c>
      <c r="D2104" s="27"/>
    </row>
    <row r="2105">
      <c r="A2105" s="26">
        <v>44667.68431818287</v>
      </c>
      <c r="B2105" s="20" t="s">
        <v>1630</v>
      </c>
      <c r="C2105" s="20">
        <v>10.0</v>
      </c>
      <c r="D2105" s="27"/>
    </row>
    <row r="2106">
      <c r="A2106" s="26">
        <v>44667.68459322916</v>
      </c>
      <c r="B2106" s="20" t="s">
        <v>1631</v>
      </c>
      <c r="C2106" s="20">
        <v>18.0</v>
      </c>
      <c r="D2106" s="27"/>
    </row>
    <row r="2107">
      <c r="A2107" s="26">
        <v>44667.68484045139</v>
      </c>
      <c r="B2107" s="20" t="s">
        <v>1600</v>
      </c>
      <c r="C2107" s="20">
        <v>16.0</v>
      </c>
      <c r="D2107" s="27"/>
    </row>
    <row r="2108">
      <c r="A2108" s="26">
        <v>44667.69416461806</v>
      </c>
      <c r="B2108" s="20" t="s">
        <v>1632</v>
      </c>
      <c r="C2108" s="20">
        <v>20.0</v>
      </c>
      <c r="D2108" s="27"/>
    </row>
    <row r="2109">
      <c r="A2109" s="26">
        <v>44667.69450055556</v>
      </c>
      <c r="B2109" s="20" t="s">
        <v>1633</v>
      </c>
      <c r="C2109" s="20">
        <v>20.0</v>
      </c>
      <c r="D2109" s="27"/>
    </row>
    <row r="2110">
      <c r="A2110" s="26">
        <v>44667.69664252315</v>
      </c>
      <c r="B2110" s="20" t="s">
        <v>1532</v>
      </c>
      <c r="C2110" s="20" t="s">
        <v>1012</v>
      </c>
      <c r="D2110" s="27"/>
    </row>
    <row r="2111">
      <c r="A2111" s="26">
        <v>44667.69729415509</v>
      </c>
      <c r="B2111" s="20" t="s">
        <v>1532</v>
      </c>
      <c r="C2111" s="20" t="s">
        <v>1634</v>
      </c>
      <c r="D2111" s="27"/>
    </row>
    <row r="2112">
      <c r="A2112" s="26">
        <v>44667.69957652778</v>
      </c>
      <c r="B2112" s="20" t="s">
        <v>285</v>
      </c>
      <c r="C2112" s="20">
        <v>19.5</v>
      </c>
      <c r="D2112" s="27"/>
    </row>
    <row r="2113">
      <c r="A2113" s="26">
        <v>44667.69988836806</v>
      </c>
      <c r="B2113" s="20" t="s">
        <v>361</v>
      </c>
      <c r="C2113" s="20">
        <v>15.0</v>
      </c>
      <c r="D2113" s="27"/>
    </row>
    <row r="2114">
      <c r="A2114" s="26">
        <v>44667.70297684028</v>
      </c>
      <c r="B2114" s="20" t="s">
        <v>1635</v>
      </c>
      <c r="C2114" s="20">
        <v>11.0</v>
      </c>
      <c r="D2114" s="27"/>
    </row>
    <row r="2115">
      <c r="A2115" s="26">
        <v>44668.68003461805</v>
      </c>
      <c r="B2115" s="20" t="s">
        <v>1182</v>
      </c>
      <c r="C2115" s="20">
        <v>14.0</v>
      </c>
      <c r="D2115" s="27"/>
    </row>
    <row r="2116">
      <c r="A2116" s="26">
        <v>44668.680942453706</v>
      </c>
      <c r="B2116" s="20" t="s">
        <v>933</v>
      </c>
      <c r="C2116" s="20">
        <v>18.0</v>
      </c>
      <c r="D2116" s="27"/>
    </row>
    <row r="2117">
      <c r="A2117" s="26">
        <v>44668.68197550926</v>
      </c>
      <c r="B2117" s="20" t="s">
        <v>995</v>
      </c>
      <c r="C2117" s="20">
        <v>9.0</v>
      </c>
      <c r="D2117" s="27"/>
    </row>
    <row r="2118">
      <c r="A2118" s="26">
        <v>44668.68292586805</v>
      </c>
      <c r="B2118" s="20" t="s">
        <v>1636</v>
      </c>
      <c r="C2118" s="20">
        <v>3.0</v>
      </c>
      <c r="D2118" s="27"/>
    </row>
    <row r="2119">
      <c r="A2119" s="26">
        <v>44668.68519878472</v>
      </c>
      <c r="B2119" s="20" t="s">
        <v>800</v>
      </c>
      <c r="C2119" s="20" t="s">
        <v>1637</v>
      </c>
      <c r="D2119" s="27"/>
    </row>
    <row r="2120">
      <c r="A2120" s="26">
        <v>44668.68575585648</v>
      </c>
      <c r="B2120" s="20" t="s">
        <v>982</v>
      </c>
      <c r="C2120" s="20">
        <v>18.0</v>
      </c>
      <c r="D2120" s="27"/>
    </row>
    <row r="2121">
      <c r="A2121" s="26">
        <v>44668.68592438658</v>
      </c>
      <c r="B2121" s="20" t="s">
        <v>79</v>
      </c>
      <c r="C2121" s="20">
        <v>15.0</v>
      </c>
      <c r="D2121" s="27"/>
    </row>
    <row r="2122">
      <c r="A2122" s="26">
        <v>44668.686318761575</v>
      </c>
      <c r="B2122" s="20" t="s">
        <v>1532</v>
      </c>
      <c r="C2122" s="20" t="s">
        <v>987</v>
      </c>
      <c r="D2122" s="27"/>
    </row>
    <row r="2123">
      <c r="A2123" s="26">
        <v>44668.686655219906</v>
      </c>
      <c r="B2123" s="20" t="s">
        <v>1532</v>
      </c>
      <c r="C2123" s="20" t="s">
        <v>1638</v>
      </c>
      <c r="D2123" s="27"/>
    </row>
    <row r="2124">
      <c r="A2124" s="26">
        <v>44668.68809277778</v>
      </c>
      <c r="B2124" s="20" t="s">
        <v>193</v>
      </c>
      <c r="C2124" s="20" t="s">
        <v>1584</v>
      </c>
      <c r="D2124" s="27"/>
    </row>
    <row r="2125">
      <c r="A2125" s="26">
        <v>44668.75979280093</v>
      </c>
      <c r="B2125" s="20" t="s">
        <v>67</v>
      </c>
      <c r="C2125" s="20">
        <v>78.0</v>
      </c>
      <c r="D2125" s="27"/>
    </row>
    <row r="2126">
      <c r="A2126" s="26">
        <v>44670.70469074074</v>
      </c>
      <c r="B2126" s="20" t="s">
        <v>1610</v>
      </c>
      <c r="C2126" s="20">
        <v>21.0</v>
      </c>
      <c r="D2126" s="27"/>
    </row>
    <row r="2127">
      <c r="A2127" s="26">
        <v>44670.70543736111</v>
      </c>
      <c r="B2127" s="20" t="s">
        <v>1639</v>
      </c>
      <c r="C2127" s="20">
        <v>12.0</v>
      </c>
      <c r="D2127" s="27"/>
    </row>
    <row r="2128">
      <c r="A2128" s="26">
        <v>44670.70545015046</v>
      </c>
      <c r="B2128" s="20" t="s">
        <v>922</v>
      </c>
      <c r="C2128" s="20" t="s">
        <v>1640</v>
      </c>
      <c r="D2128" s="27"/>
    </row>
    <row r="2129">
      <c r="A2129" s="26">
        <v>44670.70878784722</v>
      </c>
      <c r="B2129" s="20" t="s">
        <v>334</v>
      </c>
      <c r="C2129" s="20">
        <v>14.0</v>
      </c>
      <c r="D2129" s="27"/>
    </row>
    <row r="2130">
      <c r="A2130" s="26">
        <v>44670.70883754629</v>
      </c>
      <c r="B2130" s="20" t="s">
        <v>67</v>
      </c>
      <c r="C2130" s="20">
        <v>52.0</v>
      </c>
      <c r="D2130" s="27"/>
    </row>
    <row r="2131">
      <c r="A2131" s="26">
        <v>44670.709996192134</v>
      </c>
      <c r="B2131" s="20" t="s">
        <v>191</v>
      </c>
      <c r="C2131" s="20" t="s">
        <v>1641</v>
      </c>
      <c r="D2131" s="27"/>
    </row>
    <row r="2132">
      <c r="A2132" s="26">
        <v>44670.710254606485</v>
      </c>
      <c r="B2132" s="20" t="s">
        <v>995</v>
      </c>
      <c r="C2132" s="20">
        <v>15.0</v>
      </c>
      <c r="D2132" s="27"/>
    </row>
    <row r="2133">
      <c r="A2133" s="26">
        <v>44670.71048916667</v>
      </c>
      <c r="B2133" s="20" t="s">
        <v>1642</v>
      </c>
      <c r="C2133" s="20">
        <v>20.0</v>
      </c>
      <c r="D2133" s="27"/>
    </row>
    <row r="2134">
      <c r="A2134" s="26">
        <v>44670.71055725694</v>
      </c>
      <c r="B2134" s="20" t="s">
        <v>193</v>
      </c>
      <c r="C2134" s="20" t="s">
        <v>1643</v>
      </c>
      <c r="D2134" s="27"/>
    </row>
    <row r="2135">
      <c r="A2135" s="26">
        <v>44670.72507373843</v>
      </c>
      <c r="B2135" s="20" t="s">
        <v>384</v>
      </c>
      <c r="C2135" s="20">
        <v>24.0</v>
      </c>
      <c r="D2135" s="27"/>
    </row>
    <row r="2136">
      <c r="A2136" s="26">
        <v>44670.725244699075</v>
      </c>
      <c r="B2136" s="20" t="s">
        <v>1644</v>
      </c>
      <c r="C2136" s="20">
        <v>40.0</v>
      </c>
      <c r="D2136" s="27"/>
    </row>
    <row r="2137">
      <c r="A2137" s="26">
        <v>44670.72683986111</v>
      </c>
      <c r="B2137" s="20" t="s">
        <v>334</v>
      </c>
      <c r="C2137" s="20" t="s">
        <v>1645</v>
      </c>
      <c r="D2137" s="27"/>
    </row>
    <row r="2138">
      <c r="A2138" s="26">
        <v>44671.70416193287</v>
      </c>
      <c r="B2138" s="20" t="s">
        <v>331</v>
      </c>
      <c r="C2138" s="20" t="s">
        <v>1646</v>
      </c>
      <c r="D2138" s="27"/>
    </row>
    <row r="2139">
      <c r="A2139" s="26">
        <v>44671.70445449074</v>
      </c>
      <c r="B2139" s="20" t="s">
        <v>285</v>
      </c>
      <c r="C2139" s="20">
        <v>4.0</v>
      </c>
      <c r="D2139" s="27"/>
    </row>
    <row r="2140">
      <c r="A2140" s="26">
        <v>44671.70624451389</v>
      </c>
      <c r="B2140" s="20" t="s">
        <v>1647</v>
      </c>
      <c r="C2140" s="20" t="s">
        <v>1648</v>
      </c>
      <c r="D2140" s="27"/>
    </row>
    <row r="2141">
      <c r="A2141" s="26">
        <v>44671.707108692135</v>
      </c>
      <c r="B2141" s="20" t="s">
        <v>1649</v>
      </c>
      <c r="C2141" s="20" t="s">
        <v>1650</v>
      </c>
      <c r="D2141" s="27"/>
    </row>
    <row r="2142">
      <c r="A2142" s="26">
        <v>44671.71048717592</v>
      </c>
      <c r="B2142" s="20" t="s">
        <v>366</v>
      </c>
      <c r="C2142" s="20" t="s">
        <v>1651</v>
      </c>
      <c r="D2142" s="27"/>
    </row>
    <row r="2143">
      <c r="A2143" s="26">
        <v>44671.71139207176</v>
      </c>
      <c r="B2143" s="20" t="s">
        <v>366</v>
      </c>
      <c r="C2143" s="20" t="s">
        <v>1652</v>
      </c>
      <c r="D2143" s="27"/>
    </row>
    <row r="2144">
      <c r="A2144" s="26">
        <v>44671.88257869213</v>
      </c>
      <c r="B2144" s="20" t="s">
        <v>1609</v>
      </c>
      <c r="C2144" s="20">
        <v>22.0</v>
      </c>
      <c r="D2144" s="27"/>
    </row>
    <row r="2145">
      <c r="A2145" s="26">
        <v>44671.88456611111</v>
      </c>
      <c r="B2145" s="20" t="s">
        <v>1158</v>
      </c>
      <c r="C2145" s="20" t="s">
        <v>1653</v>
      </c>
      <c r="D2145" s="27"/>
    </row>
    <row r="2146">
      <c r="A2146" s="26">
        <v>44671.88787366898</v>
      </c>
      <c r="B2146" s="20" t="s">
        <v>235</v>
      </c>
      <c r="C2146" s="20">
        <v>14.0</v>
      </c>
      <c r="D2146" s="27"/>
    </row>
    <row r="2147">
      <c r="A2147" s="26">
        <v>44671.88813038194</v>
      </c>
      <c r="B2147" s="20" t="s">
        <v>824</v>
      </c>
      <c r="C2147" s="20">
        <v>20.0</v>
      </c>
      <c r="D2147" s="27"/>
    </row>
    <row r="2148">
      <c r="A2148" s="26">
        <v>44672.702130624995</v>
      </c>
      <c r="B2148" s="20" t="s">
        <v>1558</v>
      </c>
      <c r="C2148" s="20">
        <v>14.0</v>
      </c>
      <c r="D2148" s="27"/>
    </row>
    <row r="2149">
      <c r="A2149" s="26">
        <v>44672.703202916666</v>
      </c>
      <c r="B2149" s="20" t="s">
        <v>327</v>
      </c>
      <c r="C2149" s="20">
        <v>10.0</v>
      </c>
      <c r="D2149" s="27"/>
    </row>
    <row r="2150">
      <c r="A2150" s="26">
        <v>44672.70743546296</v>
      </c>
      <c r="B2150" s="20" t="s">
        <v>1654</v>
      </c>
      <c r="C2150" s="20">
        <v>36.0</v>
      </c>
      <c r="D2150" s="27"/>
    </row>
    <row r="2151">
      <c r="A2151" s="26">
        <v>44672.71045273148</v>
      </c>
      <c r="B2151" s="20" t="s">
        <v>1655</v>
      </c>
      <c r="C2151" s="20">
        <v>76.0</v>
      </c>
      <c r="D2151" s="27"/>
    </row>
    <row r="2152">
      <c r="A2152" s="26">
        <v>44672.71084185185</v>
      </c>
      <c r="B2152" s="20" t="s">
        <v>1656</v>
      </c>
      <c r="C2152" s="20">
        <v>26.0</v>
      </c>
      <c r="D2152" s="27"/>
    </row>
    <row r="2153">
      <c r="A2153" s="26">
        <v>44672.71301765046</v>
      </c>
      <c r="B2153" s="20" t="s">
        <v>1657</v>
      </c>
      <c r="C2153" s="20">
        <v>14.0</v>
      </c>
      <c r="D2153" s="27"/>
    </row>
    <row r="2154">
      <c r="A2154" s="26">
        <v>44672.714176319445</v>
      </c>
      <c r="B2154" s="20" t="s">
        <v>1658</v>
      </c>
      <c r="C2154" s="20">
        <v>41.0</v>
      </c>
      <c r="D2154" s="27"/>
    </row>
    <row r="2155">
      <c r="A2155" s="26">
        <v>44672.72852582176</v>
      </c>
      <c r="B2155" s="20" t="s">
        <v>366</v>
      </c>
      <c r="C2155" s="20" t="s">
        <v>1659</v>
      </c>
      <c r="D2155" s="27"/>
    </row>
    <row r="2156">
      <c r="A2156" s="26">
        <v>44672.73309206018</v>
      </c>
      <c r="B2156" s="20" t="s">
        <v>366</v>
      </c>
      <c r="C2156" s="20" t="s">
        <v>1660</v>
      </c>
      <c r="D2156" s="27"/>
    </row>
    <row r="2157">
      <c r="A2157" s="26">
        <v>44672.74062081019</v>
      </c>
      <c r="B2157" s="20" t="s">
        <v>177</v>
      </c>
      <c r="C2157" s="20">
        <v>20.0</v>
      </c>
      <c r="D2157" s="27"/>
    </row>
    <row r="2158">
      <c r="A2158" s="26">
        <v>44672.74079306713</v>
      </c>
      <c r="B2158" s="20" t="s">
        <v>177</v>
      </c>
      <c r="C2158" s="20">
        <v>24.0</v>
      </c>
      <c r="D2158" s="27"/>
    </row>
    <row r="2159">
      <c r="A2159" s="26">
        <v>44672.74161283565</v>
      </c>
      <c r="B2159" s="20" t="s">
        <v>1661</v>
      </c>
      <c r="C2159" s="20">
        <v>6.0</v>
      </c>
      <c r="D2159" s="27"/>
    </row>
    <row r="2160">
      <c r="A2160" s="26">
        <v>44672.7629183449</v>
      </c>
      <c r="B2160" s="20" t="s">
        <v>1661</v>
      </c>
      <c r="C2160" s="20">
        <v>2.0</v>
      </c>
      <c r="D2160" s="27"/>
    </row>
    <row r="2161">
      <c r="A2161" s="26">
        <v>44672.8190869213</v>
      </c>
      <c r="B2161" s="20" t="s">
        <v>787</v>
      </c>
      <c r="C2161" s="20">
        <v>20.0</v>
      </c>
      <c r="D2161" s="27"/>
    </row>
    <row r="2162">
      <c r="A2162" s="26">
        <v>44673.680335150464</v>
      </c>
      <c r="B2162" s="20" t="s">
        <v>233</v>
      </c>
      <c r="C2162" s="20">
        <v>8.0</v>
      </c>
      <c r="D2162" s="27"/>
    </row>
    <row r="2163">
      <c r="A2163" s="26">
        <v>44673.70978726852</v>
      </c>
      <c r="B2163" s="20" t="s">
        <v>366</v>
      </c>
      <c r="C2163" s="20" t="s">
        <v>1662</v>
      </c>
      <c r="D2163" s="27"/>
    </row>
    <row r="2164">
      <c r="A2164" s="26">
        <v>44673.71316425926</v>
      </c>
      <c r="B2164" s="20" t="s">
        <v>366</v>
      </c>
      <c r="C2164" s="20" t="s">
        <v>1663</v>
      </c>
      <c r="D2164" s="27"/>
    </row>
    <row r="2165">
      <c r="A2165" s="26">
        <v>44673.7187628588</v>
      </c>
      <c r="B2165" s="20" t="s">
        <v>260</v>
      </c>
      <c r="C2165" s="20">
        <v>18.0</v>
      </c>
      <c r="D2165" s="27"/>
    </row>
    <row r="2166">
      <c r="A2166" s="26">
        <v>44673.720075879624</v>
      </c>
      <c r="B2166" s="20" t="s">
        <v>344</v>
      </c>
      <c r="C2166" s="20">
        <v>19.0</v>
      </c>
      <c r="D2166" s="27"/>
    </row>
    <row r="2167">
      <c r="A2167" s="26">
        <v>44673.72019766204</v>
      </c>
      <c r="B2167" s="20" t="s">
        <v>344</v>
      </c>
      <c r="C2167" s="20" t="s">
        <v>1664</v>
      </c>
      <c r="D2167" s="27"/>
    </row>
    <row r="2168">
      <c r="A2168" s="26">
        <v>44674.68693267361</v>
      </c>
      <c r="B2168" s="20" t="s">
        <v>1600</v>
      </c>
      <c r="C2168" s="20">
        <v>19.8</v>
      </c>
      <c r="D2168" s="27"/>
    </row>
    <row r="2169">
      <c r="A2169" s="26">
        <v>44674.69199474537</v>
      </c>
      <c r="B2169" s="20" t="s">
        <v>1177</v>
      </c>
      <c r="C2169" s="20">
        <v>20.0</v>
      </c>
      <c r="D2169" s="27"/>
    </row>
    <row r="2170">
      <c r="A2170" s="26">
        <v>44674.69476597222</v>
      </c>
      <c r="B2170" s="20" t="s">
        <v>334</v>
      </c>
      <c r="C2170" s="20" t="s">
        <v>1665</v>
      </c>
      <c r="D2170" s="27"/>
    </row>
    <row r="2171">
      <c r="A2171" s="26">
        <v>44674.69498034722</v>
      </c>
      <c r="B2171" s="20" t="s">
        <v>1666</v>
      </c>
      <c r="C2171" s="20">
        <v>19.0</v>
      </c>
      <c r="D2171" s="27"/>
    </row>
    <row r="2172">
      <c r="A2172" s="26">
        <v>44674.70015476852</v>
      </c>
      <c r="B2172" s="20" t="s">
        <v>199</v>
      </c>
      <c r="C2172" s="20">
        <v>20.4</v>
      </c>
      <c r="D2172" s="27"/>
    </row>
    <row r="2173">
      <c r="A2173" s="26">
        <v>44674.700801087965</v>
      </c>
      <c r="B2173" s="20" t="s">
        <v>1631</v>
      </c>
      <c r="C2173" s="20">
        <v>22.8</v>
      </c>
      <c r="D2173" s="27"/>
    </row>
    <row r="2174">
      <c r="A2174" s="26">
        <v>44674.70134537037</v>
      </c>
      <c r="B2174" s="20" t="s">
        <v>1667</v>
      </c>
      <c r="C2174" s="20">
        <v>19.8</v>
      </c>
      <c r="D2174" s="27"/>
    </row>
    <row r="2175">
      <c r="A2175" s="26">
        <v>44674.704153240746</v>
      </c>
      <c r="B2175" s="20" t="s">
        <v>1633</v>
      </c>
      <c r="C2175" s="20">
        <v>19.5</v>
      </c>
      <c r="D2175" s="27"/>
    </row>
    <row r="2176">
      <c r="A2176" s="26">
        <v>44674.704200196764</v>
      </c>
      <c r="B2176" s="20" t="s">
        <v>1632</v>
      </c>
      <c r="C2176" s="20" t="s">
        <v>1429</v>
      </c>
      <c r="D2176" s="27"/>
    </row>
    <row r="2177">
      <c r="A2177" s="26">
        <v>44674.70812378472</v>
      </c>
      <c r="B2177" s="20" t="s">
        <v>285</v>
      </c>
      <c r="C2177" s="20" t="s">
        <v>1668</v>
      </c>
      <c r="D2177" s="27"/>
    </row>
    <row r="2178">
      <c r="A2178" s="26">
        <v>44674.70831498843</v>
      </c>
      <c r="B2178" s="20" t="s">
        <v>285</v>
      </c>
      <c r="C2178" s="20" t="s">
        <v>1669</v>
      </c>
      <c r="D2178" s="27"/>
    </row>
    <row r="2179">
      <c r="A2179" s="26">
        <v>44674.7209540162</v>
      </c>
      <c r="B2179" s="20" t="s">
        <v>1670</v>
      </c>
      <c r="C2179" s="20" t="s">
        <v>1671</v>
      </c>
      <c r="D2179" s="27"/>
    </row>
    <row r="2180">
      <c r="A2180" s="26">
        <v>44674.72132707176</v>
      </c>
      <c r="B2180" s="20" t="s">
        <v>1670</v>
      </c>
      <c r="C2180" s="20" t="s">
        <v>1659</v>
      </c>
      <c r="D2180" s="27"/>
    </row>
    <row r="2181">
      <c r="A2181" s="26">
        <v>44674.81175789352</v>
      </c>
      <c r="B2181" s="20" t="s">
        <v>67</v>
      </c>
      <c r="C2181" s="20">
        <v>18.0</v>
      </c>
      <c r="D2181" s="27"/>
    </row>
    <row r="2182">
      <c r="A2182" s="26">
        <v>44674.83832418981</v>
      </c>
      <c r="B2182" s="20" t="s">
        <v>1074</v>
      </c>
      <c r="C2182" s="20" t="s">
        <v>1012</v>
      </c>
      <c r="D2182" s="27"/>
    </row>
    <row r="2183">
      <c r="A2183" s="26">
        <v>44674.9863587037</v>
      </c>
      <c r="B2183" s="20" t="s">
        <v>193</v>
      </c>
      <c r="C2183" s="20">
        <v>14.0</v>
      </c>
      <c r="D2183" s="27"/>
    </row>
    <row r="2184">
      <c r="A2184" s="26">
        <v>44675.62459121528</v>
      </c>
      <c r="B2184" s="20" t="s">
        <v>982</v>
      </c>
      <c r="C2184" s="20">
        <v>20.0</v>
      </c>
      <c r="D2184" s="27"/>
    </row>
    <row r="2185">
      <c r="A2185" s="26">
        <v>44675.624725381946</v>
      </c>
      <c r="B2185" s="20" t="s">
        <v>79</v>
      </c>
      <c r="C2185" s="20">
        <v>18.8</v>
      </c>
      <c r="D2185" s="27"/>
    </row>
    <row r="2186">
      <c r="A2186" s="26">
        <v>44675.63462881945</v>
      </c>
      <c r="B2186" s="20" t="s">
        <v>1672</v>
      </c>
      <c r="C2186" s="20">
        <v>20.0</v>
      </c>
      <c r="D2186" s="27"/>
    </row>
    <row r="2187">
      <c r="A2187" s="26">
        <v>44675.6346906713</v>
      </c>
      <c r="B2187" s="20" t="s">
        <v>1673</v>
      </c>
      <c r="C2187" s="20">
        <v>5.0</v>
      </c>
      <c r="D2187" s="27"/>
    </row>
    <row r="2188">
      <c r="A2188" s="26">
        <v>44675.63469395833</v>
      </c>
      <c r="B2188" s="20" t="s">
        <v>1265</v>
      </c>
      <c r="C2188" s="20">
        <v>20.0</v>
      </c>
      <c r="D2188" s="27"/>
    </row>
    <row r="2189">
      <c r="A2189" s="26">
        <v>44675.63491679398</v>
      </c>
      <c r="B2189" s="20" t="s">
        <v>1674</v>
      </c>
      <c r="C2189" s="20">
        <v>9.0</v>
      </c>
      <c r="D2189" s="27"/>
    </row>
    <row r="2190">
      <c r="A2190" s="26">
        <v>44675.64304916667</v>
      </c>
      <c r="B2190" s="20" t="s">
        <v>193</v>
      </c>
      <c r="C2190" s="20" t="s">
        <v>1675</v>
      </c>
      <c r="D2190" s="27"/>
    </row>
    <row r="2191">
      <c r="A2191" s="26">
        <v>44675.64321645834</v>
      </c>
      <c r="B2191" s="20" t="s">
        <v>193</v>
      </c>
      <c r="C2191" s="20">
        <v>22.0</v>
      </c>
      <c r="D2191" s="27"/>
    </row>
    <row r="2192">
      <c r="A2192" s="26">
        <v>44675.643380821755</v>
      </c>
      <c r="B2192" s="20" t="s">
        <v>193</v>
      </c>
      <c r="C2192" s="20" t="s">
        <v>1676</v>
      </c>
      <c r="D2192" s="27"/>
    </row>
    <row r="2193">
      <c r="A2193" s="26">
        <v>44675.694782858794</v>
      </c>
      <c r="B2193" s="20" t="s">
        <v>67</v>
      </c>
      <c r="C2193" s="20">
        <v>23.0</v>
      </c>
      <c r="D2193" s="27"/>
    </row>
    <row r="2194">
      <c r="A2194" s="26">
        <v>44675.703830983795</v>
      </c>
      <c r="B2194" s="20" t="s">
        <v>1182</v>
      </c>
      <c r="C2194" s="20">
        <v>15.0</v>
      </c>
      <c r="D2194" s="27"/>
    </row>
    <row r="2195">
      <c r="A2195" s="26">
        <v>44677.72690071759</v>
      </c>
      <c r="B2195" s="20" t="s">
        <v>995</v>
      </c>
      <c r="C2195" s="20">
        <v>20.0</v>
      </c>
      <c r="D2195" s="27"/>
    </row>
    <row r="2196">
      <c r="A2196" s="26">
        <v>44677.727180636575</v>
      </c>
      <c r="B2196" s="20" t="s">
        <v>1677</v>
      </c>
      <c r="C2196" s="20">
        <v>40.0</v>
      </c>
      <c r="D2196" s="27"/>
    </row>
    <row r="2197">
      <c r="A2197" s="26">
        <v>44678.713912210646</v>
      </c>
      <c r="B2197" s="20" t="s">
        <v>1610</v>
      </c>
      <c r="C2197" s="20">
        <v>23.0</v>
      </c>
      <c r="D2197" s="27"/>
    </row>
    <row r="2198">
      <c r="A2198" s="26">
        <v>44678.7143040625</v>
      </c>
      <c r="B2198" s="20" t="s">
        <v>1610</v>
      </c>
      <c r="C2198" s="20">
        <v>7.0</v>
      </c>
      <c r="D2198" s="27"/>
    </row>
    <row r="2199">
      <c r="A2199" s="26">
        <v>44678.87210291666</v>
      </c>
      <c r="B2199" s="20" t="s">
        <v>1107</v>
      </c>
      <c r="C2199" s="20">
        <v>20.0</v>
      </c>
      <c r="D2199" s="27"/>
    </row>
    <row r="2200">
      <c r="A2200" s="26">
        <v>44678.873057881945</v>
      </c>
      <c r="B2200" s="20" t="s">
        <v>1551</v>
      </c>
      <c r="C2200" s="20">
        <v>18.0</v>
      </c>
      <c r="D2200" s="27"/>
    </row>
    <row r="2201">
      <c r="A2201" s="26">
        <v>44678.8732317824</v>
      </c>
      <c r="B2201" s="20" t="s">
        <v>1551</v>
      </c>
      <c r="C2201" s="20" t="s">
        <v>1678</v>
      </c>
      <c r="D2201" s="27"/>
    </row>
    <row r="2202">
      <c r="A2202" s="26">
        <v>44678.881223344906</v>
      </c>
      <c r="B2202" s="20" t="s">
        <v>800</v>
      </c>
      <c r="C2202" s="20" t="s">
        <v>1679</v>
      </c>
      <c r="D2202" s="27"/>
    </row>
    <row r="2203">
      <c r="A2203" s="26">
        <v>44678.88896810185</v>
      </c>
      <c r="B2203" s="20" t="s">
        <v>235</v>
      </c>
      <c r="C2203" s="20" t="s">
        <v>1680</v>
      </c>
      <c r="D2203" s="27"/>
    </row>
    <row r="2204">
      <c r="A2204" s="26">
        <v>44678.88923325231</v>
      </c>
      <c r="B2204" s="20" t="s">
        <v>338</v>
      </c>
      <c r="C2204" s="20" t="s">
        <v>1681</v>
      </c>
      <c r="D2204" s="27"/>
    </row>
    <row r="2205">
      <c r="A2205" s="26">
        <v>44678.889656388885</v>
      </c>
      <c r="B2205" s="20" t="s">
        <v>760</v>
      </c>
      <c r="C2205" s="20">
        <v>20.0</v>
      </c>
      <c r="D2205" s="27"/>
    </row>
    <row r="2206">
      <c r="A2206" s="26">
        <v>44678.8904217824</v>
      </c>
      <c r="B2206" s="20" t="s">
        <v>235</v>
      </c>
      <c r="C2206" s="20">
        <v>41.0</v>
      </c>
      <c r="D2206" s="27"/>
    </row>
    <row r="2207">
      <c r="A2207" s="26">
        <v>44678.89109740741</v>
      </c>
      <c r="B2207" s="20" t="s">
        <v>126</v>
      </c>
      <c r="C2207" s="20">
        <v>20.0</v>
      </c>
      <c r="D2207" s="27"/>
    </row>
    <row r="2208">
      <c r="A2208" s="26">
        <v>44678.89119511574</v>
      </c>
      <c r="B2208" s="20" t="s">
        <v>1682</v>
      </c>
      <c r="C2208" s="20">
        <v>18.0</v>
      </c>
      <c r="D2208" s="27"/>
    </row>
    <row r="2209">
      <c r="A2209" s="26">
        <v>44678.891330729166</v>
      </c>
      <c r="B2209" s="20" t="s">
        <v>1158</v>
      </c>
      <c r="C2209" s="20" t="s">
        <v>1683</v>
      </c>
      <c r="D2209" s="27"/>
    </row>
    <row r="2210">
      <c r="A2210" s="26">
        <v>44679.69953886574</v>
      </c>
      <c r="B2210" s="20" t="s">
        <v>886</v>
      </c>
      <c r="C2210" s="20" t="s">
        <v>1684</v>
      </c>
      <c r="D2210" s="27"/>
    </row>
    <row r="2211">
      <c r="A2211" s="26">
        <v>44679.70563805556</v>
      </c>
      <c r="B2211" s="20" t="s">
        <v>163</v>
      </c>
      <c r="C2211" s="20">
        <v>14.0</v>
      </c>
      <c r="D2211" s="27"/>
    </row>
    <row r="2212">
      <c r="A2212" s="26">
        <v>44679.70579335648</v>
      </c>
      <c r="B2212" s="20" t="s">
        <v>366</v>
      </c>
      <c r="C2212" s="20" t="s">
        <v>1685</v>
      </c>
      <c r="D2212" s="27"/>
    </row>
    <row r="2213">
      <c r="A2213" s="26">
        <v>44679.706065289356</v>
      </c>
      <c r="B2213" s="20" t="s">
        <v>1585</v>
      </c>
      <c r="C2213" s="20">
        <v>2.0</v>
      </c>
      <c r="D2213" s="27"/>
    </row>
    <row r="2214">
      <c r="A2214" s="26">
        <v>44679.70748700231</v>
      </c>
      <c r="B2214" s="20" t="s">
        <v>366</v>
      </c>
      <c r="C2214" s="20" t="s">
        <v>1686</v>
      </c>
      <c r="D2214" s="27"/>
    </row>
    <row r="2215">
      <c r="A2215" s="26">
        <v>44679.71021449074</v>
      </c>
      <c r="B2215" s="20" t="s">
        <v>235</v>
      </c>
      <c r="C2215" s="20">
        <v>5.0</v>
      </c>
      <c r="D2215" s="27"/>
    </row>
    <row r="2216">
      <c r="A2216" s="26">
        <v>44679.71421027777</v>
      </c>
      <c r="B2216" s="20" t="s">
        <v>177</v>
      </c>
      <c r="C2216" s="20">
        <v>20.0</v>
      </c>
      <c r="D2216" s="27"/>
    </row>
    <row r="2217">
      <c r="A2217" s="26">
        <v>44679.852686909726</v>
      </c>
      <c r="B2217" s="20" t="s">
        <v>820</v>
      </c>
      <c r="C2217" s="20">
        <v>6.0</v>
      </c>
      <c r="D2217" s="27"/>
    </row>
    <row r="2218">
      <c r="A2218" s="26">
        <v>44680.677888668986</v>
      </c>
      <c r="B2218" s="20" t="s">
        <v>233</v>
      </c>
      <c r="C2218" s="20">
        <v>2.0</v>
      </c>
      <c r="D2218" s="27"/>
    </row>
    <row r="2219">
      <c r="A2219" s="26">
        <v>44680.687081446755</v>
      </c>
      <c r="B2219" s="20" t="s">
        <v>344</v>
      </c>
    </row>
    <row r="2220">
      <c r="A2220" s="26">
        <v>44680.687172453705</v>
      </c>
      <c r="B2220" s="20" t="s">
        <v>344</v>
      </c>
      <c r="C2220" s="20">
        <v>20.0</v>
      </c>
      <c r="D2220" s="27"/>
    </row>
    <row r="2221">
      <c r="A2221" s="26">
        <v>44680.687291608796</v>
      </c>
      <c r="B2221" s="20" t="s">
        <v>344</v>
      </c>
      <c r="C2221" s="20" t="s">
        <v>1687</v>
      </c>
      <c r="D2221" s="27"/>
    </row>
    <row r="2222">
      <c r="A2222" s="26">
        <v>44680.68938481482</v>
      </c>
      <c r="B2222" s="20" t="s">
        <v>366</v>
      </c>
      <c r="C2222" s="20" t="s">
        <v>1688</v>
      </c>
      <c r="D2222" s="27"/>
    </row>
    <row r="2223">
      <c r="A2223" s="26">
        <v>44680.6902555787</v>
      </c>
      <c r="B2223" s="20" t="s">
        <v>366</v>
      </c>
      <c r="C2223" s="20">
        <v>7.0</v>
      </c>
      <c r="D2223" s="27"/>
    </row>
    <row r="2224">
      <c r="A2224" s="26">
        <v>44680.705492939815</v>
      </c>
      <c r="B2224" s="20" t="s">
        <v>67</v>
      </c>
      <c r="C2224" s="20">
        <v>8.0</v>
      </c>
      <c r="D2224" s="27"/>
    </row>
    <row r="2225">
      <c r="A2225" s="26">
        <v>44681.693839942134</v>
      </c>
      <c r="B2225" s="20" t="s">
        <v>946</v>
      </c>
      <c r="C2225" s="20" t="s">
        <v>1689</v>
      </c>
      <c r="D2225" s="27"/>
    </row>
    <row r="2226">
      <c r="A2226" s="26">
        <v>44681.695683252314</v>
      </c>
      <c r="B2226" s="20" t="s">
        <v>1074</v>
      </c>
      <c r="C2226" s="20">
        <v>20.0</v>
      </c>
      <c r="D2226" s="27"/>
    </row>
    <row r="2227">
      <c r="A2227" s="26">
        <v>44681.696502604165</v>
      </c>
      <c r="B2227" s="20" t="s">
        <v>1690</v>
      </c>
      <c r="C2227" s="20">
        <v>19.0</v>
      </c>
      <c r="D2227" s="27"/>
    </row>
    <row r="2228">
      <c r="A2228" s="26">
        <v>44681.696794918986</v>
      </c>
      <c r="B2228" s="20" t="s">
        <v>1632</v>
      </c>
      <c r="C2228" s="20">
        <v>20.0</v>
      </c>
      <c r="D2228" s="27"/>
    </row>
    <row r="2229">
      <c r="A2229" s="26">
        <v>44681.69909923611</v>
      </c>
      <c r="B2229" s="20" t="s">
        <v>971</v>
      </c>
      <c r="C2229" s="20">
        <v>19.0</v>
      </c>
      <c r="D2229" s="27"/>
    </row>
    <row r="2230">
      <c r="A2230" s="26">
        <v>44681.70233244213</v>
      </c>
      <c r="B2230" s="20" t="s">
        <v>1633</v>
      </c>
      <c r="C2230" s="20">
        <v>17.0</v>
      </c>
      <c r="D2230" s="27"/>
    </row>
    <row r="2231">
      <c r="A2231" s="26">
        <v>44681.70457980324</v>
      </c>
      <c r="B2231" s="20" t="s">
        <v>178</v>
      </c>
      <c r="C2231" s="20" t="s">
        <v>1691</v>
      </c>
      <c r="D2231" s="27"/>
    </row>
    <row r="2232">
      <c r="A2232" s="26">
        <v>44681.70951435185</v>
      </c>
      <c r="B2232" s="20" t="s">
        <v>300</v>
      </c>
      <c r="C2232" s="20">
        <v>20.0</v>
      </c>
      <c r="D2232" s="27"/>
    </row>
    <row r="2233">
      <c r="A2233" s="26">
        <v>44681.714906458335</v>
      </c>
      <c r="B2233" s="20" t="s">
        <v>608</v>
      </c>
      <c r="C2233" s="20">
        <v>20.0</v>
      </c>
      <c r="D2233" s="27"/>
    </row>
    <row r="2234">
      <c r="A2234" s="26">
        <v>44681.71565521991</v>
      </c>
      <c r="B2234" s="20" t="s">
        <v>608</v>
      </c>
      <c r="C2234" s="20">
        <v>3.0</v>
      </c>
      <c r="D2234" s="27"/>
    </row>
    <row r="2235">
      <c r="A2235" s="26">
        <v>44682.65029666667</v>
      </c>
      <c r="B2235" s="20" t="s">
        <v>1182</v>
      </c>
      <c r="C2235" s="20">
        <v>19.0</v>
      </c>
      <c r="D2235" s="27"/>
    </row>
    <row r="2236">
      <c r="A2236" s="26">
        <v>44682.651165972224</v>
      </c>
      <c r="B2236" s="20" t="s">
        <v>528</v>
      </c>
      <c r="C2236" s="20">
        <v>20.0</v>
      </c>
      <c r="D2236" s="27"/>
    </row>
    <row r="2237">
      <c r="A2237" s="26">
        <v>44682.651493310186</v>
      </c>
      <c r="B2237" s="20" t="s">
        <v>1478</v>
      </c>
      <c r="C2237" s="20">
        <v>1.0</v>
      </c>
      <c r="D2237" s="27"/>
    </row>
    <row r="2238">
      <c r="A2238" s="26">
        <v>44682.69734209491</v>
      </c>
      <c r="B2238" s="20" t="s">
        <v>63</v>
      </c>
      <c r="C2238" s="20">
        <v>12.0</v>
      </c>
      <c r="D2238" s="27"/>
    </row>
    <row r="2239">
      <c r="A2239" s="26">
        <v>44684.711074652776</v>
      </c>
      <c r="B2239" s="20" t="s">
        <v>193</v>
      </c>
      <c r="C2239" s="20">
        <v>27.0</v>
      </c>
      <c r="D2239" s="27"/>
    </row>
    <row r="2240">
      <c r="A2240" s="26">
        <v>44684.72013429398</v>
      </c>
      <c r="B2240" s="20" t="s">
        <v>214</v>
      </c>
      <c r="C2240" s="20">
        <v>20.0</v>
      </c>
      <c r="D2240" s="27"/>
    </row>
    <row r="2241">
      <c r="A2241" s="26">
        <v>44684.72028789352</v>
      </c>
      <c r="B2241" s="20" t="s">
        <v>214</v>
      </c>
      <c r="C2241" s="20" t="s">
        <v>1692</v>
      </c>
      <c r="D2241" s="27"/>
    </row>
    <row r="2242">
      <c r="A2242" s="26">
        <v>44684.72165921296</v>
      </c>
      <c r="B2242" s="20" t="s">
        <v>528</v>
      </c>
      <c r="C2242" s="20">
        <v>17.0</v>
      </c>
      <c r="D2242" s="27"/>
    </row>
    <row r="2243">
      <c r="A2243" s="26">
        <v>44684.721937395836</v>
      </c>
      <c r="B2243" s="20" t="s">
        <v>1677</v>
      </c>
      <c r="C2243" s="20">
        <v>26.0</v>
      </c>
      <c r="D2243" s="27"/>
    </row>
    <row r="2244">
      <c r="A2244" s="26">
        <v>44684.723799224535</v>
      </c>
      <c r="B2244" s="20" t="s">
        <v>193</v>
      </c>
      <c r="C2244" s="20" t="s">
        <v>1693</v>
      </c>
      <c r="D2244" s="27"/>
    </row>
    <row r="2245">
      <c r="A2245" s="26">
        <v>44684.72451208333</v>
      </c>
      <c r="B2245" s="20" t="s">
        <v>349</v>
      </c>
      <c r="C2245" s="20">
        <v>20.0</v>
      </c>
      <c r="D2245" s="27"/>
    </row>
    <row r="2246">
      <c r="A2246" s="26">
        <v>44684.72463984953</v>
      </c>
      <c r="B2246" s="20" t="s">
        <v>235</v>
      </c>
      <c r="C2246" s="20">
        <v>24.0</v>
      </c>
      <c r="D2246" s="27"/>
    </row>
    <row r="2247">
      <c r="A2247" s="26">
        <v>44685.70713697917</v>
      </c>
      <c r="B2247" s="20" t="s">
        <v>331</v>
      </c>
      <c r="C2247" s="20" t="s">
        <v>1694</v>
      </c>
      <c r="D2247" s="27"/>
    </row>
    <row r="2248">
      <c r="A2248" s="26">
        <v>44685.70799355324</v>
      </c>
      <c r="B2248" s="20" t="s">
        <v>285</v>
      </c>
      <c r="C2248" s="20" t="s">
        <v>1695</v>
      </c>
      <c r="D2248" s="27"/>
    </row>
    <row r="2249">
      <c r="A2249" s="26">
        <v>44685.71046326389</v>
      </c>
      <c r="B2249" s="20" t="s">
        <v>214</v>
      </c>
      <c r="C2249" s="20">
        <v>20.0</v>
      </c>
      <c r="D2249" s="27"/>
    </row>
    <row r="2250">
      <c r="A2250" s="26">
        <v>44685.71075327546</v>
      </c>
      <c r="B2250" s="20" t="s">
        <v>214</v>
      </c>
      <c r="C2250" s="20" t="s">
        <v>1696</v>
      </c>
      <c r="D2250" s="27"/>
    </row>
    <row r="2251">
      <c r="A2251" s="26">
        <v>44685.71473989583</v>
      </c>
      <c r="B2251" s="20" t="s">
        <v>1697</v>
      </c>
      <c r="C2251" s="20" t="s">
        <v>1698</v>
      </c>
      <c r="D2251" s="27"/>
    </row>
    <row r="2252">
      <c r="A2252" s="26">
        <v>44685.72324733796</v>
      </c>
      <c r="B2252" s="20" t="s">
        <v>1699</v>
      </c>
      <c r="C2252" s="20">
        <v>34.0</v>
      </c>
      <c r="D2252" s="27"/>
    </row>
    <row r="2253">
      <c r="A2253" s="26">
        <v>44685.723516134254</v>
      </c>
      <c r="B2253" s="20" t="s">
        <v>608</v>
      </c>
      <c r="C2253" s="20">
        <v>22.0</v>
      </c>
      <c r="D2253" s="27"/>
    </row>
    <row r="2254">
      <c r="A2254" s="26">
        <v>44685.73557244213</v>
      </c>
      <c r="B2254" s="20" t="s">
        <v>177</v>
      </c>
      <c r="C2254" s="20">
        <v>14.0</v>
      </c>
      <c r="D2254" s="27"/>
    </row>
    <row r="2255">
      <c r="A2255" s="26">
        <v>44685.73662940972</v>
      </c>
      <c r="B2255" s="20" t="s">
        <v>1700</v>
      </c>
      <c r="C2255" s="20">
        <v>11.0</v>
      </c>
      <c r="D2255" s="27"/>
    </row>
    <row r="2256">
      <c r="A2256" s="26">
        <v>44685.73696252315</v>
      </c>
      <c r="B2256" s="20" t="s">
        <v>235</v>
      </c>
      <c r="C2256" s="20">
        <v>33.0</v>
      </c>
      <c r="D2256" s="27"/>
    </row>
    <row r="2257">
      <c r="A2257" s="26">
        <v>44685.736970868056</v>
      </c>
      <c r="B2257" s="20" t="s">
        <v>366</v>
      </c>
      <c r="C2257" s="20" t="s">
        <v>1701</v>
      </c>
      <c r="D2257" s="27"/>
    </row>
    <row r="2258">
      <c r="A2258" s="26">
        <v>44685.88214141203</v>
      </c>
      <c r="B2258" s="20" t="s">
        <v>67</v>
      </c>
      <c r="C2258" s="20">
        <v>68.0</v>
      </c>
      <c r="D2258" s="27"/>
    </row>
    <row r="2259">
      <c r="A2259" s="26">
        <v>44685.885099074076</v>
      </c>
      <c r="B2259" s="20" t="s">
        <v>1551</v>
      </c>
      <c r="C2259" s="20">
        <v>18.0</v>
      </c>
      <c r="D2259" s="27"/>
    </row>
    <row r="2260">
      <c r="A2260" s="26">
        <v>44685.88896222222</v>
      </c>
      <c r="B2260" s="20" t="s">
        <v>1158</v>
      </c>
      <c r="C2260" s="20" t="s">
        <v>1702</v>
      </c>
      <c r="D2260" s="27"/>
    </row>
    <row r="2261">
      <c r="A2261" s="26">
        <v>44685.89864002315</v>
      </c>
      <c r="B2261" s="20" t="s">
        <v>824</v>
      </c>
      <c r="C2261" s="20">
        <v>19.0</v>
      </c>
      <c r="D2261" s="27"/>
    </row>
    <row r="2262">
      <c r="A2262" s="26">
        <v>44685.898811481486</v>
      </c>
      <c r="B2262" s="20" t="s">
        <v>235</v>
      </c>
      <c r="C2262" s="20">
        <v>14.0</v>
      </c>
      <c r="D2262" s="27"/>
    </row>
    <row r="2263">
      <c r="A2263" s="26">
        <v>44686.4382878125</v>
      </c>
      <c r="B2263" s="20" t="s">
        <v>357</v>
      </c>
      <c r="C2263" s="20">
        <v>23.0</v>
      </c>
      <c r="D2263" s="27"/>
    </row>
    <row r="2264">
      <c r="A2264" s="26">
        <v>44686.69554371528</v>
      </c>
      <c r="B2264" s="20" t="s">
        <v>886</v>
      </c>
      <c r="C2264" s="20" t="s">
        <v>1680</v>
      </c>
      <c r="D2264" s="27"/>
    </row>
    <row r="2265">
      <c r="A2265" s="26">
        <v>44686.69863875</v>
      </c>
      <c r="B2265" s="20" t="s">
        <v>366</v>
      </c>
      <c r="C2265" s="20">
        <v>2.0</v>
      </c>
      <c r="D2265" s="27"/>
    </row>
    <row r="2266">
      <c r="A2266" s="26">
        <v>44686.69965778935</v>
      </c>
      <c r="B2266" s="20" t="s">
        <v>366</v>
      </c>
      <c r="C2266" s="20">
        <v>11.0</v>
      </c>
      <c r="D2266" s="27"/>
    </row>
    <row r="2267">
      <c r="A2267" s="26">
        <v>44686.70779431713</v>
      </c>
      <c r="B2267" s="20" t="s">
        <v>1703</v>
      </c>
      <c r="C2267" s="20">
        <v>68.0</v>
      </c>
      <c r="D2267" s="27"/>
    </row>
    <row r="2268">
      <c r="A2268" s="26">
        <v>44686.70883567129</v>
      </c>
      <c r="B2268" s="20" t="s">
        <v>1704</v>
      </c>
    </row>
    <row r="2269">
      <c r="A2269" s="26">
        <v>44686.7093478125</v>
      </c>
      <c r="B2269" s="20" t="s">
        <v>163</v>
      </c>
      <c r="C2269" s="20">
        <v>22.0</v>
      </c>
      <c r="D2269" s="27"/>
    </row>
    <row r="2270">
      <c r="A2270" s="26">
        <v>44686.87589340278</v>
      </c>
      <c r="B2270" s="20" t="s">
        <v>1052</v>
      </c>
      <c r="C2270" s="20">
        <v>10.0</v>
      </c>
      <c r="D2270" s="27"/>
    </row>
    <row r="2271">
      <c r="A2271" s="26">
        <v>44686.8794380787</v>
      </c>
      <c r="B2271" s="20" t="s">
        <v>300</v>
      </c>
      <c r="C2271" s="20" t="s">
        <v>1054</v>
      </c>
      <c r="D2271" s="27"/>
    </row>
    <row r="2272">
      <c r="A2272" s="26">
        <v>44686.88011167824</v>
      </c>
      <c r="B2272" s="20" t="s">
        <v>1228</v>
      </c>
      <c r="C2272" s="20">
        <v>20.0</v>
      </c>
      <c r="D2272" s="27"/>
    </row>
    <row r="2273">
      <c r="A2273" s="26">
        <v>44686.885623055554</v>
      </c>
      <c r="B2273" s="20" t="s">
        <v>597</v>
      </c>
      <c r="C2273" s="20">
        <v>20.0</v>
      </c>
      <c r="D2273" s="27"/>
    </row>
    <row r="2274">
      <c r="A2274" s="26">
        <v>44686.88596159722</v>
      </c>
      <c r="B2274" s="20" t="s">
        <v>1705</v>
      </c>
      <c r="C2274" s="20">
        <v>5.0</v>
      </c>
      <c r="D2274" s="27"/>
    </row>
    <row r="2275">
      <c r="A2275" s="26">
        <v>44687.6905315162</v>
      </c>
      <c r="B2275" s="20" t="s">
        <v>110</v>
      </c>
      <c r="C2275" s="20">
        <v>173.0</v>
      </c>
      <c r="D2275" s="27"/>
    </row>
    <row r="2276">
      <c r="A2276" s="26">
        <v>44687.70083021991</v>
      </c>
      <c r="B2276" s="20" t="s">
        <v>233</v>
      </c>
      <c r="C2276" s="20">
        <v>8.0</v>
      </c>
      <c r="D2276" s="27"/>
    </row>
    <row r="2277">
      <c r="A2277" s="26">
        <v>44687.72201315972</v>
      </c>
      <c r="B2277" s="20" t="s">
        <v>112</v>
      </c>
      <c r="C2277" s="20">
        <v>20.0</v>
      </c>
      <c r="D2277" s="27"/>
    </row>
    <row r="2278">
      <c r="A2278" s="26">
        <v>44687.722431284725</v>
      </c>
      <c r="B2278" s="20" t="s">
        <v>112</v>
      </c>
      <c r="C2278" s="20">
        <v>11.0</v>
      </c>
      <c r="D2278" s="27"/>
    </row>
    <row r="2279">
      <c r="A2279" s="26">
        <v>44687.723726805554</v>
      </c>
      <c r="B2279" s="20" t="s">
        <v>1706</v>
      </c>
      <c r="C2279" s="20" t="s">
        <v>1707</v>
      </c>
      <c r="D2279" s="27"/>
    </row>
    <row r="2280">
      <c r="A2280" s="26">
        <v>44687.72408829861</v>
      </c>
      <c r="B2280" s="20" t="s">
        <v>1706</v>
      </c>
      <c r="C2280" s="20" t="s">
        <v>1708</v>
      </c>
      <c r="D2280" s="27"/>
    </row>
    <row r="2281">
      <c r="A2281" s="26">
        <v>44687.72632398148</v>
      </c>
      <c r="B2281" s="20" t="s">
        <v>1005</v>
      </c>
      <c r="C2281" s="20">
        <v>19.0</v>
      </c>
      <c r="D2281" s="27"/>
    </row>
    <row r="2282">
      <c r="A2282" s="26">
        <v>44687.72670005787</v>
      </c>
      <c r="B2282" s="20" t="s">
        <v>1709</v>
      </c>
      <c r="C2282" s="20">
        <v>8.0</v>
      </c>
      <c r="D2282" s="27"/>
    </row>
    <row r="2283">
      <c r="A2283" s="26">
        <v>44687.727515949075</v>
      </c>
      <c r="B2283" s="20" t="s">
        <v>357</v>
      </c>
      <c r="C2283" s="20" t="s">
        <v>1710</v>
      </c>
      <c r="D2283" s="27"/>
    </row>
    <row r="2284">
      <c r="A2284" s="26">
        <v>44687.73185133102</v>
      </c>
      <c r="B2284" s="20" t="s">
        <v>366</v>
      </c>
      <c r="C2284" s="20" t="s">
        <v>1711</v>
      </c>
      <c r="D2284" s="27"/>
    </row>
    <row r="2285">
      <c r="A2285" s="26">
        <v>44687.73220849537</v>
      </c>
      <c r="B2285" s="20" t="s">
        <v>366</v>
      </c>
      <c r="C2285" s="20" t="s">
        <v>1712</v>
      </c>
      <c r="D2285" s="27"/>
    </row>
    <row r="2286">
      <c r="A2286" s="26">
        <v>44687.80810711806</v>
      </c>
      <c r="B2286" s="20" t="s">
        <v>67</v>
      </c>
      <c r="C2286" s="20">
        <v>38.0</v>
      </c>
      <c r="D2286" s="27"/>
    </row>
    <row r="2287">
      <c r="A2287" s="26">
        <v>44688.70127238426</v>
      </c>
      <c r="B2287" s="20" t="s">
        <v>1713</v>
      </c>
      <c r="C2287" s="20">
        <v>10.0</v>
      </c>
      <c r="D2287" s="27"/>
    </row>
    <row r="2288">
      <c r="A2288" s="26">
        <v>44688.70145238426</v>
      </c>
      <c r="B2288" s="20" t="s">
        <v>1714</v>
      </c>
      <c r="C2288" s="20">
        <v>12.0</v>
      </c>
      <c r="D2288" s="27"/>
    </row>
    <row r="2289">
      <c r="A2289" s="26">
        <v>44688.70188083334</v>
      </c>
      <c r="B2289" s="20" t="s">
        <v>355</v>
      </c>
      <c r="C2289" s="20">
        <v>23.0</v>
      </c>
      <c r="D2289" s="27"/>
    </row>
    <row r="2290">
      <c r="A2290" s="26">
        <v>44688.70240833334</v>
      </c>
      <c r="B2290" s="20" t="s">
        <v>112</v>
      </c>
      <c r="C2290" s="20">
        <v>20.0</v>
      </c>
      <c r="D2290" s="27"/>
    </row>
    <row r="2291">
      <c r="A2291" s="26">
        <v>44688.70333873843</v>
      </c>
      <c r="B2291" s="20" t="s">
        <v>285</v>
      </c>
      <c r="C2291" s="20" t="s">
        <v>1715</v>
      </c>
      <c r="D2291" s="27"/>
    </row>
    <row r="2292">
      <c r="A2292" s="26">
        <v>44688.70534969907</v>
      </c>
      <c r="B2292" s="20" t="s">
        <v>285</v>
      </c>
      <c r="C2292" s="20" t="s">
        <v>1716</v>
      </c>
      <c r="D2292" s="27"/>
    </row>
    <row r="2293">
      <c r="A2293" s="26">
        <v>44688.7067591088</v>
      </c>
      <c r="B2293" s="20" t="s">
        <v>1228</v>
      </c>
      <c r="C2293" s="20">
        <v>20.0</v>
      </c>
      <c r="D2293" s="27"/>
    </row>
    <row r="2294">
      <c r="A2294" s="26">
        <v>44688.707355289356</v>
      </c>
      <c r="B2294" s="20" t="s">
        <v>1717</v>
      </c>
      <c r="C2294" s="20">
        <v>1.0</v>
      </c>
      <c r="D2294" s="27"/>
    </row>
    <row r="2295">
      <c r="A2295" s="26">
        <v>44688.71181047454</v>
      </c>
      <c r="B2295" s="20" t="s">
        <v>67</v>
      </c>
      <c r="C2295" s="20">
        <v>94.0</v>
      </c>
      <c r="D2295" s="27"/>
    </row>
    <row r="2296">
      <c r="A2296" s="26">
        <v>44689.71015496527</v>
      </c>
      <c r="B2296" s="20" t="s">
        <v>67</v>
      </c>
      <c r="C2296" s="20">
        <v>25.0</v>
      </c>
      <c r="D2296" s="27"/>
    </row>
    <row r="2297">
      <c r="A2297" s="26">
        <v>44691.55192795139</v>
      </c>
      <c r="B2297" s="20" t="s">
        <v>370</v>
      </c>
      <c r="C2297" s="20" t="s">
        <v>1718</v>
      </c>
      <c r="D2297" s="27"/>
    </row>
    <row r="2298">
      <c r="A2298" s="26">
        <v>44691.69844921296</v>
      </c>
      <c r="B2298" s="20" t="s">
        <v>1610</v>
      </c>
      <c r="C2298" s="20">
        <v>20.0</v>
      </c>
      <c r="D2298" s="27"/>
    </row>
    <row r="2299">
      <c r="A2299" s="26">
        <v>44691.69893270833</v>
      </c>
      <c r="B2299" s="20" t="s">
        <v>1610</v>
      </c>
      <c r="C2299" s="20">
        <v>6.0</v>
      </c>
      <c r="D2299" s="27"/>
    </row>
    <row r="2300">
      <c r="A2300" s="26">
        <v>44691.7024353125</v>
      </c>
      <c r="B2300" s="20" t="s">
        <v>214</v>
      </c>
      <c r="C2300" s="20">
        <v>19.0</v>
      </c>
      <c r="D2300" s="27"/>
    </row>
    <row r="2301">
      <c r="A2301" s="26">
        <v>44691.702615625</v>
      </c>
      <c r="B2301" s="20" t="s">
        <v>214</v>
      </c>
      <c r="C2301" s="20" t="s">
        <v>1719</v>
      </c>
      <c r="D2301" s="27"/>
    </row>
    <row r="2302">
      <c r="A2302" s="26">
        <v>44691.7159578125</v>
      </c>
      <c r="B2302" s="20" t="s">
        <v>203</v>
      </c>
      <c r="C2302" s="20">
        <v>19.0</v>
      </c>
      <c r="D2302" s="27"/>
    </row>
    <row r="2303">
      <c r="A2303" s="26">
        <v>44691.71611540509</v>
      </c>
      <c r="B2303" s="20" t="s">
        <v>203</v>
      </c>
      <c r="C2303" s="20">
        <v>117.0</v>
      </c>
      <c r="D2303" s="27"/>
    </row>
    <row r="2304">
      <c r="A2304" s="26">
        <v>44691.73138648148</v>
      </c>
      <c r="B2304" s="20" t="s">
        <v>1720</v>
      </c>
      <c r="C2304" s="20">
        <v>348.0</v>
      </c>
      <c r="D2304" s="27"/>
    </row>
    <row r="2305">
      <c r="A2305" s="26">
        <v>44691.73217765046</v>
      </c>
      <c r="B2305" s="20" t="s">
        <v>1378</v>
      </c>
      <c r="C2305" s="20">
        <v>18.0</v>
      </c>
      <c r="D2305" s="27"/>
    </row>
    <row r="2306">
      <c r="A2306" s="26">
        <v>44692.70343075231</v>
      </c>
      <c r="B2306" s="20" t="s">
        <v>285</v>
      </c>
      <c r="C2306" s="20" t="s">
        <v>1500</v>
      </c>
      <c r="D2306" s="27"/>
    </row>
    <row r="2307">
      <c r="A2307" s="26">
        <v>44692.70386450231</v>
      </c>
      <c r="B2307" s="20" t="s">
        <v>285</v>
      </c>
      <c r="C2307" s="20" t="s">
        <v>1534</v>
      </c>
      <c r="D2307" s="27"/>
    </row>
    <row r="2308">
      <c r="A2308" s="26">
        <v>44692.70506219908</v>
      </c>
      <c r="B2308" s="20" t="s">
        <v>1610</v>
      </c>
      <c r="C2308" s="20">
        <v>12.0</v>
      </c>
      <c r="D2308" s="27"/>
    </row>
    <row r="2309">
      <c r="A2309" s="26">
        <v>44692.70526850694</v>
      </c>
      <c r="B2309" s="20" t="s">
        <v>366</v>
      </c>
      <c r="C2309" s="20" t="s">
        <v>1721</v>
      </c>
      <c r="D2309" s="27"/>
    </row>
    <row r="2310">
      <c r="A2310" s="26">
        <v>44692.70541414352</v>
      </c>
      <c r="B2310" s="20" t="s">
        <v>1610</v>
      </c>
      <c r="C2310" s="20">
        <v>7.0</v>
      </c>
      <c r="D2310" s="27"/>
    </row>
    <row r="2311">
      <c r="A2311" s="26">
        <v>44692.70857898148</v>
      </c>
      <c r="B2311" s="20" t="s">
        <v>366</v>
      </c>
      <c r="C2311" s="20">
        <v>10.0</v>
      </c>
      <c r="D2311" s="27"/>
    </row>
    <row r="2312">
      <c r="A2312" s="26">
        <v>44692.71146976852</v>
      </c>
      <c r="B2312" s="20" t="s">
        <v>177</v>
      </c>
      <c r="C2312" s="20">
        <v>16.0</v>
      </c>
      <c r="D2312" s="27"/>
    </row>
    <row r="2313">
      <c r="A2313" s="26">
        <v>44692.711645787036</v>
      </c>
      <c r="B2313" s="20" t="s">
        <v>235</v>
      </c>
      <c r="C2313" s="20">
        <v>12.0</v>
      </c>
      <c r="D2313" s="27"/>
    </row>
    <row r="2314">
      <c r="A2314" s="26">
        <v>44692.865592256945</v>
      </c>
      <c r="B2314" s="20" t="s">
        <v>787</v>
      </c>
      <c r="C2314" s="20">
        <v>20.0</v>
      </c>
      <c r="D2314" s="27"/>
    </row>
    <row r="2315">
      <c r="A2315" s="26">
        <v>44692.86604603009</v>
      </c>
      <c r="B2315" s="20" t="s">
        <v>235</v>
      </c>
      <c r="C2315" s="20">
        <v>2.0</v>
      </c>
      <c r="D2315" s="27"/>
    </row>
    <row r="2316">
      <c r="A2316" s="26">
        <v>44692.86640503472</v>
      </c>
      <c r="B2316" s="20" t="s">
        <v>902</v>
      </c>
      <c r="C2316" s="20">
        <v>23.0</v>
      </c>
      <c r="D2316" s="27"/>
    </row>
    <row r="2317">
      <c r="A2317" s="26">
        <v>44692.870412118056</v>
      </c>
      <c r="B2317" s="20" t="s">
        <v>338</v>
      </c>
      <c r="C2317" s="20">
        <v>20.0</v>
      </c>
      <c r="D2317" s="27"/>
    </row>
    <row r="2318">
      <c r="A2318" s="26">
        <v>44692.87056092593</v>
      </c>
      <c r="B2318" s="20" t="s">
        <v>338</v>
      </c>
      <c r="C2318" s="20">
        <v>10.0</v>
      </c>
      <c r="D2318" s="27"/>
    </row>
    <row r="2319">
      <c r="A2319" s="26">
        <v>44692.870827719904</v>
      </c>
      <c r="B2319" s="20" t="s">
        <v>960</v>
      </c>
      <c r="C2319" s="20">
        <v>20.0</v>
      </c>
      <c r="D2319" s="27"/>
    </row>
    <row r="2320">
      <c r="A2320" s="26">
        <v>44692.872292025466</v>
      </c>
      <c r="B2320" s="20" t="s">
        <v>1342</v>
      </c>
      <c r="C2320" s="20" t="s">
        <v>1722</v>
      </c>
      <c r="D2320" s="27"/>
    </row>
    <row r="2321">
      <c r="A2321" s="26">
        <v>44692.8736965625</v>
      </c>
      <c r="B2321" s="20" t="s">
        <v>786</v>
      </c>
      <c r="C2321" s="20">
        <v>20.0</v>
      </c>
      <c r="D2321" s="27"/>
    </row>
    <row r="2322">
      <c r="A2322" s="26">
        <v>44692.87374216435</v>
      </c>
      <c r="B2322" s="20" t="s">
        <v>1158</v>
      </c>
      <c r="C2322" s="20" t="s">
        <v>1723</v>
      </c>
      <c r="D2322" s="27"/>
    </row>
    <row r="2323">
      <c r="A2323" s="26">
        <v>44692.878224189815</v>
      </c>
      <c r="B2323" s="20" t="s">
        <v>67</v>
      </c>
      <c r="C2323" s="20">
        <v>42.0</v>
      </c>
      <c r="D2323" s="27"/>
    </row>
    <row r="2324">
      <c r="A2324" s="26">
        <v>44692.87916053241</v>
      </c>
      <c r="B2324" s="20" t="s">
        <v>760</v>
      </c>
      <c r="C2324" s="20">
        <v>17.0</v>
      </c>
      <c r="D2324" s="27"/>
    </row>
    <row r="2325">
      <c r="A2325" s="26">
        <v>44692.879283622686</v>
      </c>
      <c r="B2325" s="20" t="s">
        <v>235</v>
      </c>
      <c r="C2325" s="20">
        <v>7.0</v>
      </c>
      <c r="D2325" s="27"/>
    </row>
    <row r="2326">
      <c r="A2326" s="26">
        <v>44693.70415659722</v>
      </c>
      <c r="B2326" s="20" t="s">
        <v>886</v>
      </c>
      <c r="C2326" s="20" t="s">
        <v>1724</v>
      </c>
      <c r="D2326" s="27"/>
    </row>
    <row r="2327">
      <c r="A2327" s="26">
        <v>44693.70537390046</v>
      </c>
      <c r="B2327" s="20" t="s">
        <v>338</v>
      </c>
      <c r="C2327" s="20">
        <v>23.0</v>
      </c>
      <c r="D2327" s="27"/>
    </row>
    <row r="2328">
      <c r="A2328" s="26">
        <v>44693.883736539356</v>
      </c>
      <c r="B2328" s="20" t="s">
        <v>126</v>
      </c>
      <c r="C2328" s="20">
        <v>20.0</v>
      </c>
      <c r="D2328" s="27"/>
    </row>
    <row r="2329">
      <c r="A2329" s="26">
        <v>44693.88379613426</v>
      </c>
      <c r="B2329" s="20" t="s">
        <v>1725</v>
      </c>
      <c r="C2329" s="20">
        <v>30.0</v>
      </c>
      <c r="D2329" s="27"/>
    </row>
    <row r="2330">
      <c r="A2330" s="26">
        <v>44693.884100034724</v>
      </c>
      <c r="B2330" s="20" t="s">
        <v>1228</v>
      </c>
      <c r="C2330" s="20" t="s">
        <v>1726</v>
      </c>
      <c r="D2330" s="27"/>
    </row>
    <row r="2331">
      <c r="A2331" s="26">
        <v>44693.88851263889</v>
      </c>
      <c r="B2331" s="20" t="s">
        <v>67</v>
      </c>
      <c r="C2331" s="20">
        <v>18.0</v>
      </c>
      <c r="D2331" s="27"/>
    </row>
    <row r="2332">
      <c r="A2332" s="26">
        <v>44694.684515416666</v>
      </c>
      <c r="B2332" s="20" t="s">
        <v>233</v>
      </c>
      <c r="C2332" s="20">
        <v>8.0</v>
      </c>
      <c r="D2332" s="27"/>
    </row>
    <row r="2333">
      <c r="A2333" s="26">
        <v>44694.72126547454</v>
      </c>
      <c r="B2333" s="20" t="s">
        <v>366</v>
      </c>
      <c r="C2333" s="20" t="s">
        <v>1727</v>
      </c>
      <c r="D2333" s="27"/>
    </row>
    <row r="2334">
      <c r="A2334" s="26">
        <v>44694.724850949075</v>
      </c>
      <c r="B2334" s="20" t="s">
        <v>366</v>
      </c>
      <c r="C2334" s="20" t="s">
        <v>1728</v>
      </c>
      <c r="D2334" s="27"/>
    </row>
    <row r="2335">
      <c r="A2335" s="26">
        <v>44694.72500821759</v>
      </c>
      <c r="B2335" s="20" t="s">
        <v>1729</v>
      </c>
      <c r="C2335" s="20">
        <v>20.0</v>
      </c>
      <c r="D2335" s="27"/>
    </row>
    <row r="2336">
      <c r="A2336" s="26">
        <v>44694.72519545139</v>
      </c>
      <c r="B2336" s="20" t="s">
        <v>1729</v>
      </c>
      <c r="C2336" s="20" t="s">
        <v>1730</v>
      </c>
      <c r="D2336" s="27"/>
    </row>
    <row r="2337">
      <c r="A2337" s="26">
        <v>44694.72717806713</v>
      </c>
      <c r="B2337" s="20" t="s">
        <v>1008</v>
      </c>
      <c r="C2337" s="20" t="s">
        <v>1731</v>
      </c>
      <c r="D2337" s="27"/>
    </row>
    <row r="2338">
      <c r="A2338" s="26">
        <v>44694.727258680556</v>
      </c>
      <c r="B2338" s="20" t="s">
        <v>1732</v>
      </c>
      <c r="C2338" s="20" t="s">
        <v>1733</v>
      </c>
      <c r="D2338" s="27"/>
    </row>
    <row r="2339">
      <c r="A2339" s="26">
        <v>44694.73482293982</v>
      </c>
      <c r="B2339" s="20" t="s">
        <v>300</v>
      </c>
      <c r="C2339" s="20">
        <v>20.0</v>
      </c>
      <c r="D2339" s="27"/>
    </row>
    <row r="2340">
      <c r="A2340" s="26">
        <v>44695.70547079861</v>
      </c>
      <c r="B2340" s="20" t="s">
        <v>1734</v>
      </c>
      <c r="C2340" s="20">
        <v>20.0</v>
      </c>
      <c r="D2340" s="27"/>
    </row>
    <row r="2341">
      <c r="A2341" s="26">
        <v>44695.70997005787</v>
      </c>
      <c r="B2341" s="20" t="s">
        <v>1735</v>
      </c>
      <c r="C2341" s="20">
        <v>19.0</v>
      </c>
      <c r="D2341" s="27"/>
    </row>
    <row r="2342">
      <c r="A2342" s="26">
        <v>44695.71155600694</v>
      </c>
      <c r="B2342" s="20" t="s">
        <v>112</v>
      </c>
      <c r="C2342" s="20">
        <v>20.0</v>
      </c>
      <c r="D2342" s="27"/>
    </row>
    <row r="2343">
      <c r="A2343" s="26">
        <v>44695.71186506945</v>
      </c>
      <c r="B2343" s="20" t="s">
        <v>112</v>
      </c>
      <c r="C2343" s="20">
        <v>3.0</v>
      </c>
      <c r="D2343" s="27"/>
    </row>
    <row r="2344">
      <c r="A2344" s="26">
        <v>44695.719510069444</v>
      </c>
      <c r="B2344" s="20" t="s">
        <v>285</v>
      </c>
      <c r="C2344" s="20" t="s">
        <v>1715</v>
      </c>
      <c r="D2344" s="27"/>
    </row>
    <row r="2345">
      <c r="A2345" s="26">
        <v>44695.71977327546</v>
      </c>
      <c r="B2345" s="20" t="s">
        <v>285</v>
      </c>
      <c r="C2345" s="20" t="s">
        <v>1102</v>
      </c>
      <c r="D2345" s="27"/>
    </row>
    <row r="2346">
      <c r="A2346" s="26">
        <v>44695.728263310186</v>
      </c>
      <c r="B2346" s="20" t="s">
        <v>1736</v>
      </c>
      <c r="C2346" s="20" t="s">
        <v>1737</v>
      </c>
      <c r="D2346" s="27"/>
    </row>
    <row r="2347">
      <c r="A2347" s="26">
        <v>44695.728594722226</v>
      </c>
      <c r="B2347" s="20" t="s">
        <v>1736</v>
      </c>
      <c r="C2347" s="20" t="s">
        <v>1738</v>
      </c>
      <c r="D2347" s="27"/>
    </row>
    <row r="2348">
      <c r="A2348" s="26">
        <v>44695.730669537035</v>
      </c>
      <c r="B2348" s="20" t="s">
        <v>1739</v>
      </c>
      <c r="C2348" s="20" t="s">
        <v>1740</v>
      </c>
      <c r="D2348" s="27"/>
    </row>
    <row r="2349">
      <c r="A2349" s="26">
        <v>44695.73077599537</v>
      </c>
      <c r="B2349" s="20" t="s">
        <v>366</v>
      </c>
      <c r="C2349" s="20" t="s">
        <v>1741</v>
      </c>
      <c r="D2349" s="27"/>
    </row>
    <row r="2350">
      <c r="A2350" s="26">
        <v>44695.73087712963</v>
      </c>
      <c r="B2350" s="20" t="s">
        <v>1739</v>
      </c>
      <c r="C2350" s="20" t="s">
        <v>1102</v>
      </c>
      <c r="D2350" s="27"/>
    </row>
    <row r="2351">
      <c r="A2351" s="26">
        <v>44696.648175787035</v>
      </c>
      <c r="B2351" s="20" t="s">
        <v>1182</v>
      </c>
      <c r="C2351" s="20">
        <v>20.0</v>
      </c>
      <c r="D2351" s="27"/>
    </row>
    <row r="2352">
      <c r="A2352" s="26">
        <v>44696.66249563657</v>
      </c>
      <c r="B2352" s="20" t="s">
        <v>193</v>
      </c>
      <c r="C2352" s="20" t="s">
        <v>1742</v>
      </c>
      <c r="D2352" s="27"/>
    </row>
    <row r="2353">
      <c r="A2353" s="26">
        <v>44696.66706040509</v>
      </c>
      <c r="B2353" s="20" t="s">
        <v>79</v>
      </c>
      <c r="C2353" s="20">
        <v>20.0</v>
      </c>
      <c r="D2353" s="27"/>
    </row>
    <row r="2354">
      <c r="A2354" s="26">
        <v>44696.667205335645</v>
      </c>
      <c r="B2354" s="20" t="s">
        <v>1743</v>
      </c>
      <c r="C2354" s="20">
        <v>3.0</v>
      </c>
      <c r="D2354" s="27"/>
    </row>
    <row r="2355">
      <c r="A2355" s="26">
        <v>44696.66730585648</v>
      </c>
      <c r="B2355" s="20" t="s">
        <v>982</v>
      </c>
      <c r="C2355" s="20">
        <v>20.0</v>
      </c>
      <c r="D2355" s="27"/>
    </row>
    <row r="2356">
      <c r="A2356" s="26">
        <v>44696.672521851855</v>
      </c>
      <c r="B2356" s="20" t="s">
        <v>193</v>
      </c>
      <c r="C2356" s="20">
        <v>29.0</v>
      </c>
      <c r="D2356" s="27"/>
    </row>
    <row r="2357">
      <c r="A2357" s="26">
        <v>44696.67339834491</v>
      </c>
      <c r="B2357" s="20" t="s">
        <v>528</v>
      </c>
      <c r="C2357" s="20">
        <v>20.0</v>
      </c>
      <c r="D2357" s="27"/>
    </row>
    <row r="2358">
      <c r="A2358" s="26">
        <v>44696.67387233797</v>
      </c>
      <c r="B2358" s="20" t="s">
        <v>1391</v>
      </c>
      <c r="C2358" s="20">
        <v>10.0</v>
      </c>
      <c r="D2358" s="27"/>
    </row>
    <row r="2359">
      <c r="A2359" s="26">
        <v>44696.68989865741</v>
      </c>
      <c r="B2359" s="20" t="s">
        <v>193</v>
      </c>
      <c r="C2359" s="20">
        <v>21.0</v>
      </c>
      <c r="D2359" s="27"/>
    </row>
    <row r="2360">
      <c r="A2360" s="26">
        <v>44696.70230547454</v>
      </c>
      <c r="B2360" s="20" t="s">
        <v>193</v>
      </c>
      <c r="C2360" s="20">
        <v>4.0</v>
      </c>
      <c r="D2360" s="27"/>
    </row>
    <row r="2361">
      <c r="A2361" s="26">
        <v>44696.70251221065</v>
      </c>
      <c r="B2361" s="20" t="s">
        <v>203</v>
      </c>
      <c r="C2361" s="20">
        <v>20.0</v>
      </c>
      <c r="D2361" s="27"/>
    </row>
    <row r="2362">
      <c r="A2362" s="26">
        <v>44696.70260424769</v>
      </c>
      <c r="B2362" s="20" t="s">
        <v>203</v>
      </c>
      <c r="C2362" s="20">
        <v>31.0</v>
      </c>
      <c r="D2362" s="27"/>
    </row>
    <row r="2363">
      <c r="A2363" s="26">
        <v>44696.70435818287</v>
      </c>
      <c r="B2363" s="20" t="s">
        <v>49</v>
      </c>
      <c r="C2363" s="20">
        <v>6.0</v>
      </c>
      <c r="D2363" s="27"/>
    </row>
    <row r="2364">
      <c r="A2364" s="26">
        <v>44698.69249208333</v>
      </c>
      <c r="B2364" s="20" t="s">
        <v>193</v>
      </c>
      <c r="C2364" s="20">
        <v>30.0</v>
      </c>
      <c r="D2364" s="27"/>
    </row>
    <row r="2365">
      <c r="A2365" s="26">
        <v>44698.70506952546</v>
      </c>
      <c r="B2365" s="20" t="s">
        <v>995</v>
      </c>
      <c r="C2365" s="20">
        <v>19.0</v>
      </c>
      <c r="D2365" s="27"/>
    </row>
    <row r="2366">
      <c r="A2366" s="26">
        <v>44698.710526435185</v>
      </c>
      <c r="B2366" s="20" t="s">
        <v>1677</v>
      </c>
      <c r="C2366" s="20">
        <v>14.0</v>
      </c>
      <c r="D2366" s="27"/>
    </row>
    <row r="2367">
      <c r="A2367" s="26">
        <v>44698.711467615736</v>
      </c>
      <c r="B2367" s="20" t="s">
        <v>191</v>
      </c>
      <c r="C2367" s="20">
        <v>21.0</v>
      </c>
      <c r="D2367" s="27"/>
      <c r="E2367" s="20" t="s">
        <v>1744</v>
      </c>
    </row>
    <row r="2368">
      <c r="A2368" s="26">
        <v>44698.71284699074</v>
      </c>
      <c r="B2368" s="20" t="s">
        <v>931</v>
      </c>
      <c r="C2368" s="20">
        <v>28.0</v>
      </c>
      <c r="D2368" s="27"/>
    </row>
    <row r="2369">
      <c r="A2369" s="26">
        <v>44698.71306458334</v>
      </c>
      <c r="B2369" s="20" t="s">
        <v>163</v>
      </c>
      <c r="C2369" s="20">
        <v>18.0</v>
      </c>
      <c r="D2369" s="27"/>
    </row>
    <row r="2370">
      <c r="A2370" s="26">
        <v>44698.71677395834</v>
      </c>
      <c r="B2370" s="20" t="s">
        <v>193</v>
      </c>
      <c r="C2370" s="20">
        <v>19.0</v>
      </c>
      <c r="D2370" s="27"/>
    </row>
    <row r="2371">
      <c r="A2371" s="26">
        <v>44698.92580964121</v>
      </c>
      <c r="B2371" s="20" t="s">
        <v>193</v>
      </c>
      <c r="C2371" s="20">
        <v>3.0</v>
      </c>
      <c r="D2371" s="27"/>
      <c r="E2371" s="20" t="s">
        <v>1745</v>
      </c>
    </row>
    <row r="2372">
      <c r="A2372" s="26">
        <v>44699.72186748842</v>
      </c>
      <c r="B2372" s="20" t="s">
        <v>285</v>
      </c>
      <c r="C2372" s="20">
        <v>16.0</v>
      </c>
      <c r="D2372" s="27"/>
    </row>
    <row r="2373">
      <c r="A2373" s="26">
        <v>44699.72255936342</v>
      </c>
      <c r="B2373" s="20" t="s">
        <v>285</v>
      </c>
      <c r="C2373" s="20">
        <v>8.0</v>
      </c>
      <c r="D2373" s="27"/>
      <c r="E2373" s="20" t="s">
        <v>1744</v>
      </c>
    </row>
    <row r="2374">
      <c r="A2374" s="26">
        <v>44699.723704895834</v>
      </c>
      <c r="B2374" s="20" t="s">
        <v>366</v>
      </c>
      <c r="C2374" s="20">
        <v>11.0</v>
      </c>
      <c r="D2374" s="27"/>
    </row>
    <row r="2375">
      <c r="A2375" s="26">
        <v>44699.72400915509</v>
      </c>
      <c r="B2375" s="20" t="s">
        <v>366</v>
      </c>
      <c r="C2375" s="20">
        <v>25.0</v>
      </c>
      <c r="D2375" s="27"/>
      <c r="E2375" s="20" t="s">
        <v>1744</v>
      </c>
    </row>
    <row r="2376">
      <c r="A2376" s="26">
        <v>44699.729284409725</v>
      </c>
      <c r="B2376" s="20" t="s">
        <v>1670</v>
      </c>
      <c r="C2376" s="20">
        <v>23.0</v>
      </c>
      <c r="D2376" s="27"/>
    </row>
    <row r="2377">
      <c r="A2377" s="26">
        <v>44699.7296928588</v>
      </c>
      <c r="B2377" s="20" t="s">
        <v>1736</v>
      </c>
      <c r="C2377" s="20">
        <v>22.0</v>
      </c>
      <c r="D2377" s="27"/>
      <c r="E2377" s="20" t="s">
        <v>890</v>
      </c>
    </row>
    <row r="2378">
      <c r="A2378" s="26">
        <v>44699.74586505787</v>
      </c>
      <c r="B2378" s="20" t="s">
        <v>552</v>
      </c>
      <c r="C2378" s="20">
        <v>4.0</v>
      </c>
      <c r="D2378" s="27"/>
    </row>
    <row r="2379">
      <c r="A2379" s="26">
        <v>44699.879271365746</v>
      </c>
      <c r="B2379" s="20" t="s">
        <v>1551</v>
      </c>
      <c r="C2379" s="20">
        <v>13.0</v>
      </c>
      <c r="D2379" s="27"/>
    </row>
    <row r="2380">
      <c r="A2380" s="26">
        <v>44699.87947827546</v>
      </c>
      <c r="B2380" s="20" t="s">
        <v>1746</v>
      </c>
      <c r="C2380" s="20">
        <v>16.0</v>
      </c>
      <c r="D2380" s="27"/>
    </row>
    <row r="2381">
      <c r="A2381" s="26">
        <v>44699.882967592595</v>
      </c>
      <c r="B2381" s="20" t="s">
        <v>1747</v>
      </c>
      <c r="C2381" s="20">
        <v>18.0</v>
      </c>
      <c r="D2381" s="27"/>
    </row>
    <row r="2382">
      <c r="A2382" s="26">
        <v>44699.88398947917</v>
      </c>
      <c r="B2382" s="20" t="s">
        <v>414</v>
      </c>
      <c r="C2382" s="20">
        <v>23.0</v>
      </c>
      <c r="D2382" s="27"/>
    </row>
    <row r="2383">
      <c r="A2383" s="26">
        <v>44699.88490467593</v>
      </c>
      <c r="B2383" s="20" t="s">
        <v>1748</v>
      </c>
      <c r="C2383" s="20">
        <v>20.0</v>
      </c>
      <c r="D2383" s="27"/>
    </row>
    <row r="2384">
      <c r="A2384" s="26">
        <v>44699.88694780093</v>
      </c>
      <c r="B2384" s="20" t="s">
        <v>1749</v>
      </c>
      <c r="C2384" s="20">
        <v>12.0</v>
      </c>
      <c r="D2384" s="27"/>
    </row>
    <row r="2385">
      <c r="A2385" s="26">
        <v>44699.888322893516</v>
      </c>
      <c r="B2385" s="20" t="s">
        <v>786</v>
      </c>
      <c r="C2385" s="30"/>
      <c r="D2385" s="30"/>
    </row>
    <row r="2386">
      <c r="A2386" s="26">
        <v>44699.88843737269</v>
      </c>
      <c r="B2386" s="20" t="s">
        <v>786</v>
      </c>
      <c r="C2386" s="20">
        <v>20.0</v>
      </c>
      <c r="D2386" s="27"/>
    </row>
    <row r="2387">
      <c r="A2387" s="26">
        <v>44699.89004486111</v>
      </c>
      <c r="B2387" s="20" t="s">
        <v>1750</v>
      </c>
      <c r="C2387" s="20">
        <v>23.0</v>
      </c>
      <c r="D2387" s="27"/>
    </row>
    <row r="2388">
      <c r="A2388" s="26">
        <v>44699.890454085646</v>
      </c>
      <c r="C2388" s="20">
        <v>27.0</v>
      </c>
      <c r="D2388" s="27"/>
      <c r="E2388" s="20" t="s">
        <v>1744</v>
      </c>
    </row>
    <row r="2389">
      <c r="A2389" s="26">
        <v>44699.900128402776</v>
      </c>
      <c r="B2389" s="20" t="s">
        <v>552</v>
      </c>
      <c r="C2389" s="20">
        <v>20.0</v>
      </c>
      <c r="D2389" s="27"/>
    </row>
    <row r="2390">
      <c r="A2390" s="26">
        <v>44700.70124947917</v>
      </c>
      <c r="B2390" s="20" t="s">
        <v>327</v>
      </c>
      <c r="C2390" s="20">
        <v>8.0</v>
      </c>
      <c r="D2390" s="27"/>
    </row>
    <row r="2391">
      <c r="A2391" s="26">
        <v>44700.70855708333</v>
      </c>
      <c r="B2391" s="20" t="s">
        <v>1751</v>
      </c>
      <c r="C2391" s="20">
        <v>39.0</v>
      </c>
      <c r="D2391" s="27"/>
    </row>
    <row r="2392">
      <c r="A2392" s="26">
        <v>44700.70914177083</v>
      </c>
      <c r="B2392" s="20" t="s">
        <v>1752</v>
      </c>
      <c r="C2392" s="20">
        <v>12.0</v>
      </c>
      <c r="D2392" s="27"/>
    </row>
    <row r="2393">
      <c r="A2393" s="26">
        <v>44700.73968918981</v>
      </c>
      <c r="B2393" s="20" t="s">
        <v>1753</v>
      </c>
      <c r="C2393" s="20">
        <v>5.0</v>
      </c>
      <c r="D2393" s="27"/>
    </row>
    <row r="2394">
      <c r="A2394" s="26">
        <v>44700.8499655787</v>
      </c>
      <c r="B2394" s="20" t="s">
        <v>67</v>
      </c>
      <c r="C2394" s="20">
        <v>76.0</v>
      </c>
      <c r="D2394" s="27"/>
    </row>
    <row r="2395">
      <c r="A2395" s="26">
        <v>44700.877141770834</v>
      </c>
      <c r="B2395" s="20" t="s">
        <v>896</v>
      </c>
      <c r="C2395" s="20">
        <v>9.0</v>
      </c>
      <c r="D2395" s="27"/>
    </row>
    <row r="2396">
      <c r="A2396" s="26">
        <v>44700.877652118055</v>
      </c>
      <c r="B2396" s="20" t="s">
        <v>1754</v>
      </c>
      <c r="C2396" s="20">
        <v>20.0</v>
      </c>
      <c r="D2396" s="27"/>
    </row>
    <row r="2397">
      <c r="A2397" s="26">
        <v>44700.87778787037</v>
      </c>
      <c r="B2397" s="20" t="s">
        <v>1755</v>
      </c>
      <c r="C2397" s="20">
        <v>5.0</v>
      </c>
      <c r="D2397" s="27"/>
    </row>
    <row r="2398">
      <c r="A2398" s="26">
        <v>44700.877872557874</v>
      </c>
      <c r="B2398" s="20" t="s">
        <v>437</v>
      </c>
      <c r="C2398" s="20">
        <v>20.0</v>
      </c>
      <c r="D2398" s="27"/>
    </row>
    <row r="2399">
      <c r="A2399" s="26">
        <v>44701.698553229166</v>
      </c>
      <c r="B2399" s="20" t="s">
        <v>233</v>
      </c>
      <c r="C2399" s="20">
        <v>10.0</v>
      </c>
      <c r="D2399" s="27"/>
    </row>
    <row r="2400">
      <c r="A2400" s="26">
        <v>44701.70620943287</v>
      </c>
      <c r="B2400" s="20" t="s">
        <v>366</v>
      </c>
      <c r="C2400" s="20">
        <v>15.0</v>
      </c>
      <c r="D2400" s="27"/>
      <c r="E2400" s="20" t="s">
        <v>1744</v>
      </c>
    </row>
    <row r="2401">
      <c r="A2401" s="26">
        <v>44701.708305127315</v>
      </c>
      <c r="B2401" s="20" t="s">
        <v>366</v>
      </c>
      <c r="C2401" s="20">
        <v>12.0</v>
      </c>
      <c r="D2401" s="27"/>
    </row>
    <row r="2402">
      <c r="A2402" s="26">
        <v>44702.71291929398</v>
      </c>
      <c r="B2402" s="20" t="s">
        <v>112</v>
      </c>
      <c r="C2402" s="20">
        <v>20.0</v>
      </c>
      <c r="D2402" s="27"/>
    </row>
    <row r="2403">
      <c r="A2403" s="26">
        <v>44702.71312541667</v>
      </c>
      <c r="B2403" s="20" t="s">
        <v>112</v>
      </c>
      <c r="C2403" s="20">
        <v>4.0</v>
      </c>
      <c r="D2403" s="27"/>
    </row>
    <row r="2404">
      <c r="A2404" s="26">
        <v>44702.71605004629</v>
      </c>
      <c r="B2404" s="20" t="s">
        <v>1574</v>
      </c>
      <c r="C2404" s="20">
        <v>12.0</v>
      </c>
      <c r="D2404" s="27"/>
      <c r="E2404" s="20" t="s">
        <v>1744</v>
      </c>
    </row>
    <row r="2405">
      <c r="A2405" s="26">
        <v>44702.71691560185</v>
      </c>
      <c r="B2405" s="20" t="s">
        <v>285</v>
      </c>
      <c r="C2405" s="20">
        <v>9.0</v>
      </c>
      <c r="D2405" s="27"/>
    </row>
    <row r="2406">
      <c r="A2406" s="26">
        <v>44702.72163649306</v>
      </c>
      <c r="B2406" s="20" t="s">
        <v>366</v>
      </c>
      <c r="C2406" s="20">
        <v>3.0</v>
      </c>
      <c r="D2406" s="27"/>
    </row>
    <row r="2407">
      <c r="A2407" s="26">
        <v>44702.73065515046</v>
      </c>
      <c r="B2407" s="20" t="s">
        <v>637</v>
      </c>
      <c r="C2407" s="20">
        <v>11.0</v>
      </c>
      <c r="D2407" s="27"/>
    </row>
    <row r="2408">
      <c r="A2408" s="26">
        <v>44702.730868680555</v>
      </c>
      <c r="B2408" s="20" t="s">
        <v>1756</v>
      </c>
      <c r="C2408" s="20">
        <v>1.0</v>
      </c>
      <c r="D2408" s="27"/>
    </row>
    <row r="2409">
      <c r="A2409" s="26">
        <v>44703.66088278935</v>
      </c>
      <c r="B2409" s="20" t="s">
        <v>144</v>
      </c>
      <c r="C2409" s="20">
        <v>10.0</v>
      </c>
      <c r="D2409" s="27"/>
    </row>
    <row r="2410">
      <c r="A2410" s="26">
        <v>44703.660992233796</v>
      </c>
      <c r="B2410" s="20" t="s">
        <v>982</v>
      </c>
      <c r="C2410" s="20">
        <v>14.0</v>
      </c>
      <c r="D2410" s="27"/>
    </row>
    <row r="2411">
      <c r="A2411" s="26">
        <v>44703.66119237269</v>
      </c>
      <c r="B2411" s="20" t="s">
        <v>1580</v>
      </c>
      <c r="C2411" s="20">
        <v>8.0</v>
      </c>
      <c r="D2411" s="27"/>
      <c r="E2411" s="20" t="s">
        <v>1744</v>
      </c>
    </row>
    <row r="2412">
      <c r="A2412" s="26">
        <v>44703.66134261574</v>
      </c>
      <c r="B2412" s="20" t="s">
        <v>528</v>
      </c>
      <c r="C2412" s="20">
        <v>20.0</v>
      </c>
      <c r="D2412" s="27"/>
    </row>
    <row r="2413">
      <c r="A2413" s="26">
        <v>44703.66155899306</v>
      </c>
      <c r="B2413" s="20" t="s">
        <v>1636</v>
      </c>
      <c r="C2413" s="20">
        <v>12.0</v>
      </c>
      <c r="D2413" s="27"/>
    </row>
    <row r="2414">
      <c r="A2414" s="26">
        <v>44705.642332256946</v>
      </c>
      <c r="B2414" s="20" t="s">
        <v>1757</v>
      </c>
      <c r="C2414" s="20">
        <v>33.0</v>
      </c>
      <c r="D2414" s="27"/>
    </row>
    <row r="2415">
      <c r="A2415" s="26">
        <v>44705.642545925926</v>
      </c>
      <c r="B2415" s="20" t="s">
        <v>384</v>
      </c>
      <c r="C2415" s="20">
        <v>11.0</v>
      </c>
      <c r="D2415" s="27"/>
    </row>
    <row r="2416">
      <c r="A2416" s="26">
        <v>44705.70618318287</v>
      </c>
      <c r="B2416" s="20" t="s">
        <v>831</v>
      </c>
      <c r="C2416" s="20">
        <v>20.0</v>
      </c>
      <c r="D2416" s="27"/>
    </row>
    <row r="2417">
      <c r="A2417" s="26">
        <v>44705.707611875</v>
      </c>
      <c r="B2417" s="20" t="s">
        <v>1076</v>
      </c>
      <c r="C2417" s="20">
        <v>87.0</v>
      </c>
      <c r="D2417" s="27"/>
    </row>
    <row r="2418">
      <c r="A2418" s="26">
        <v>44705.70818934028</v>
      </c>
      <c r="B2418" s="20" t="s">
        <v>1758</v>
      </c>
      <c r="C2418" s="20">
        <v>60.0</v>
      </c>
      <c r="D2418" s="27"/>
    </row>
    <row r="2419">
      <c r="A2419" s="26">
        <v>44706.61030810185</v>
      </c>
      <c r="B2419" s="20" t="s">
        <v>1759</v>
      </c>
      <c r="C2419" s="20">
        <v>25.0</v>
      </c>
      <c r="D2419" s="27"/>
    </row>
    <row r="2420">
      <c r="A2420" s="26">
        <v>44706.725734004634</v>
      </c>
      <c r="B2420" s="20" t="s">
        <v>349</v>
      </c>
      <c r="C2420" s="20">
        <v>14.0</v>
      </c>
      <c r="D2420" s="27"/>
    </row>
    <row r="2421">
      <c r="A2421" s="26">
        <v>44706.72583318287</v>
      </c>
      <c r="B2421" s="20" t="s">
        <v>235</v>
      </c>
      <c r="C2421" s="20">
        <v>7.0</v>
      </c>
      <c r="D2421" s="27"/>
    </row>
    <row r="2422">
      <c r="A2422" s="26">
        <v>44706.73497282407</v>
      </c>
      <c r="B2422" s="20" t="s">
        <v>1760</v>
      </c>
      <c r="C2422" s="20">
        <v>20.0</v>
      </c>
      <c r="D2422" s="27"/>
    </row>
    <row r="2423">
      <c r="A2423" s="26">
        <v>44706.74200412037</v>
      </c>
      <c r="B2423" s="20" t="s">
        <v>1758</v>
      </c>
      <c r="C2423" s="20">
        <v>60.0</v>
      </c>
      <c r="D2423" s="27"/>
    </row>
    <row r="2424">
      <c r="A2424" s="26">
        <v>44706.74211689815</v>
      </c>
      <c r="B2424" s="20" t="s">
        <v>1760</v>
      </c>
      <c r="C2424" s="20">
        <v>22.0</v>
      </c>
      <c r="D2424" s="27"/>
    </row>
    <row r="2425">
      <c r="A2425" s="26">
        <v>44706.75944893519</v>
      </c>
      <c r="B2425" s="20" t="s">
        <v>614</v>
      </c>
      <c r="C2425" s="20">
        <v>21.0</v>
      </c>
      <c r="D2425" s="27"/>
    </row>
    <row r="2426">
      <c r="A2426" s="26">
        <v>44706.7599905324</v>
      </c>
      <c r="B2426" s="20" t="s">
        <v>614</v>
      </c>
      <c r="C2426" s="20">
        <v>50.0</v>
      </c>
      <c r="D2426" s="27"/>
      <c r="E2426" s="20" t="s">
        <v>1744</v>
      </c>
    </row>
    <row r="2427">
      <c r="A2427" s="26">
        <v>44706.76019277778</v>
      </c>
      <c r="B2427" s="20" t="s">
        <v>366</v>
      </c>
      <c r="C2427" s="20">
        <v>25.0</v>
      </c>
      <c r="D2427" s="27"/>
      <c r="E2427" s="20" t="s">
        <v>1744</v>
      </c>
    </row>
    <row r="2428">
      <c r="A2428" s="26">
        <v>44706.76049378472</v>
      </c>
      <c r="B2428" s="20" t="s">
        <v>366</v>
      </c>
      <c r="C2428" s="20">
        <v>20.0</v>
      </c>
      <c r="D2428" s="27"/>
    </row>
    <row r="2429">
      <c r="A2429" s="26">
        <v>44706.77923579861</v>
      </c>
      <c r="B2429" s="20" t="s">
        <v>177</v>
      </c>
      <c r="C2429" s="20">
        <v>20.0</v>
      </c>
      <c r="D2429" s="27"/>
    </row>
    <row r="2430">
      <c r="A2430" s="26">
        <v>44706.779805150465</v>
      </c>
      <c r="B2430" s="20" t="s">
        <v>235</v>
      </c>
      <c r="C2430" s="20">
        <v>20.0</v>
      </c>
      <c r="D2430" s="27"/>
    </row>
    <row r="2431">
      <c r="A2431" s="26">
        <v>44706.78011013889</v>
      </c>
      <c r="B2431" s="20" t="s">
        <v>1142</v>
      </c>
      <c r="C2431" s="20">
        <v>18.0</v>
      </c>
      <c r="D2431" s="27"/>
    </row>
    <row r="2432">
      <c r="A2432" s="26">
        <v>44706.806662118055</v>
      </c>
      <c r="B2432" s="20" t="s">
        <v>422</v>
      </c>
      <c r="C2432" s="20">
        <v>34.0</v>
      </c>
      <c r="D2432" s="27"/>
    </row>
    <row r="2433">
      <c r="A2433" s="26">
        <v>44706.80722141203</v>
      </c>
      <c r="B2433" s="20" t="s">
        <v>1761</v>
      </c>
      <c r="C2433" s="20">
        <v>70.0</v>
      </c>
      <c r="D2433" s="27"/>
    </row>
    <row r="2434">
      <c r="A2434" s="26">
        <v>44706.88328984954</v>
      </c>
      <c r="B2434" s="20" t="s">
        <v>760</v>
      </c>
      <c r="C2434" s="20">
        <v>20.0</v>
      </c>
      <c r="D2434" s="27"/>
    </row>
    <row r="2435">
      <c r="A2435" s="26">
        <v>44706.88353881944</v>
      </c>
      <c r="B2435" s="20" t="s">
        <v>235</v>
      </c>
      <c r="C2435" s="20">
        <v>23.0</v>
      </c>
      <c r="D2435" s="27"/>
    </row>
    <row r="2436">
      <c r="A2436" s="26">
        <v>44706.89857792824</v>
      </c>
      <c r="B2436" s="20" t="s">
        <v>1158</v>
      </c>
      <c r="C2436" s="20" t="s">
        <v>1762</v>
      </c>
      <c r="D2436" s="27"/>
    </row>
    <row r="2437">
      <c r="A2437" s="26">
        <v>44707.68845299768</v>
      </c>
      <c r="B2437" s="20" t="s">
        <v>1760</v>
      </c>
      <c r="C2437" s="20">
        <v>20.0</v>
      </c>
      <c r="D2437" s="27"/>
    </row>
    <row r="2438">
      <c r="A2438" s="26">
        <v>44707.68885740741</v>
      </c>
      <c r="B2438" s="20" t="s">
        <v>1758</v>
      </c>
      <c r="C2438" s="20">
        <v>18.0</v>
      </c>
      <c r="D2438" s="27"/>
    </row>
    <row r="2439">
      <c r="A2439" s="26">
        <v>44707.69329527778</v>
      </c>
      <c r="B2439" s="20" t="s">
        <v>327</v>
      </c>
      <c r="C2439" s="20">
        <v>4.0</v>
      </c>
      <c r="D2439" s="27"/>
    </row>
    <row r="2440">
      <c r="A2440" s="26">
        <v>44707.72093146991</v>
      </c>
      <c r="B2440" s="20" t="s">
        <v>193</v>
      </c>
      <c r="C2440" s="20">
        <v>27.0</v>
      </c>
      <c r="D2440" s="27"/>
      <c r="E2440" s="20" t="s">
        <v>1744</v>
      </c>
    </row>
    <row r="2441">
      <c r="A2441" s="26">
        <v>44707.73880994213</v>
      </c>
      <c r="B2441" s="20" t="s">
        <v>193</v>
      </c>
      <c r="C2441" s="20">
        <v>6.0</v>
      </c>
      <c r="D2441" s="27"/>
      <c r="E2441" s="20" t="s">
        <v>1763</v>
      </c>
    </row>
    <row r="2442">
      <c r="A2442" s="26">
        <v>44707.855208946756</v>
      </c>
      <c r="B2442" s="20" t="s">
        <v>67</v>
      </c>
      <c r="C2442" s="20">
        <v>56.0</v>
      </c>
      <c r="D2442" s="27"/>
    </row>
    <row r="2443">
      <c r="A2443" s="26">
        <v>44707.85828165509</v>
      </c>
      <c r="B2443" s="20" t="s">
        <v>820</v>
      </c>
      <c r="C2443" s="20">
        <v>12.0</v>
      </c>
      <c r="D2443" s="27"/>
    </row>
    <row r="2444">
      <c r="A2444" s="26">
        <v>44707.86139237268</v>
      </c>
      <c r="B2444" s="20" t="s">
        <v>437</v>
      </c>
      <c r="C2444" s="20">
        <v>19.0</v>
      </c>
      <c r="D2444" s="27"/>
    </row>
    <row r="2445">
      <c r="A2445" s="26">
        <v>44708.570893819444</v>
      </c>
      <c r="B2445" s="20" t="s">
        <v>344</v>
      </c>
      <c r="C2445" s="20">
        <v>19.0</v>
      </c>
      <c r="D2445" s="27"/>
    </row>
    <row r="2446">
      <c r="A2446" s="26">
        <v>44708.57102011574</v>
      </c>
      <c r="B2446" s="20" t="s">
        <v>344</v>
      </c>
      <c r="C2446" s="20">
        <v>6.0</v>
      </c>
      <c r="D2446" s="27"/>
      <c r="E2446" s="20" t="s">
        <v>1744</v>
      </c>
    </row>
    <row r="2447">
      <c r="A2447" s="26">
        <v>44709.685846238426</v>
      </c>
      <c r="B2447" s="20" t="s">
        <v>398</v>
      </c>
      <c r="C2447" s="20">
        <v>103.0</v>
      </c>
      <c r="D2447" s="27"/>
    </row>
    <row r="2448">
      <c r="A2448" s="26">
        <v>44709.70775802083</v>
      </c>
      <c r="B2448" s="20" t="s">
        <v>199</v>
      </c>
      <c r="C2448" s="20">
        <v>20.0</v>
      </c>
      <c r="D2448" s="27"/>
    </row>
    <row r="2449">
      <c r="A2449" s="26">
        <v>44709.708781423615</v>
      </c>
      <c r="B2449" s="20" t="s">
        <v>1764</v>
      </c>
      <c r="C2449" s="20">
        <v>20.0</v>
      </c>
      <c r="D2449" s="27"/>
    </row>
    <row r="2450">
      <c r="A2450" s="26">
        <v>44709.70906195602</v>
      </c>
      <c r="B2450" s="20" t="s">
        <v>1765</v>
      </c>
      <c r="C2450" s="20">
        <v>20.0</v>
      </c>
      <c r="D2450" s="27"/>
    </row>
    <row r="2451">
      <c r="A2451" s="26">
        <v>44709.71715256944</v>
      </c>
      <c r="B2451" s="20" t="s">
        <v>614</v>
      </c>
      <c r="C2451" s="20">
        <v>17.0</v>
      </c>
      <c r="D2451" s="27"/>
    </row>
    <row r="2452">
      <c r="A2452" s="26">
        <v>44709.71819666667</v>
      </c>
      <c r="B2452" s="20" t="s">
        <v>300</v>
      </c>
      <c r="C2452" s="20">
        <v>19.0</v>
      </c>
      <c r="D2452" s="27"/>
    </row>
    <row r="2453">
      <c r="A2453" s="26">
        <v>44709.71987027778</v>
      </c>
      <c r="B2453" s="20" t="s">
        <v>608</v>
      </c>
      <c r="C2453" s="20">
        <v>19.0</v>
      </c>
      <c r="D2453" s="27"/>
    </row>
    <row r="2454">
      <c r="A2454" s="26">
        <v>44709.72604864583</v>
      </c>
      <c r="B2454" s="20" t="s">
        <v>1766</v>
      </c>
      <c r="C2454" s="20">
        <v>23.0</v>
      </c>
      <c r="D2454" s="27"/>
    </row>
    <row r="2455">
      <c r="A2455" s="26">
        <v>44709.72776392361</v>
      </c>
      <c r="B2455" s="20" t="s">
        <v>366</v>
      </c>
      <c r="C2455" s="20">
        <v>3.0</v>
      </c>
      <c r="D2455" s="27"/>
    </row>
    <row r="2456">
      <c r="A2456" s="26">
        <v>44709.72807221065</v>
      </c>
      <c r="B2456" s="20" t="s">
        <v>366</v>
      </c>
      <c r="C2456" s="20">
        <v>24.0</v>
      </c>
      <c r="D2456" s="27"/>
      <c r="E2456" s="20" t="s">
        <v>1744</v>
      </c>
    </row>
    <row r="2457">
      <c r="A2457" s="26">
        <v>44709.72813564815</v>
      </c>
    </row>
    <row r="2458">
      <c r="A2458" s="26">
        <v>44709.730234710645</v>
      </c>
      <c r="B2458" s="20" t="s">
        <v>384</v>
      </c>
      <c r="C2458" s="20">
        <v>2.0</v>
      </c>
      <c r="D2458" s="27"/>
    </row>
    <row r="2459">
      <c r="A2459" s="26">
        <v>44709.74121283565</v>
      </c>
      <c r="B2459" s="20" t="s">
        <v>637</v>
      </c>
      <c r="C2459" s="20">
        <v>4.0</v>
      </c>
      <c r="D2459" s="27"/>
    </row>
    <row r="2460">
      <c r="A2460" s="26">
        <v>44709.75048962963</v>
      </c>
      <c r="B2460" s="20" t="s">
        <v>67</v>
      </c>
      <c r="C2460" s="20">
        <v>32.0</v>
      </c>
      <c r="D2460" s="27"/>
    </row>
    <row r="2461">
      <c r="A2461" s="26">
        <v>44710.669884166666</v>
      </c>
      <c r="B2461" s="20" t="s">
        <v>1350</v>
      </c>
      <c r="C2461" s="20">
        <v>33.0</v>
      </c>
      <c r="D2461" s="27"/>
      <c r="E2461" s="20" t="s">
        <v>1767</v>
      </c>
    </row>
    <row r="2462">
      <c r="A2462" s="26">
        <v>44710.672900474536</v>
      </c>
      <c r="B2462" s="20" t="s">
        <v>803</v>
      </c>
      <c r="C2462" s="20">
        <v>32.0</v>
      </c>
      <c r="D2462" s="27"/>
    </row>
    <row r="2463">
      <c r="A2463" s="26">
        <v>44710.67298055555</v>
      </c>
      <c r="B2463" s="20" t="s">
        <v>79</v>
      </c>
      <c r="C2463" s="20">
        <v>14.0</v>
      </c>
      <c r="D2463" s="27"/>
    </row>
    <row r="2464">
      <c r="A2464" s="26">
        <v>44710.67309232639</v>
      </c>
      <c r="B2464" s="20" t="s">
        <v>982</v>
      </c>
      <c r="C2464" s="20">
        <v>17.0</v>
      </c>
      <c r="D2464" s="27"/>
    </row>
    <row r="2465">
      <c r="A2465" s="26">
        <v>44714.70795644676</v>
      </c>
      <c r="B2465" s="20" t="s">
        <v>326</v>
      </c>
      <c r="C2465" s="20">
        <v>7.0</v>
      </c>
      <c r="D2465" s="27"/>
    </row>
    <row r="2466">
      <c r="A2466" s="26">
        <v>44714.712554467595</v>
      </c>
      <c r="B2466" s="20" t="s">
        <v>614</v>
      </c>
      <c r="C2466" s="20">
        <v>19.0</v>
      </c>
      <c r="D2466" s="27"/>
    </row>
    <row r="2467">
      <c r="A2467" s="26">
        <v>44714.712855150465</v>
      </c>
      <c r="B2467" s="20" t="s">
        <v>614</v>
      </c>
      <c r="C2467" s="20">
        <v>4.0</v>
      </c>
      <c r="D2467" s="27"/>
      <c r="E2467" s="20" t="s">
        <v>1744</v>
      </c>
    </row>
    <row r="2468">
      <c r="A2468" s="26">
        <v>44714.7168516088</v>
      </c>
      <c r="B2468" s="20" t="s">
        <v>163</v>
      </c>
      <c r="C2468" s="20">
        <v>37.0</v>
      </c>
      <c r="D2468" s="27"/>
    </row>
    <row r="2469">
      <c r="A2469" s="26">
        <v>44714.71725166666</v>
      </c>
      <c r="B2469" s="20" t="s">
        <v>1585</v>
      </c>
      <c r="C2469" s="20">
        <v>7.0</v>
      </c>
      <c r="D2469" s="27"/>
    </row>
    <row r="2470">
      <c r="A2470" s="26">
        <v>44714.87833954861</v>
      </c>
      <c r="B2470" s="20" t="s">
        <v>437</v>
      </c>
      <c r="C2470" s="20">
        <v>20.0</v>
      </c>
      <c r="D2470" s="27"/>
    </row>
    <row r="2471">
      <c r="A2471" s="26">
        <v>44714.87846959491</v>
      </c>
      <c r="B2471" s="20" t="s">
        <v>896</v>
      </c>
      <c r="C2471" s="20">
        <v>20.0</v>
      </c>
      <c r="D2471" s="27"/>
    </row>
    <row r="2472">
      <c r="A2472" s="26">
        <v>44715.70192824074</v>
      </c>
      <c r="B2472" s="20" t="s">
        <v>233</v>
      </c>
      <c r="C2472" s="20">
        <v>2.0</v>
      </c>
      <c r="D2472" s="27"/>
    </row>
    <row r="2473">
      <c r="A2473" s="26">
        <v>44715.72776638889</v>
      </c>
      <c r="B2473" s="20" t="s">
        <v>366</v>
      </c>
      <c r="C2473" s="20">
        <v>12.0</v>
      </c>
      <c r="D2473" s="27"/>
    </row>
    <row r="2474">
      <c r="A2474" s="26">
        <v>44715.72785671296</v>
      </c>
      <c r="B2474" s="20" t="s">
        <v>398</v>
      </c>
      <c r="C2474" s="20">
        <v>48.0</v>
      </c>
      <c r="D2474" s="27"/>
    </row>
    <row r="2475">
      <c r="A2475" s="26">
        <v>44715.74017104167</v>
      </c>
      <c r="B2475" s="20" t="s">
        <v>366</v>
      </c>
      <c r="C2475" s="20">
        <v>17.0</v>
      </c>
      <c r="D2475" s="27"/>
    </row>
    <row r="2476">
      <c r="A2476" s="26">
        <v>44716.70135208333</v>
      </c>
      <c r="B2476" s="20" t="s">
        <v>1565</v>
      </c>
      <c r="C2476" s="20">
        <v>12.0</v>
      </c>
      <c r="D2476" s="27"/>
    </row>
    <row r="2477">
      <c r="A2477" s="26">
        <v>44716.7035675463</v>
      </c>
      <c r="B2477" s="20" t="s">
        <v>1768</v>
      </c>
      <c r="C2477" s="20">
        <v>20.0</v>
      </c>
      <c r="D2477" s="27"/>
    </row>
    <row r="2478">
      <c r="A2478" s="26">
        <v>44716.70478670139</v>
      </c>
      <c r="B2478" s="20" t="s">
        <v>1769</v>
      </c>
      <c r="C2478" s="20">
        <v>16.0</v>
      </c>
      <c r="D2478" s="27"/>
    </row>
    <row r="2479">
      <c r="A2479" s="26">
        <v>44716.70544883102</v>
      </c>
      <c r="B2479" s="20" t="s">
        <v>1770</v>
      </c>
      <c r="C2479" s="20">
        <v>9.0</v>
      </c>
      <c r="D2479" s="27"/>
    </row>
    <row r="2480">
      <c r="A2480" s="26">
        <v>44716.708412754626</v>
      </c>
      <c r="B2480" s="20" t="s">
        <v>862</v>
      </c>
      <c r="C2480" s="20">
        <v>18.0</v>
      </c>
      <c r="D2480" s="27"/>
    </row>
    <row r="2481">
      <c r="A2481" s="26">
        <v>44716.709838055554</v>
      </c>
      <c r="B2481" s="20" t="s">
        <v>1631</v>
      </c>
      <c r="C2481" s="20">
        <v>20.0</v>
      </c>
      <c r="D2481" s="27"/>
    </row>
    <row r="2482">
      <c r="A2482" s="26">
        <v>44716.70990314815</v>
      </c>
      <c r="B2482" s="20" t="s">
        <v>1633</v>
      </c>
      <c r="C2482" s="20">
        <v>20.0</v>
      </c>
      <c r="D2482" s="27"/>
    </row>
    <row r="2483">
      <c r="A2483" s="26">
        <v>44716.710102638885</v>
      </c>
      <c r="B2483" s="20" t="s">
        <v>1599</v>
      </c>
      <c r="C2483" s="20">
        <v>20.0</v>
      </c>
      <c r="D2483" s="27"/>
    </row>
    <row r="2484">
      <c r="A2484" s="26">
        <v>44716.711655266205</v>
      </c>
      <c r="B2484" s="20" t="s">
        <v>178</v>
      </c>
      <c r="C2484" s="20">
        <v>20.0</v>
      </c>
      <c r="D2484" s="27"/>
    </row>
    <row r="2485">
      <c r="A2485" s="26">
        <v>44716.71177969908</v>
      </c>
      <c r="B2485" s="20" t="s">
        <v>1771</v>
      </c>
      <c r="C2485" s="20">
        <v>2.0</v>
      </c>
      <c r="D2485" s="27"/>
    </row>
    <row r="2486">
      <c r="A2486" s="26">
        <v>44716.72006659722</v>
      </c>
      <c r="B2486" s="20" t="s">
        <v>300</v>
      </c>
      <c r="C2486" s="20">
        <v>20.0</v>
      </c>
      <c r="D2486" s="27"/>
    </row>
    <row r="2487">
      <c r="A2487" s="26">
        <v>44716.724004375</v>
      </c>
      <c r="B2487" s="20" t="s">
        <v>608</v>
      </c>
      <c r="C2487" s="20">
        <v>10.0</v>
      </c>
      <c r="D2487" s="27"/>
    </row>
    <row r="2488">
      <c r="A2488" s="26">
        <v>44716.724884027775</v>
      </c>
      <c r="B2488" s="20" t="s">
        <v>406</v>
      </c>
      <c r="C2488" s="20">
        <v>8.0</v>
      </c>
      <c r="D2488" s="27"/>
    </row>
    <row r="2489">
      <c r="A2489" s="26">
        <v>44717.66053650463</v>
      </c>
      <c r="B2489" s="20" t="s">
        <v>982</v>
      </c>
      <c r="C2489" s="20">
        <v>16.0</v>
      </c>
      <c r="D2489" s="27"/>
    </row>
    <row r="2490">
      <c r="A2490" s="26">
        <v>44717.66283429398</v>
      </c>
      <c r="B2490" s="20" t="s">
        <v>982</v>
      </c>
      <c r="C2490" s="20">
        <v>1.0</v>
      </c>
      <c r="D2490" s="27"/>
      <c r="E2490" s="20" t="s">
        <v>1744</v>
      </c>
    </row>
    <row r="2491">
      <c r="A2491" s="26">
        <v>44717.665179131945</v>
      </c>
      <c r="B2491" s="20" t="s">
        <v>995</v>
      </c>
      <c r="C2491" s="20">
        <v>19.0</v>
      </c>
      <c r="D2491" s="27"/>
    </row>
    <row r="2492">
      <c r="A2492" s="26">
        <v>44717.66543743055</v>
      </c>
      <c r="B2492" s="20" t="s">
        <v>1430</v>
      </c>
      <c r="C2492" s="20">
        <v>10.0</v>
      </c>
      <c r="D2492" s="27"/>
    </row>
    <row r="2493">
      <c r="A2493" s="26">
        <v>44717.704153252314</v>
      </c>
      <c r="B2493" s="20" t="s">
        <v>1182</v>
      </c>
      <c r="C2493" s="20">
        <v>13.0</v>
      </c>
      <c r="D2493" s="27"/>
    </row>
    <row r="2494">
      <c r="A2494" s="26">
        <v>44719.70411457176</v>
      </c>
      <c r="B2494" s="20" t="s">
        <v>1610</v>
      </c>
      <c r="C2494" s="20">
        <v>22.0</v>
      </c>
      <c r="D2494" s="27"/>
    </row>
    <row r="2495">
      <c r="A2495" s="26">
        <v>44719.704560046295</v>
      </c>
      <c r="B2495" s="20" t="s">
        <v>1610</v>
      </c>
      <c r="C2495" s="20">
        <v>12.0</v>
      </c>
      <c r="D2495" s="27"/>
    </row>
    <row r="2496">
      <c r="A2496" s="26">
        <v>44719.70462805555</v>
      </c>
      <c r="B2496" s="20" t="s">
        <v>1430</v>
      </c>
      <c r="C2496" s="20">
        <v>14.0</v>
      </c>
      <c r="D2496" s="27"/>
    </row>
    <row r="2497">
      <c r="A2497" s="26">
        <v>44719.704845949076</v>
      </c>
      <c r="B2497" s="20" t="s">
        <v>995</v>
      </c>
      <c r="C2497" s="20">
        <v>17.0</v>
      </c>
      <c r="D2497" s="27"/>
    </row>
    <row r="2498">
      <c r="A2498" s="26">
        <v>44720.699005358794</v>
      </c>
      <c r="B2498" s="20" t="s">
        <v>614</v>
      </c>
      <c r="C2498" s="20">
        <v>23.0</v>
      </c>
      <c r="D2498" s="27"/>
    </row>
    <row r="2499">
      <c r="A2499" s="26">
        <v>44720.69930743055</v>
      </c>
      <c r="B2499" s="20" t="s">
        <v>614</v>
      </c>
      <c r="C2499" s="20">
        <v>2.0</v>
      </c>
      <c r="D2499" s="27"/>
      <c r="E2499" s="20" t="s">
        <v>1744</v>
      </c>
    </row>
    <row r="2500">
      <c r="A2500" s="26">
        <v>44720.73912895833</v>
      </c>
      <c r="B2500" s="20" t="s">
        <v>384</v>
      </c>
      <c r="C2500" s="20">
        <v>17.0</v>
      </c>
      <c r="D2500" s="27"/>
    </row>
    <row r="2501">
      <c r="A2501" s="26">
        <v>44720.73928400463</v>
      </c>
      <c r="B2501" s="20" t="s">
        <v>1772</v>
      </c>
      <c r="C2501" s="20">
        <v>20.0</v>
      </c>
      <c r="D2501" s="27"/>
    </row>
    <row r="2502">
      <c r="A2502" s="26">
        <v>44720.75734090278</v>
      </c>
      <c r="B2502" s="20" t="s">
        <v>637</v>
      </c>
      <c r="C2502" s="20">
        <v>10.0</v>
      </c>
      <c r="D2502" s="27"/>
    </row>
    <row r="2503">
      <c r="A2503" s="26">
        <v>44720.868093321755</v>
      </c>
      <c r="B2503" s="20" t="s">
        <v>1551</v>
      </c>
      <c r="C2503" s="20">
        <v>15.0</v>
      </c>
      <c r="D2503" s="27"/>
      <c r="E2503" s="20" t="s">
        <v>1773</v>
      </c>
    </row>
    <row r="2504">
      <c r="A2504" s="26">
        <v>44720.87242811343</v>
      </c>
      <c r="B2504" s="20" t="s">
        <v>414</v>
      </c>
      <c r="C2504" s="20">
        <v>23.0</v>
      </c>
      <c r="D2504" s="27"/>
    </row>
    <row r="2505">
      <c r="A2505" s="26">
        <v>44720.87599508102</v>
      </c>
      <c r="B2505" s="20" t="s">
        <v>960</v>
      </c>
      <c r="C2505" s="20">
        <v>20.0</v>
      </c>
      <c r="D2505" s="27"/>
    </row>
    <row r="2506">
      <c r="A2506" s="26">
        <v>44720.87997543981</v>
      </c>
      <c r="B2506" s="20" t="s">
        <v>824</v>
      </c>
      <c r="C2506" s="20">
        <v>20.0</v>
      </c>
      <c r="D2506" s="27"/>
    </row>
    <row r="2507">
      <c r="A2507" s="26">
        <v>44720.880906377315</v>
      </c>
      <c r="B2507" s="20" t="s">
        <v>235</v>
      </c>
      <c r="C2507" s="20">
        <v>11.0</v>
      </c>
      <c r="D2507" s="27"/>
    </row>
    <row r="2508">
      <c r="A2508" s="26">
        <v>44720.884390879626</v>
      </c>
      <c r="B2508" s="20" t="s">
        <v>1158</v>
      </c>
      <c r="C2508" s="20">
        <v>47.0</v>
      </c>
      <c r="D2508" s="27"/>
      <c r="E2508" s="20" t="s">
        <v>1774</v>
      </c>
    </row>
    <row r="2509">
      <c r="A2509" s="26">
        <v>44721.710307824076</v>
      </c>
      <c r="B2509" s="20" t="s">
        <v>326</v>
      </c>
      <c r="C2509" s="20">
        <v>9.0</v>
      </c>
      <c r="D2509" s="27"/>
    </row>
    <row r="2510">
      <c r="A2510" s="26">
        <v>44721.71448122685</v>
      </c>
      <c r="B2510" s="20" t="s">
        <v>214</v>
      </c>
      <c r="C2510" s="20">
        <v>18.0</v>
      </c>
      <c r="D2510" s="27"/>
    </row>
    <row r="2511">
      <c r="A2511" s="26">
        <v>44721.71461688657</v>
      </c>
      <c r="B2511" s="20" t="s">
        <v>214</v>
      </c>
      <c r="C2511" s="20">
        <v>6.0</v>
      </c>
      <c r="D2511" s="27"/>
    </row>
    <row r="2512">
      <c r="A2512" s="26">
        <v>44721.71744247685</v>
      </c>
      <c r="B2512" s="20" t="s">
        <v>163</v>
      </c>
      <c r="C2512" s="20">
        <v>25.0</v>
      </c>
      <c r="D2512" s="27"/>
    </row>
    <row r="2513">
      <c r="A2513" s="26">
        <v>44721.718074131946</v>
      </c>
      <c r="B2513" s="20" t="s">
        <v>1775</v>
      </c>
      <c r="C2513" s="20">
        <v>14.0</v>
      </c>
      <c r="D2513" s="27"/>
    </row>
    <row r="2514">
      <c r="A2514" s="26">
        <v>44721.75832292824</v>
      </c>
      <c r="B2514" s="20" t="s">
        <v>163</v>
      </c>
      <c r="C2514" s="20">
        <v>3.0</v>
      </c>
      <c r="D2514" s="27"/>
    </row>
    <row r="2515">
      <c r="A2515" s="26">
        <v>44721.87558179398</v>
      </c>
      <c r="B2515" s="20" t="s">
        <v>437</v>
      </c>
      <c r="C2515" s="20">
        <v>20.0</v>
      </c>
      <c r="D2515" s="27"/>
    </row>
    <row r="2516">
      <c r="A2516" s="26">
        <v>44721.8777124537</v>
      </c>
      <c r="B2516" s="20" t="s">
        <v>167</v>
      </c>
      <c r="C2516" s="20">
        <v>20.0</v>
      </c>
      <c r="D2516" s="27"/>
    </row>
    <row r="2517">
      <c r="A2517" s="26">
        <v>44721.87773054398</v>
      </c>
      <c r="B2517" s="20" t="s">
        <v>67</v>
      </c>
      <c r="C2517" s="20">
        <v>62.0</v>
      </c>
      <c r="D2517" s="27"/>
    </row>
    <row r="2518">
      <c r="A2518" s="26">
        <v>44722.69916591435</v>
      </c>
      <c r="B2518" s="20" t="s">
        <v>233</v>
      </c>
      <c r="C2518" s="20">
        <v>7.0</v>
      </c>
      <c r="D2518" s="27"/>
    </row>
    <row r="2519">
      <c r="A2519" s="26">
        <v>44722.708224166665</v>
      </c>
      <c r="B2519" s="20" t="s">
        <v>344</v>
      </c>
      <c r="C2519" s="20">
        <v>20.0</v>
      </c>
      <c r="D2519" s="27"/>
    </row>
    <row r="2520">
      <c r="A2520" s="26">
        <v>44722.70859314815</v>
      </c>
      <c r="B2520" s="20" t="s">
        <v>344</v>
      </c>
      <c r="C2520" s="20">
        <v>12.0</v>
      </c>
      <c r="D2520" s="27"/>
      <c r="E2520" s="20" t="s">
        <v>1744</v>
      </c>
    </row>
    <row r="2521">
      <c r="A2521" s="26">
        <v>44722.71054028935</v>
      </c>
      <c r="B2521" s="20" t="s">
        <v>1776</v>
      </c>
      <c r="C2521" s="20">
        <v>19.0</v>
      </c>
      <c r="D2521" s="27"/>
    </row>
    <row r="2522">
      <c r="A2522" s="26">
        <v>44722.710954282404</v>
      </c>
      <c r="B2522" s="20" t="s">
        <v>1777</v>
      </c>
      <c r="C2522" s="20">
        <v>4.0</v>
      </c>
      <c r="D2522" s="27"/>
    </row>
    <row r="2523">
      <c r="A2523" s="26">
        <v>44722.71456983796</v>
      </c>
      <c r="B2523" s="20" t="s">
        <v>110</v>
      </c>
      <c r="C2523" s="20">
        <v>149.0</v>
      </c>
      <c r="D2523" s="27"/>
    </row>
    <row r="2524">
      <c r="A2524" s="26">
        <v>44722.71531028935</v>
      </c>
      <c r="B2524" s="20" t="s">
        <v>1778</v>
      </c>
      <c r="C2524" s="20">
        <v>20.0</v>
      </c>
      <c r="D2524" s="27"/>
    </row>
    <row r="2525">
      <c r="A2525" s="26">
        <v>44722.716386712964</v>
      </c>
      <c r="B2525" s="20" t="s">
        <v>1779</v>
      </c>
      <c r="C2525" s="20">
        <v>2.0</v>
      </c>
      <c r="D2525" s="27"/>
    </row>
    <row r="2526">
      <c r="A2526" s="26">
        <v>44722.72658456019</v>
      </c>
      <c r="B2526" s="20" t="s">
        <v>193</v>
      </c>
      <c r="C2526" s="20">
        <v>23.0</v>
      </c>
      <c r="D2526" s="27"/>
    </row>
    <row r="2527">
      <c r="A2527" s="26">
        <v>44722.73605902778</v>
      </c>
      <c r="B2527" s="20" t="s">
        <v>398</v>
      </c>
      <c r="C2527" s="20">
        <v>22.0</v>
      </c>
      <c r="D2527" s="27"/>
    </row>
    <row r="2528">
      <c r="A2528" s="26">
        <v>44722.73608607639</v>
      </c>
      <c r="B2528" s="20" t="s">
        <v>637</v>
      </c>
      <c r="C2528" s="20">
        <v>4.0</v>
      </c>
      <c r="D2528" s="27"/>
    </row>
    <row r="2529">
      <c r="A2529" s="26">
        <v>44722.73644586805</v>
      </c>
      <c r="B2529" s="20" t="s">
        <v>193</v>
      </c>
      <c r="C2529" s="20">
        <v>12.0</v>
      </c>
      <c r="D2529" s="27"/>
      <c r="E2529" s="20" t="s">
        <v>1744</v>
      </c>
    </row>
    <row r="2530">
      <c r="A2530" s="26">
        <v>44722.73811202546</v>
      </c>
      <c r="B2530" s="20" t="s">
        <v>1780</v>
      </c>
      <c r="C2530" s="20">
        <v>18.0</v>
      </c>
      <c r="D2530" s="27"/>
    </row>
    <row r="2531">
      <c r="A2531" s="26">
        <v>44722.73830309028</v>
      </c>
      <c r="B2531" s="20" t="s">
        <v>1781</v>
      </c>
      <c r="C2531" s="20">
        <v>17.0</v>
      </c>
      <c r="D2531" s="27"/>
    </row>
    <row r="2532">
      <c r="A2532" s="26">
        <v>44722.74199239584</v>
      </c>
      <c r="B2532" s="20" t="s">
        <v>193</v>
      </c>
      <c r="C2532" s="20">
        <v>12.0</v>
      </c>
      <c r="D2532" s="27"/>
    </row>
    <row r="2533">
      <c r="A2533" s="26">
        <v>44723.7068278125</v>
      </c>
      <c r="B2533" s="20" t="s">
        <v>614</v>
      </c>
      <c r="C2533" s="20">
        <v>20.0</v>
      </c>
      <c r="D2533" s="27"/>
    </row>
    <row r="2534">
      <c r="A2534" s="26">
        <v>44723.707734606476</v>
      </c>
      <c r="B2534" s="20" t="s">
        <v>1782</v>
      </c>
      <c r="C2534" s="20">
        <v>20.0</v>
      </c>
      <c r="D2534" s="27"/>
    </row>
    <row r="2535">
      <c r="A2535" s="26">
        <v>44723.709320567126</v>
      </c>
      <c r="B2535" s="20" t="s">
        <v>847</v>
      </c>
      <c r="C2535" s="20">
        <v>20.0</v>
      </c>
      <c r="D2535" s="27"/>
    </row>
    <row r="2536">
      <c r="A2536" s="26">
        <v>44723.711648599536</v>
      </c>
      <c r="B2536" s="20" t="s">
        <v>1783</v>
      </c>
      <c r="C2536" s="20">
        <v>3.0</v>
      </c>
      <c r="D2536" s="27"/>
    </row>
    <row r="2537">
      <c r="A2537" s="26">
        <v>44723.719853206014</v>
      </c>
      <c r="B2537" s="20" t="s">
        <v>1784</v>
      </c>
      <c r="C2537" s="20">
        <v>3.0</v>
      </c>
      <c r="D2537" s="27"/>
    </row>
    <row r="2538">
      <c r="A2538" s="26">
        <v>44723.72005458333</v>
      </c>
      <c r="B2538" s="20" t="s">
        <v>608</v>
      </c>
      <c r="C2538" s="20">
        <v>20.0</v>
      </c>
      <c r="D2538" s="27"/>
    </row>
    <row r="2539">
      <c r="A2539" s="26">
        <v>44723.72039929398</v>
      </c>
      <c r="B2539" s="20" t="s">
        <v>1785</v>
      </c>
      <c r="C2539" s="20">
        <v>12.0</v>
      </c>
      <c r="D2539" s="27"/>
    </row>
    <row r="2540">
      <c r="A2540" s="26">
        <v>44723.723189930555</v>
      </c>
      <c r="B2540" s="20" t="s">
        <v>300</v>
      </c>
      <c r="C2540" s="20">
        <v>20.0</v>
      </c>
      <c r="D2540" s="27"/>
    </row>
    <row r="2541">
      <c r="A2541" s="26">
        <v>44723.73275571759</v>
      </c>
      <c r="B2541" s="20" t="s">
        <v>406</v>
      </c>
      <c r="C2541" s="20">
        <v>10.0</v>
      </c>
      <c r="D2541" s="27"/>
    </row>
    <row r="2542">
      <c r="A2542" s="26">
        <v>44724.67371686343</v>
      </c>
      <c r="B2542" s="20" t="s">
        <v>800</v>
      </c>
      <c r="C2542" s="20">
        <v>20.0</v>
      </c>
      <c r="D2542" s="27"/>
    </row>
    <row r="2543">
      <c r="A2543" s="26">
        <v>44724.67910875</v>
      </c>
      <c r="B2543" s="20" t="s">
        <v>79</v>
      </c>
      <c r="C2543" s="20">
        <v>19.0</v>
      </c>
      <c r="D2543" s="27"/>
    </row>
    <row r="2544">
      <c r="A2544" s="26">
        <v>44724.67926510416</v>
      </c>
      <c r="B2544" s="20" t="s">
        <v>982</v>
      </c>
      <c r="C2544" s="20">
        <v>15.0</v>
      </c>
      <c r="D2544" s="27"/>
    </row>
    <row r="2545">
      <c r="A2545" s="26">
        <v>44726.694617974536</v>
      </c>
      <c r="B2545" s="20" t="s">
        <v>995</v>
      </c>
      <c r="C2545" s="20">
        <v>20.0</v>
      </c>
      <c r="D2545" s="27"/>
    </row>
    <row r="2546">
      <c r="A2546" s="26">
        <v>44726.695050752314</v>
      </c>
      <c r="B2546" s="20" t="s">
        <v>1430</v>
      </c>
      <c r="C2546" s="20">
        <v>23.0</v>
      </c>
      <c r="D2546" s="27"/>
    </row>
    <row r="2547">
      <c r="A2547" s="26">
        <v>44726.69792918982</v>
      </c>
      <c r="B2547" s="20" t="s">
        <v>1610</v>
      </c>
      <c r="C2547" s="20">
        <v>23.0</v>
      </c>
      <c r="D2547" s="27"/>
    </row>
    <row r="2548">
      <c r="A2548" s="26">
        <v>44726.69842789352</v>
      </c>
      <c r="B2548" s="20" t="s">
        <v>1610</v>
      </c>
      <c r="C2548" s="20">
        <v>23.0</v>
      </c>
      <c r="D2548" s="27"/>
    </row>
    <row r="2549">
      <c r="A2549" s="26">
        <v>44726.712687453706</v>
      </c>
      <c r="B2549" s="20" t="s">
        <v>831</v>
      </c>
      <c r="C2549" s="20">
        <v>20.0</v>
      </c>
      <c r="D2549" s="27"/>
    </row>
    <row r="2550">
      <c r="A2550" s="26">
        <v>44726.713096956024</v>
      </c>
      <c r="B2550" s="20" t="s">
        <v>1076</v>
      </c>
      <c r="C2550" s="20">
        <v>41.0</v>
      </c>
      <c r="D2550" s="27"/>
    </row>
    <row r="2551">
      <c r="A2551" s="26">
        <v>44727.57685681713</v>
      </c>
      <c r="B2551" s="20" t="s">
        <v>1759</v>
      </c>
      <c r="C2551" s="20">
        <v>12.0</v>
      </c>
      <c r="D2551" s="27"/>
    </row>
    <row r="2552">
      <c r="A2552" s="26">
        <v>44727.71030491898</v>
      </c>
      <c r="B2552" s="20" t="s">
        <v>285</v>
      </c>
      <c r="C2552" s="20">
        <v>17.0</v>
      </c>
      <c r="D2552" s="27"/>
    </row>
    <row r="2553">
      <c r="A2553" s="26">
        <v>44727.71056959491</v>
      </c>
      <c r="B2553" s="20" t="s">
        <v>406</v>
      </c>
      <c r="C2553" s="20">
        <v>5.0</v>
      </c>
      <c r="D2553" s="27"/>
      <c r="E2553" s="20" t="s">
        <v>1744</v>
      </c>
    </row>
    <row r="2554">
      <c r="A2554" s="26">
        <v>44727.75337045139</v>
      </c>
      <c r="B2554" s="20" t="s">
        <v>1786</v>
      </c>
      <c r="C2554" s="20">
        <v>16.0</v>
      </c>
      <c r="D2554" s="27"/>
    </row>
    <row r="2555">
      <c r="A2555" s="26">
        <v>44727.75369538194</v>
      </c>
      <c r="B2555" s="20" t="s">
        <v>1787</v>
      </c>
      <c r="C2555" s="20">
        <v>19.0</v>
      </c>
      <c r="D2555" s="27"/>
    </row>
    <row r="2556">
      <c r="A2556" s="26">
        <v>44727.754025393515</v>
      </c>
      <c r="B2556" s="20" t="s">
        <v>422</v>
      </c>
      <c r="C2556" s="20">
        <v>23.0</v>
      </c>
      <c r="D2556" s="27"/>
    </row>
    <row r="2557">
      <c r="A2557" s="26">
        <v>44727.754404085645</v>
      </c>
      <c r="B2557" s="20" t="s">
        <v>1788</v>
      </c>
      <c r="C2557" s="20">
        <v>11.0</v>
      </c>
      <c r="D2557" s="27"/>
    </row>
    <row r="2558">
      <c r="A2558" s="26">
        <v>44727.78899583333</v>
      </c>
      <c r="B2558" s="20" t="s">
        <v>1789</v>
      </c>
      <c r="C2558" s="20">
        <v>20.0</v>
      </c>
      <c r="D2558" s="27"/>
    </row>
    <row r="2559">
      <c r="A2559" s="26">
        <v>44727.78986765046</v>
      </c>
      <c r="B2559" s="20" t="s">
        <v>1789</v>
      </c>
      <c r="C2559" s="20">
        <v>8.0</v>
      </c>
      <c r="D2559" s="27"/>
      <c r="E2559" s="20" t="s">
        <v>1744</v>
      </c>
    </row>
    <row r="2560">
      <c r="A2560" s="26">
        <v>44727.87640270834</v>
      </c>
      <c r="B2560" s="20" t="s">
        <v>1551</v>
      </c>
      <c r="C2560" s="20">
        <v>19.0</v>
      </c>
      <c r="D2560" s="27"/>
    </row>
    <row r="2561">
      <c r="A2561" s="26">
        <v>44727.87903858796</v>
      </c>
      <c r="B2561" s="20" t="s">
        <v>900</v>
      </c>
      <c r="C2561" s="20">
        <v>11.0</v>
      </c>
      <c r="D2561" s="27"/>
    </row>
    <row r="2562">
      <c r="A2562" s="26">
        <v>44727.88647678241</v>
      </c>
      <c r="B2562" s="20" t="s">
        <v>1790</v>
      </c>
      <c r="C2562" s="20">
        <v>20.0</v>
      </c>
      <c r="D2562" s="27"/>
    </row>
    <row r="2563">
      <c r="A2563" s="26">
        <v>44727.886764016206</v>
      </c>
      <c r="B2563" s="20" t="s">
        <v>1790</v>
      </c>
      <c r="C2563" s="20">
        <v>6.0</v>
      </c>
      <c r="D2563" s="27"/>
      <c r="E2563" s="20" t="s">
        <v>1744</v>
      </c>
    </row>
    <row r="2564">
      <c r="A2564" s="26">
        <v>44727.887334363426</v>
      </c>
      <c r="B2564" s="20" t="s">
        <v>1791</v>
      </c>
      <c r="C2564" s="20">
        <v>20.0</v>
      </c>
      <c r="D2564" s="27"/>
    </row>
    <row r="2565">
      <c r="A2565" s="26">
        <v>44727.8874920949</v>
      </c>
      <c r="B2565" s="20" t="s">
        <v>1791</v>
      </c>
      <c r="C2565" s="20">
        <v>27.0</v>
      </c>
      <c r="D2565" s="27"/>
      <c r="E2565" s="20" t="s">
        <v>1744</v>
      </c>
    </row>
    <row r="2566">
      <c r="A2566" s="26">
        <v>44727.90206934028</v>
      </c>
      <c r="B2566" s="20" t="s">
        <v>1158</v>
      </c>
      <c r="C2566" s="20">
        <v>126.0</v>
      </c>
      <c r="D2566" s="27"/>
      <c r="E2566" s="20" t="s">
        <v>1792</v>
      </c>
    </row>
    <row r="2567">
      <c r="A2567" s="26">
        <v>44728.717539571764</v>
      </c>
      <c r="B2567" s="20" t="s">
        <v>1758</v>
      </c>
      <c r="C2567" s="20">
        <v>43.0</v>
      </c>
      <c r="D2567" s="27"/>
      <c r="E2567" s="20" t="s">
        <v>1793</v>
      </c>
    </row>
    <row r="2568">
      <c r="A2568" s="26">
        <v>44728.87088004629</v>
      </c>
      <c r="B2568" s="20" t="s">
        <v>820</v>
      </c>
      <c r="C2568" s="20">
        <v>7.0</v>
      </c>
      <c r="D2568" s="27"/>
    </row>
    <row r="2569">
      <c r="A2569" s="26">
        <v>44728.87236353009</v>
      </c>
      <c r="B2569" s="20" t="s">
        <v>1794</v>
      </c>
      <c r="C2569" s="20">
        <v>18.0</v>
      </c>
      <c r="D2569" s="27"/>
    </row>
    <row r="2570">
      <c r="A2570" s="26">
        <v>44728.87663481482</v>
      </c>
      <c r="B2570" s="20" t="s">
        <v>437</v>
      </c>
      <c r="C2570" s="20">
        <v>20.0</v>
      </c>
      <c r="D2570" s="27"/>
    </row>
    <row r="2571">
      <c r="A2571" s="26">
        <v>44729.69933920139</v>
      </c>
      <c r="B2571" s="20" t="s">
        <v>233</v>
      </c>
      <c r="C2571" s="20">
        <v>4.0</v>
      </c>
      <c r="D2571" s="27"/>
    </row>
    <row r="2572">
      <c r="A2572" s="26">
        <v>44729.702842812505</v>
      </c>
      <c r="B2572" s="20" t="s">
        <v>390</v>
      </c>
      <c r="C2572" s="20">
        <v>2.0</v>
      </c>
      <c r="D2572" s="27"/>
    </row>
    <row r="2573">
      <c r="A2573" s="26">
        <v>44729.712372407404</v>
      </c>
      <c r="B2573" s="20" t="s">
        <v>1758</v>
      </c>
      <c r="C2573" s="20">
        <v>13.0</v>
      </c>
      <c r="D2573" s="27"/>
    </row>
    <row r="2574">
      <c r="A2574" s="26">
        <v>44729.71486695602</v>
      </c>
      <c r="B2574" s="20" t="s">
        <v>366</v>
      </c>
      <c r="C2574" s="20">
        <v>11.0</v>
      </c>
      <c r="D2574" s="27"/>
    </row>
    <row r="2575">
      <c r="A2575" s="26">
        <v>44729.71532728009</v>
      </c>
      <c r="B2575" s="20" t="s">
        <v>366</v>
      </c>
      <c r="C2575" s="20">
        <v>29.0</v>
      </c>
      <c r="D2575" s="27"/>
      <c r="E2575" s="20" t="s">
        <v>1744</v>
      </c>
    </row>
    <row r="2576">
      <c r="A2576" s="26">
        <v>44729.71602587963</v>
      </c>
      <c r="B2576" s="20" t="s">
        <v>1350</v>
      </c>
      <c r="C2576" s="20">
        <v>30.0</v>
      </c>
      <c r="D2576" s="27"/>
      <c r="E2576" s="20" t="s">
        <v>1795</v>
      </c>
    </row>
    <row r="2577">
      <c r="A2577" s="26">
        <v>44729.71637483797</v>
      </c>
      <c r="B2577" s="20" t="s">
        <v>344</v>
      </c>
      <c r="C2577" s="20">
        <v>18.0</v>
      </c>
      <c r="D2577" s="27"/>
    </row>
    <row r="2578">
      <c r="A2578" s="26">
        <v>44729.71652746528</v>
      </c>
      <c r="B2578" s="20" t="s">
        <v>344</v>
      </c>
      <c r="C2578" s="20">
        <v>29.0</v>
      </c>
      <c r="D2578" s="27"/>
      <c r="E2578" s="20" t="s">
        <v>1744</v>
      </c>
    </row>
    <row r="2579">
      <c r="A2579" s="26">
        <v>44730.713320254625</v>
      </c>
      <c r="B2579" s="20" t="s">
        <v>285</v>
      </c>
      <c r="C2579" s="20">
        <v>10.0</v>
      </c>
      <c r="D2579" s="27"/>
    </row>
    <row r="2580">
      <c r="A2580" s="26">
        <v>44730.714457118054</v>
      </c>
      <c r="B2580" s="20" t="s">
        <v>1074</v>
      </c>
      <c r="C2580" s="20">
        <v>18.0</v>
      </c>
      <c r="D2580" s="27"/>
    </row>
    <row r="2581">
      <c r="A2581" s="26">
        <v>44730.71786145833</v>
      </c>
      <c r="B2581" s="20" t="s">
        <v>1789</v>
      </c>
      <c r="C2581" s="20">
        <v>14.0</v>
      </c>
      <c r="D2581" s="27"/>
    </row>
    <row r="2582">
      <c r="A2582" s="26">
        <v>44730.7181277662</v>
      </c>
      <c r="B2582" s="20" t="s">
        <v>1789</v>
      </c>
      <c r="C2582" s="20">
        <v>2.0</v>
      </c>
      <c r="D2582" s="27"/>
      <c r="E2582" s="20" t="s">
        <v>1744</v>
      </c>
    </row>
    <row r="2583">
      <c r="A2583" s="26">
        <v>44730.719945868055</v>
      </c>
      <c r="B2583" s="20" t="s">
        <v>1632</v>
      </c>
      <c r="C2583" s="20">
        <v>19.0</v>
      </c>
      <c r="D2583" s="27"/>
    </row>
    <row r="2584">
      <c r="A2584" s="26">
        <v>44730.72361030093</v>
      </c>
      <c r="B2584" s="20" t="s">
        <v>1667</v>
      </c>
      <c r="C2584" s="20">
        <v>18.0</v>
      </c>
      <c r="D2584" s="27"/>
    </row>
    <row r="2585">
      <c r="A2585" s="26">
        <v>44730.723624039354</v>
      </c>
      <c r="B2585" s="20" t="s">
        <v>1796</v>
      </c>
      <c r="C2585" s="20">
        <v>17.0</v>
      </c>
      <c r="D2585" s="27"/>
    </row>
    <row r="2586">
      <c r="A2586" s="26">
        <v>44730.724964699075</v>
      </c>
      <c r="B2586" s="20" t="s">
        <v>1797</v>
      </c>
      <c r="C2586" s="20">
        <v>7.0</v>
      </c>
      <c r="D2586" s="27"/>
      <c r="E2586" s="20" t="s">
        <v>1744</v>
      </c>
    </row>
    <row r="2587">
      <c r="A2587" s="26">
        <v>44730.72574172454</v>
      </c>
      <c r="B2587" s="20" t="s">
        <v>178</v>
      </c>
      <c r="C2587" s="20">
        <v>20.0</v>
      </c>
      <c r="D2587" s="27"/>
    </row>
    <row r="2588">
      <c r="A2588" s="26">
        <v>44730.72589398148</v>
      </c>
      <c r="B2588" s="20" t="s">
        <v>1633</v>
      </c>
      <c r="C2588" s="20">
        <v>18.0</v>
      </c>
      <c r="D2588" s="27"/>
    </row>
    <row r="2589">
      <c r="A2589" s="26">
        <v>44731.67730577546</v>
      </c>
      <c r="B2589" s="20" t="s">
        <v>79</v>
      </c>
      <c r="C2589" s="20">
        <v>16.5</v>
      </c>
      <c r="D2589" s="27"/>
    </row>
    <row r="2590">
      <c r="A2590" s="26">
        <v>44731.67740935185</v>
      </c>
      <c r="B2590" s="20" t="s">
        <v>982</v>
      </c>
      <c r="C2590" s="20">
        <v>18.0</v>
      </c>
      <c r="D2590" s="27"/>
    </row>
    <row r="2591">
      <c r="A2591" s="26">
        <v>44733.699923761575</v>
      </c>
      <c r="B2591" s="20" t="s">
        <v>1798</v>
      </c>
      <c r="C2591" s="20">
        <v>19.0</v>
      </c>
      <c r="D2591" s="27"/>
    </row>
    <row r="2592">
      <c r="A2592" s="26">
        <v>44733.70019844908</v>
      </c>
      <c r="B2592" s="20" t="s">
        <v>1798</v>
      </c>
      <c r="C2592" s="20">
        <v>3.0</v>
      </c>
      <c r="D2592" s="27"/>
      <c r="E2592" s="20" t="s">
        <v>1744</v>
      </c>
    </row>
    <row r="2593">
      <c r="A2593" s="26">
        <v>44733.70084754629</v>
      </c>
      <c r="B2593" s="20" t="s">
        <v>1789</v>
      </c>
      <c r="C2593" s="20">
        <v>20.0</v>
      </c>
      <c r="D2593" s="27"/>
    </row>
    <row r="2594">
      <c r="A2594" s="26">
        <v>44733.701113773146</v>
      </c>
      <c r="B2594" s="20" t="s">
        <v>1789</v>
      </c>
      <c r="C2594" s="20">
        <v>23.0</v>
      </c>
      <c r="D2594" s="27"/>
      <c r="E2594" s="20" t="s">
        <v>1744</v>
      </c>
    </row>
    <row r="2595">
      <c r="A2595" s="26">
        <v>44733.941180636575</v>
      </c>
      <c r="B2595" s="20" t="s">
        <v>1610</v>
      </c>
      <c r="C2595" s="20">
        <v>17.0</v>
      </c>
      <c r="D2595" s="27"/>
    </row>
    <row r="2596">
      <c r="A2596" s="26">
        <v>44733.94194421296</v>
      </c>
      <c r="B2596" s="20" t="s">
        <v>1610</v>
      </c>
      <c r="C2596" s="20">
        <v>7.0</v>
      </c>
      <c r="D2596" s="27"/>
    </row>
    <row r="2597">
      <c r="A2597" s="26">
        <v>44734.60163748843</v>
      </c>
      <c r="B2597" s="20" t="s">
        <v>1799</v>
      </c>
      <c r="C2597" s="20">
        <v>15.0</v>
      </c>
      <c r="D2597" s="27"/>
    </row>
    <row r="2598">
      <c r="A2598" s="26">
        <v>44734.603093935184</v>
      </c>
      <c r="B2598" s="20" t="s">
        <v>1759</v>
      </c>
      <c r="C2598" s="20">
        <v>3.0</v>
      </c>
      <c r="D2598" s="27"/>
    </row>
    <row r="2599">
      <c r="A2599" s="26">
        <v>44734.70482454861</v>
      </c>
      <c r="B2599" s="20" t="s">
        <v>214</v>
      </c>
      <c r="C2599" s="20">
        <v>18.0</v>
      </c>
      <c r="D2599" s="27"/>
    </row>
    <row r="2600">
      <c r="A2600" s="26">
        <v>44734.7050247338</v>
      </c>
      <c r="B2600" s="20" t="s">
        <v>1076</v>
      </c>
      <c r="C2600" s="20">
        <v>14.0</v>
      </c>
      <c r="D2600" s="27"/>
    </row>
    <row r="2601">
      <c r="A2601" s="26">
        <v>44734.71527799769</v>
      </c>
      <c r="B2601" s="20" t="s">
        <v>406</v>
      </c>
      <c r="C2601" s="20">
        <v>13.0</v>
      </c>
      <c r="D2601" s="27"/>
      <c r="E2601" s="20" t="s">
        <v>1744</v>
      </c>
    </row>
    <row r="2602">
      <c r="A2602" s="26">
        <v>44734.764111875</v>
      </c>
      <c r="B2602" s="20" t="s">
        <v>1800</v>
      </c>
      <c r="C2602" s="20">
        <v>24.0</v>
      </c>
      <c r="D2602" s="27"/>
    </row>
    <row r="2603">
      <c r="A2603" s="26">
        <v>44734.76445351852</v>
      </c>
      <c r="B2603" s="20" t="s">
        <v>1800</v>
      </c>
      <c r="C2603" s="20">
        <v>25.0</v>
      </c>
      <c r="D2603" s="27"/>
      <c r="E2603" s="20" t="s">
        <v>1744</v>
      </c>
    </row>
    <row r="2604">
      <c r="A2604" s="26">
        <v>44734.873883946755</v>
      </c>
      <c r="B2604" s="20" t="s">
        <v>1801</v>
      </c>
      <c r="C2604" s="20">
        <v>11.0</v>
      </c>
      <c r="D2604" s="27"/>
    </row>
    <row r="2605">
      <c r="A2605" s="26">
        <v>44734.88105895833</v>
      </c>
      <c r="B2605" s="20" t="s">
        <v>1802</v>
      </c>
      <c r="C2605" s="20">
        <v>20.0</v>
      </c>
      <c r="D2605" s="27"/>
    </row>
    <row r="2606">
      <c r="A2606" s="26">
        <v>44734.88121481481</v>
      </c>
      <c r="B2606" s="20" t="s">
        <v>1802</v>
      </c>
      <c r="C2606" s="20">
        <v>7.0</v>
      </c>
      <c r="D2606" s="27"/>
    </row>
    <row r="2607">
      <c r="A2607" s="26">
        <v>44734.88296309028</v>
      </c>
      <c r="B2607" s="20" t="s">
        <v>1803</v>
      </c>
      <c r="C2607" s="20">
        <v>20.0</v>
      </c>
      <c r="D2607" s="27"/>
    </row>
    <row r="2608">
      <c r="A2608" s="26">
        <v>44734.883210092594</v>
      </c>
      <c r="B2608" s="20" t="s">
        <v>1803</v>
      </c>
      <c r="C2608" s="20">
        <v>22.0</v>
      </c>
      <c r="D2608" s="27"/>
      <c r="E2608" s="20" t="s">
        <v>1744</v>
      </c>
    </row>
    <row r="2609">
      <c r="A2609" s="26">
        <v>44734.886467743054</v>
      </c>
      <c r="B2609" s="20" t="s">
        <v>760</v>
      </c>
      <c r="C2609" s="20">
        <v>20.0</v>
      </c>
      <c r="D2609" s="27"/>
    </row>
    <row r="2610">
      <c r="A2610" s="26">
        <v>44734.88662118056</v>
      </c>
      <c r="B2610" s="20" t="s">
        <v>1064</v>
      </c>
      <c r="C2610" s="20">
        <v>14.0</v>
      </c>
      <c r="D2610" s="27"/>
      <c r="E2610" s="20" t="s">
        <v>1744</v>
      </c>
    </row>
    <row r="2611">
      <c r="A2611" s="26">
        <v>44735.7106152662</v>
      </c>
      <c r="B2611" s="20" t="s">
        <v>326</v>
      </c>
      <c r="C2611" s="20">
        <v>10.0</v>
      </c>
      <c r="D2611" s="27"/>
    </row>
    <row r="2612">
      <c r="A2612" s="26">
        <v>44736.71603539352</v>
      </c>
      <c r="B2612" s="20" t="s">
        <v>1350</v>
      </c>
      <c r="C2612" s="20">
        <v>53.0</v>
      </c>
      <c r="D2612" s="27"/>
      <c r="E2612" s="20" t="s">
        <v>1279</v>
      </c>
    </row>
    <row r="2613">
      <c r="A2613" s="26">
        <v>44736.72101954861</v>
      </c>
      <c r="B2613" s="20" t="s">
        <v>233</v>
      </c>
      <c r="C2613" s="20">
        <v>7.0</v>
      </c>
      <c r="D2613" s="27"/>
    </row>
    <row r="2614">
      <c r="A2614" s="26">
        <v>44736.72282167824</v>
      </c>
      <c r="B2614" s="20" t="s">
        <v>344</v>
      </c>
      <c r="C2614" s="20">
        <v>14.0</v>
      </c>
      <c r="D2614" s="27"/>
    </row>
    <row r="2615">
      <c r="A2615" s="26">
        <v>44736.722988587964</v>
      </c>
      <c r="B2615" s="20" t="s">
        <v>344</v>
      </c>
      <c r="C2615" s="20">
        <v>33.0</v>
      </c>
      <c r="D2615" s="27"/>
      <c r="E2615" s="20" t="s">
        <v>1744</v>
      </c>
    </row>
    <row r="2616">
      <c r="A2616" s="26">
        <v>44736.73970798611</v>
      </c>
      <c r="B2616" s="20" t="s">
        <v>1804</v>
      </c>
      <c r="C2616" s="20">
        <v>22.0</v>
      </c>
      <c r="D2616" s="27"/>
    </row>
    <row r="2617">
      <c r="A2617" s="26">
        <v>44736.739853969906</v>
      </c>
      <c r="B2617" s="20" t="s">
        <v>552</v>
      </c>
      <c r="C2617" s="20">
        <v>4.0</v>
      </c>
      <c r="D2617" s="27"/>
    </row>
    <row r="2618">
      <c r="A2618" s="26">
        <v>44736.740019675926</v>
      </c>
      <c r="B2618" s="20" t="s">
        <v>1805</v>
      </c>
      <c r="C2618" s="20">
        <v>24.0</v>
      </c>
      <c r="D2618" s="27"/>
    </row>
    <row r="2619">
      <c r="A2619" s="26">
        <v>44736.785793993055</v>
      </c>
      <c r="B2619" s="20" t="s">
        <v>1006</v>
      </c>
      <c r="C2619" s="20">
        <v>15.0</v>
      </c>
      <c r="D2619" s="27"/>
    </row>
    <row r="2620">
      <c r="A2620" s="26">
        <v>44737.70930578704</v>
      </c>
      <c r="B2620" s="20" t="s">
        <v>1713</v>
      </c>
      <c r="C2620" s="20">
        <v>5.0</v>
      </c>
      <c r="D2620" s="27"/>
    </row>
    <row r="2621">
      <c r="A2621" s="26">
        <v>44737.70946571759</v>
      </c>
      <c r="B2621" s="20" t="s">
        <v>1713</v>
      </c>
      <c r="C2621" s="20">
        <v>3.0</v>
      </c>
      <c r="D2621" s="27"/>
    </row>
    <row r="2622">
      <c r="A2622" s="26">
        <v>44737.71015206019</v>
      </c>
      <c r="B2622" s="20" t="s">
        <v>1806</v>
      </c>
      <c r="C2622" s="20">
        <v>18.0</v>
      </c>
      <c r="D2622" s="27"/>
    </row>
    <row r="2623">
      <c r="A2623" s="26">
        <v>44737.71193099537</v>
      </c>
      <c r="B2623" s="20" t="s">
        <v>91</v>
      </c>
      <c r="C2623" s="20">
        <v>7.0</v>
      </c>
      <c r="D2623" s="27"/>
    </row>
    <row r="2624">
      <c r="A2624" s="26">
        <v>44737.72144284722</v>
      </c>
      <c r="B2624" s="20" t="s">
        <v>1296</v>
      </c>
      <c r="C2624" s="20">
        <v>23.5</v>
      </c>
      <c r="D2624" s="27"/>
    </row>
    <row r="2625">
      <c r="A2625" s="26">
        <v>44737.7227565162</v>
      </c>
      <c r="B2625" s="20" t="s">
        <v>284</v>
      </c>
      <c r="C2625" s="20">
        <v>6.0</v>
      </c>
      <c r="D2625" s="27"/>
    </row>
    <row r="2626">
      <c r="A2626" s="26">
        <v>44737.72286285879</v>
      </c>
      <c r="B2626" s="20" t="s">
        <v>1074</v>
      </c>
      <c r="C2626" s="20">
        <v>19.0</v>
      </c>
      <c r="D2626" s="27"/>
    </row>
    <row r="2627">
      <c r="A2627" s="26">
        <v>44737.72311685185</v>
      </c>
      <c r="B2627" s="20" t="s">
        <v>284</v>
      </c>
      <c r="C2627" s="20">
        <v>8.0</v>
      </c>
      <c r="D2627" s="27"/>
    </row>
    <row r="2628">
      <c r="A2628" s="26">
        <v>44737.7231205787</v>
      </c>
      <c r="B2628" s="20" t="s">
        <v>235</v>
      </c>
      <c r="C2628" s="20">
        <v>3.0</v>
      </c>
      <c r="D2628" s="27"/>
    </row>
    <row r="2629">
      <c r="A2629" s="26">
        <v>44737.72728090278</v>
      </c>
      <c r="B2629" s="20" t="s">
        <v>67</v>
      </c>
      <c r="C2629" s="20">
        <v>36.0</v>
      </c>
      <c r="D2629" s="27"/>
    </row>
    <row r="2630">
      <c r="A2630" s="26">
        <v>44737.72871527778</v>
      </c>
      <c r="B2630" s="20" t="s">
        <v>300</v>
      </c>
      <c r="C2630" s="20">
        <v>20.0</v>
      </c>
      <c r="D2630" s="27"/>
    </row>
    <row r="2631">
      <c r="A2631" s="26">
        <v>44737.74045607639</v>
      </c>
      <c r="B2631" s="20" t="s">
        <v>1807</v>
      </c>
      <c r="C2631" s="20">
        <v>5.0</v>
      </c>
      <c r="D2631" s="27"/>
    </row>
    <row r="2632">
      <c r="A2632" s="26">
        <v>44738.67466538194</v>
      </c>
      <c r="B2632" s="20" t="s">
        <v>1182</v>
      </c>
      <c r="C2632" s="20">
        <v>20.0</v>
      </c>
      <c r="D2632" s="27"/>
    </row>
    <row r="2633">
      <c r="A2633" s="26">
        <v>44738.69166359954</v>
      </c>
      <c r="B2633" s="20" t="s">
        <v>995</v>
      </c>
      <c r="C2633" s="20">
        <v>20.0</v>
      </c>
      <c r="D2633" s="27"/>
    </row>
    <row r="2634">
      <c r="A2634" s="26">
        <v>44738.691963425925</v>
      </c>
      <c r="B2634" s="20" t="s">
        <v>1677</v>
      </c>
      <c r="C2634" s="20">
        <v>43.0</v>
      </c>
      <c r="D2634" s="27"/>
    </row>
    <row r="2635">
      <c r="A2635" s="26">
        <v>44738.700053900466</v>
      </c>
      <c r="B2635" s="20" t="s">
        <v>193</v>
      </c>
      <c r="C2635" s="20">
        <v>27.0</v>
      </c>
      <c r="D2635" s="27"/>
    </row>
    <row r="2636">
      <c r="A2636" s="26">
        <v>44738.700262488426</v>
      </c>
      <c r="B2636" s="20" t="s">
        <v>193</v>
      </c>
      <c r="C2636" s="20">
        <v>48.0</v>
      </c>
      <c r="D2636" s="27"/>
      <c r="E2636" s="20" t="s">
        <v>1744</v>
      </c>
    </row>
    <row r="2637">
      <c r="A2637" s="26">
        <v>44738.72645018519</v>
      </c>
      <c r="B2637" s="20" t="s">
        <v>411</v>
      </c>
      <c r="C2637" s="20">
        <v>15.0</v>
      </c>
      <c r="D2637" s="27"/>
    </row>
    <row r="2638">
      <c r="A2638" s="26">
        <v>44740.71536553241</v>
      </c>
      <c r="B2638" s="20" t="s">
        <v>528</v>
      </c>
      <c r="C2638" s="20">
        <v>20.0</v>
      </c>
      <c r="D2638" s="27"/>
    </row>
    <row r="2639">
      <c r="A2639" s="26">
        <v>44740.715958252316</v>
      </c>
      <c r="B2639" s="20" t="s">
        <v>1677</v>
      </c>
      <c r="C2639" s="20">
        <v>32.0</v>
      </c>
      <c r="D2639" s="27"/>
    </row>
    <row r="2640">
      <c r="A2640" s="26">
        <v>44740.7169684838</v>
      </c>
      <c r="B2640" s="20" t="s">
        <v>1008</v>
      </c>
      <c r="C2640" s="20">
        <v>27.0</v>
      </c>
      <c r="D2640" s="27"/>
      <c r="E2640" s="20" t="s">
        <v>1808</v>
      </c>
    </row>
    <row r="2641">
      <c r="A2641" s="26">
        <v>44740.722397418984</v>
      </c>
      <c r="B2641" s="20" t="s">
        <v>1789</v>
      </c>
      <c r="C2641" s="20">
        <v>10.0</v>
      </c>
      <c r="D2641" s="27"/>
    </row>
    <row r="2642">
      <c r="A2642" s="26">
        <v>44740.72284811342</v>
      </c>
      <c r="B2642" s="20" t="s">
        <v>1789</v>
      </c>
      <c r="C2642" s="20">
        <v>19.0</v>
      </c>
      <c r="D2642" s="27"/>
    </row>
    <row r="2643">
      <c r="A2643" s="26">
        <v>44740.73806884259</v>
      </c>
      <c r="B2643" s="20" t="s">
        <v>193</v>
      </c>
      <c r="C2643" s="20">
        <v>26.0</v>
      </c>
      <c r="D2643" s="27"/>
    </row>
    <row r="2644">
      <c r="A2644" s="26">
        <v>44740.73823643519</v>
      </c>
      <c r="B2644" s="20" t="s">
        <v>193</v>
      </c>
      <c r="C2644" s="20">
        <v>32.0</v>
      </c>
      <c r="D2644" s="27"/>
    </row>
    <row r="2645">
      <c r="A2645" s="26">
        <v>44740.739568425925</v>
      </c>
      <c r="B2645" s="20" t="s">
        <v>193</v>
      </c>
      <c r="C2645" s="20">
        <v>14.0</v>
      </c>
      <c r="D2645" s="27"/>
    </row>
    <row r="2646">
      <c r="A2646" s="26">
        <v>44740.75534002315</v>
      </c>
      <c r="B2646" s="20" t="s">
        <v>1809</v>
      </c>
      <c r="C2646" s="20">
        <v>16.0</v>
      </c>
      <c r="D2646" s="27"/>
    </row>
    <row r="2647">
      <c r="A2647" s="26">
        <v>44740.75577203704</v>
      </c>
      <c r="B2647" s="20" t="s">
        <v>163</v>
      </c>
      <c r="C2647" s="20">
        <v>34.0</v>
      </c>
      <c r="D2647" s="27"/>
    </row>
    <row r="2648">
      <c r="A2648" s="26">
        <v>44741.594688599536</v>
      </c>
      <c r="B2648" s="20" t="s">
        <v>1810</v>
      </c>
      <c r="C2648" s="20">
        <v>9.0</v>
      </c>
      <c r="D2648" s="27"/>
    </row>
    <row r="2649">
      <c r="A2649" s="26">
        <v>44741.59506807871</v>
      </c>
      <c r="B2649" s="20" t="s">
        <v>1811</v>
      </c>
      <c r="C2649" s="20">
        <v>4.0</v>
      </c>
      <c r="D2649" s="27"/>
    </row>
    <row r="2650">
      <c r="A2650" s="26">
        <v>44741.667296678235</v>
      </c>
      <c r="B2650" s="20" t="s">
        <v>1812</v>
      </c>
      <c r="C2650" s="20">
        <v>190.0</v>
      </c>
      <c r="D2650" s="27"/>
    </row>
    <row r="2651">
      <c r="A2651" s="26">
        <v>44741.712054398144</v>
      </c>
      <c r="B2651" s="20" t="s">
        <v>1610</v>
      </c>
      <c r="C2651" s="20">
        <v>20.0</v>
      </c>
      <c r="D2651" s="27"/>
    </row>
    <row r="2652">
      <c r="A2652" s="26">
        <v>44741.71256891204</v>
      </c>
      <c r="B2652" s="20" t="s">
        <v>1610</v>
      </c>
      <c r="C2652" s="20">
        <v>10.0</v>
      </c>
      <c r="D2652" s="27"/>
    </row>
    <row r="2653">
      <c r="A2653" s="26">
        <v>44741.727454155094</v>
      </c>
      <c r="B2653" s="20" t="s">
        <v>177</v>
      </c>
      <c r="C2653" s="20">
        <v>20.0</v>
      </c>
      <c r="D2653" s="27"/>
    </row>
    <row r="2654">
      <c r="A2654" s="26">
        <v>44741.72767729167</v>
      </c>
      <c r="B2654" s="20" t="s">
        <v>1813</v>
      </c>
      <c r="C2654" s="20">
        <v>32.0</v>
      </c>
      <c r="D2654" s="27"/>
    </row>
    <row r="2655">
      <c r="A2655" s="26">
        <v>44741.87717883102</v>
      </c>
      <c r="B2655" s="20" t="s">
        <v>821</v>
      </c>
      <c r="C2655" s="20">
        <v>18.0</v>
      </c>
      <c r="D2655" s="27"/>
    </row>
    <row r="2656">
      <c r="A2656" s="26">
        <v>44741.88342430556</v>
      </c>
      <c r="B2656" s="20" t="s">
        <v>760</v>
      </c>
      <c r="C2656" s="20">
        <v>20.0</v>
      </c>
      <c r="D2656" s="27"/>
    </row>
    <row r="2657">
      <c r="A2657" s="26">
        <v>44741.88436181713</v>
      </c>
      <c r="B2657" s="20" t="s">
        <v>235</v>
      </c>
      <c r="C2657" s="20">
        <v>8.0</v>
      </c>
      <c r="D2657" s="27"/>
    </row>
    <row r="2658">
      <c r="A2658" s="26">
        <v>44741.88789268519</v>
      </c>
      <c r="B2658" s="20" t="s">
        <v>1374</v>
      </c>
      <c r="C2658" s="20">
        <v>20.0</v>
      </c>
      <c r="D2658" s="27"/>
    </row>
    <row r="2659">
      <c r="A2659" s="26">
        <v>44741.8901443287</v>
      </c>
      <c r="B2659" s="20" t="s">
        <v>787</v>
      </c>
      <c r="C2659" s="20">
        <v>20.0</v>
      </c>
      <c r="D2659" s="27"/>
    </row>
    <row r="2660">
      <c r="A2660" s="26">
        <v>44741.890315868055</v>
      </c>
      <c r="B2660" s="20" t="s">
        <v>1814</v>
      </c>
      <c r="C2660" s="20">
        <v>7.0</v>
      </c>
      <c r="D2660" s="27"/>
    </row>
    <row r="2661">
      <c r="A2661" s="26">
        <v>44742.707302696756</v>
      </c>
      <c r="B2661" s="20" t="s">
        <v>886</v>
      </c>
      <c r="C2661" s="20">
        <v>11.0</v>
      </c>
      <c r="D2661" s="27"/>
      <c r="E2661" s="20" t="s">
        <v>1815</v>
      </c>
    </row>
    <row r="2662">
      <c r="A2662" s="26">
        <v>44742.719671238425</v>
      </c>
      <c r="B2662" s="20" t="s">
        <v>163</v>
      </c>
      <c r="C2662" s="20">
        <v>35.0</v>
      </c>
      <c r="D2662" s="27"/>
    </row>
    <row r="2663">
      <c r="A2663" s="26">
        <v>44742.71991452546</v>
      </c>
      <c r="B2663" s="20" t="s">
        <v>163</v>
      </c>
      <c r="C2663" s="20">
        <v>12.0</v>
      </c>
      <c r="D2663" s="27"/>
    </row>
    <row r="2664">
      <c r="A2664" s="26">
        <v>44742.86957678241</v>
      </c>
      <c r="B2664" s="20" t="s">
        <v>820</v>
      </c>
      <c r="C2664" s="20">
        <v>8.0</v>
      </c>
      <c r="D2664" s="27"/>
    </row>
    <row r="2665">
      <c r="A2665" s="26">
        <v>44742.875007766204</v>
      </c>
      <c r="B2665" s="20" t="s">
        <v>800</v>
      </c>
      <c r="C2665" s="20">
        <v>20.0</v>
      </c>
      <c r="D2665" s="27"/>
    </row>
    <row r="2666">
      <c r="A2666" s="26">
        <v>44742.87736104167</v>
      </c>
      <c r="B2666" s="20" t="s">
        <v>1816</v>
      </c>
      <c r="C2666" s="20">
        <v>17.0</v>
      </c>
      <c r="D2666" s="27"/>
    </row>
    <row r="2667">
      <c r="A2667" s="26">
        <v>44742.87772212963</v>
      </c>
      <c r="B2667" s="20" t="s">
        <v>875</v>
      </c>
      <c r="C2667" s="20">
        <v>20.0</v>
      </c>
      <c r="D2667" s="27"/>
    </row>
    <row r="2668">
      <c r="A2668" s="26">
        <v>44742.888072800924</v>
      </c>
      <c r="B2668" s="20" t="s">
        <v>599</v>
      </c>
      <c r="C2668" s="20">
        <v>20.0</v>
      </c>
      <c r="D2668" s="27"/>
    </row>
    <row r="2669">
      <c r="A2669" s="26">
        <v>44743.727514363425</v>
      </c>
      <c r="B2669" s="20" t="s">
        <v>193</v>
      </c>
      <c r="C2669" s="20">
        <v>13.0</v>
      </c>
      <c r="D2669" s="27"/>
    </row>
    <row r="2670">
      <c r="A2670" s="26">
        <v>44743.730831469904</v>
      </c>
      <c r="B2670" s="20" t="s">
        <v>193</v>
      </c>
      <c r="C2670" s="20">
        <v>25.0</v>
      </c>
      <c r="D2670" s="27"/>
      <c r="E2670" s="20" t="s">
        <v>1744</v>
      </c>
    </row>
    <row r="2671">
      <c r="A2671" s="26">
        <v>44743.73233266204</v>
      </c>
      <c r="B2671" s="20" t="s">
        <v>366</v>
      </c>
      <c r="C2671" s="20">
        <v>26.0</v>
      </c>
      <c r="D2671" s="27"/>
      <c r="E2671" s="20" t="s">
        <v>1744</v>
      </c>
    </row>
    <row r="2672">
      <c r="A2672" s="26">
        <v>44743.73264608796</v>
      </c>
      <c r="B2672" s="20" t="s">
        <v>366</v>
      </c>
      <c r="C2672" s="20">
        <v>19.0</v>
      </c>
      <c r="D2672" s="27"/>
    </row>
    <row r="2673">
      <c r="A2673" s="26">
        <v>44744.74784833333</v>
      </c>
      <c r="B2673" s="20" t="s">
        <v>1713</v>
      </c>
      <c r="C2673" s="20">
        <v>7.0</v>
      </c>
      <c r="D2673" s="27"/>
    </row>
    <row r="2674">
      <c r="A2674" s="26">
        <v>44744.75278607639</v>
      </c>
      <c r="B2674" s="20" t="s">
        <v>1667</v>
      </c>
      <c r="C2674" s="20">
        <v>18.0</v>
      </c>
      <c r="D2674" s="27"/>
    </row>
    <row r="2675">
      <c r="A2675" s="26">
        <v>44744.757923819445</v>
      </c>
      <c r="B2675" s="20" t="s">
        <v>614</v>
      </c>
      <c r="C2675" s="20">
        <v>18.0</v>
      </c>
      <c r="D2675" s="27"/>
    </row>
    <row r="2676">
      <c r="A2676" s="26">
        <v>44744.758274293985</v>
      </c>
      <c r="B2676" s="20" t="s">
        <v>614</v>
      </c>
      <c r="C2676" s="20">
        <v>3.0</v>
      </c>
      <c r="D2676" s="27"/>
    </row>
    <row r="2677">
      <c r="A2677" s="26">
        <v>44744.758275671295</v>
      </c>
      <c r="B2677" s="20" t="s">
        <v>1632</v>
      </c>
      <c r="C2677" s="20">
        <v>19.0</v>
      </c>
      <c r="D2677" s="27"/>
    </row>
    <row r="2678">
      <c r="A2678" s="26">
        <v>44744.75848037037</v>
      </c>
      <c r="B2678" s="20" t="s">
        <v>1633</v>
      </c>
      <c r="C2678" s="20">
        <v>19.0</v>
      </c>
      <c r="D2678" s="27"/>
    </row>
    <row r="2679">
      <c r="A2679" s="26">
        <v>44744.77594730324</v>
      </c>
      <c r="B2679" s="20" t="s">
        <v>384</v>
      </c>
      <c r="C2679" s="20">
        <v>20.0</v>
      </c>
      <c r="D2679" s="27"/>
    </row>
    <row r="2680">
      <c r="A2680" s="26">
        <v>44744.77617210648</v>
      </c>
      <c r="B2680" s="20" t="s">
        <v>1817</v>
      </c>
      <c r="C2680" s="20">
        <v>4.0</v>
      </c>
      <c r="D2680" s="27"/>
    </row>
    <row r="2681">
      <c r="A2681" s="28">
        <v>44745.0</v>
      </c>
      <c r="B2681" s="20" t="s">
        <v>1818</v>
      </c>
      <c r="C2681" s="20">
        <v>20.0</v>
      </c>
      <c r="D2681" s="27"/>
    </row>
    <row r="2682">
      <c r="A2682" s="28">
        <v>44745.0</v>
      </c>
      <c r="B2682" s="20" t="s">
        <v>1137</v>
      </c>
      <c r="C2682" s="20">
        <v>16.0</v>
      </c>
      <c r="D2682" s="27"/>
    </row>
    <row r="2683">
      <c r="A2683" s="28">
        <v>44745.0</v>
      </c>
      <c r="B2683" s="20" t="s">
        <v>1137</v>
      </c>
      <c r="C2683" s="20">
        <v>28.0</v>
      </c>
      <c r="D2683" s="27"/>
      <c r="E2683" s="20" t="s">
        <v>1744</v>
      </c>
    </row>
    <row r="2684">
      <c r="A2684" s="26">
        <v>44745.675479502315</v>
      </c>
      <c r="B2684" s="20" t="s">
        <v>982</v>
      </c>
      <c r="C2684" s="20">
        <v>18.0</v>
      </c>
      <c r="D2684" s="27"/>
    </row>
    <row r="2685">
      <c r="A2685" s="26">
        <v>44745.67560032407</v>
      </c>
      <c r="B2685" s="20" t="s">
        <v>79</v>
      </c>
      <c r="C2685" s="20">
        <v>19.0</v>
      </c>
      <c r="D2685" s="27"/>
    </row>
    <row r="2686">
      <c r="A2686" s="26">
        <v>44745.67568759259</v>
      </c>
      <c r="B2686" s="20" t="s">
        <v>79</v>
      </c>
      <c r="C2686" s="20">
        <v>3.0</v>
      </c>
      <c r="D2686" s="27"/>
      <c r="E2686" s="20" t="s">
        <v>1744</v>
      </c>
    </row>
    <row r="2687">
      <c r="A2687" s="26">
        <v>44745.678266620365</v>
      </c>
      <c r="B2687" s="20" t="s">
        <v>528</v>
      </c>
      <c r="C2687" s="20">
        <v>20.0</v>
      </c>
      <c r="D2687" s="27"/>
    </row>
    <row r="2688">
      <c r="A2688" s="26">
        <v>44745.678487129626</v>
      </c>
      <c r="B2688" s="20" t="s">
        <v>1642</v>
      </c>
      <c r="C2688" s="20">
        <v>21.0</v>
      </c>
      <c r="D2688" s="27"/>
    </row>
    <row r="2689">
      <c r="A2689" s="26">
        <v>44745.71298553241</v>
      </c>
      <c r="B2689" s="20" t="s">
        <v>411</v>
      </c>
      <c r="C2689" s="20">
        <v>13.0</v>
      </c>
      <c r="D2689" s="27"/>
    </row>
    <row r="2690">
      <c r="A2690" s="26">
        <v>44747.71793803241</v>
      </c>
      <c r="B2690" s="20" t="s">
        <v>614</v>
      </c>
      <c r="C2690" s="20">
        <v>20.0</v>
      </c>
      <c r="D2690" s="27"/>
    </row>
    <row r="2691">
      <c r="A2691" s="26">
        <v>44747.718427534724</v>
      </c>
      <c r="B2691" s="20" t="s">
        <v>614</v>
      </c>
      <c r="C2691" s="20">
        <v>35.0</v>
      </c>
      <c r="D2691" s="27"/>
      <c r="E2691" s="20" t="s">
        <v>1744</v>
      </c>
    </row>
    <row r="2692">
      <c r="A2692" s="26">
        <v>44747.71893643518</v>
      </c>
      <c r="B2692" s="20" t="s">
        <v>1819</v>
      </c>
      <c r="C2692" s="20">
        <v>44.0</v>
      </c>
      <c r="D2692" s="27"/>
    </row>
    <row r="2693">
      <c r="A2693" s="26">
        <v>44747.71917146991</v>
      </c>
      <c r="B2693" s="20" t="s">
        <v>163</v>
      </c>
      <c r="C2693" s="20">
        <v>19.0</v>
      </c>
      <c r="D2693" s="27"/>
    </row>
    <row r="2694">
      <c r="A2694" s="28">
        <v>44747.0</v>
      </c>
      <c r="B2694" s="20" t="s">
        <v>1798</v>
      </c>
      <c r="C2694" s="20">
        <v>20.0</v>
      </c>
      <c r="D2694" s="27"/>
    </row>
    <row r="2695">
      <c r="A2695" s="28">
        <v>44747.0</v>
      </c>
      <c r="B2695" s="20" t="s">
        <v>1798</v>
      </c>
      <c r="C2695" s="20">
        <v>3.0</v>
      </c>
      <c r="D2695" s="27"/>
    </row>
    <row r="2696">
      <c r="A2696" s="28">
        <v>44747.0</v>
      </c>
      <c r="B2696" s="20" t="s">
        <v>1820</v>
      </c>
      <c r="C2696" s="20">
        <v>17.0</v>
      </c>
      <c r="D2696" s="27"/>
    </row>
    <row r="2697">
      <c r="A2697" s="28">
        <v>44747.0</v>
      </c>
      <c r="B2697" s="20" t="s">
        <v>1820</v>
      </c>
      <c r="C2697" s="20">
        <v>3.0</v>
      </c>
      <c r="D2697" s="27"/>
      <c r="E2697" s="20" t="s">
        <v>1744</v>
      </c>
    </row>
    <row r="2698">
      <c r="A2698" s="28">
        <v>44747.0</v>
      </c>
      <c r="B2698" s="20" t="s">
        <v>1610</v>
      </c>
      <c r="C2698" s="20">
        <v>20.0</v>
      </c>
      <c r="D2698" s="27"/>
    </row>
    <row r="2699">
      <c r="A2699" s="28">
        <v>44747.0</v>
      </c>
      <c r="B2699" s="20" t="s">
        <v>1610</v>
      </c>
      <c r="C2699" s="20">
        <v>9.0</v>
      </c>
      <c r="D2699" s="27"/>
      <c r="E2699" s="20" t="s">
        <v>1744</v>
      </c>
    </row>
    <row r="2700">
      <c r="A2700" s="28">
        <v>44747.0</v>
      </c>
      <c r="B2700" s="20" t="s">
        <v>1137</v>
      </c>
      <c r="C2700" s="20">
        <v>18.0</v>
      </c>
      <c r="D2700" s="27"/>
    </row>
    <row r="2701">
      <c r="A2701" s="28">
        <v>44747.0</v>
      </c>
      <c r="B2701" s="20" t="s">
        <v>1137</v>
      </c>
      <c r="C2701" s="20">
        <v>60.0</v>
      </c>
      <c r="D2701" s="27"/>
      <c r="E2701" s="20" t="s">
        <v>1744</v>
      </c>
    </row>
    <row r="2702">
      <c r="A2702" s="28">
        <v>44748.0</v>
      </c>
      <c r="B2702" s="20" t="s">
        <v>1610</v>
      </c>
      <c r="C2702" s="20">
        <v>18.0</v>
      </c>
      <c r="D2702" s="27"/>
    </row>
    <row r="2703">
      <c r="A2703" s="28">
        <v>44748.0</v>
      </c>
      <c r="B2703" s="20" t="s">
        <v>821</v>
      </c>
      <c r="C2703" s="20">
        <v>17.0</v>
      </c>
      <c r="D2703" s="27"/>
    </row>
    <row r="2704">
      <c r="A2704" s="28">
        <v>44748.0</v>
      </c>
      <c r="B2704" s="20" t="s">
        <v>821</v>
      </c>
      <c r="C2704" s="20">
        <v>1.0</v>
      </c>
      <c r="D2704" s="27"/>
      <c r="E2704" s="20" t="s">
        <v>1744</v>
      </c>
    </row>
    <row r="2705">
      <c r="A2705" s="28">
        <v>44748.0</v>
      </c>
      <c r="B2705" s="20" t="s">
        <v>842</v>
      </c>
      <c r="C2705" s="20">
        <v>20.0</v>
      </c>
      <c r="D2705" s="27"/>
    </row>
    <row r="2706">
      <c r="A2706" s="28">
        <v>44748.0</v>
      </c>
      <c r="B2706" s="20" t="s">
        <v>1821</v>
      </c>
      <c r="C2706" s="20">
        <v>20.0</v>
      </c>
      <c r="D2706" s="27"/>
    </row>
    <row r="2707">
      <c r="A2707" s="26">
        <v>44748.63537106481</v>
      </c>
      <c r="B2707" s="20" t="s">
        <v>1822</v>
      </c>
      <c r="C2707" s="20">
        <v>21.0</v>
      </c>
      <c r="D2707" s="27"/>
    </row>
    <row r="2708">
      <c r="A2708" s="26">
        <v>44748.63576567129</v>
      </c>
      <c r="B2708" s="20" t="s">
        <v>1823</v>
      </c>
      <c r="C2708" s="20">
        <v>7.0</v>
      </c>
      <c r="D2708" s="27"/>
    </row>
    <row r="2709">
      <c r="A2709" s="26">
        <v>44748.715905254634</v>
      </c>
      <c r="B2709" s="20" t="s">
        <v>1760</v>
      </c>
      <c r="C2709" s="20">
        <v>20.0</v>
      </c>
      <c r="D2709" s="27"/>
    </row>
    <row r="2710">
      <c r="A2710" s="26">
        <v>44748.73404167824</v>
      </c>
      <c r="B2710" s="20" t="s">
        <v>370</v>
      </c>
      <c r="C2710" s="20">
        <v>5.0</v>
      </c>
      <c r="D2710" s="27"/>
    </row>
    <row r="2711">
      <c r="A2711" s="26">
        <v>44748.734478171296</v>
      </c>
      <c r="B2711" s="20" t="s">
        <v>366</v>
      </c>
      <c r="C2711" s="20">
        <v>71.0</v>
      </c>
      <c r="D2711" s="27"/>
      <c r="E2711" s="20" t="s">
        <v>1744</v>
      </c>
    </row>
    <row r="2712">
      <c r="A2712" s="26">
        <v>44748.73886201389</v>
      </c>
      <c r="B2712" s="20" t="s">
        <v>177</v>
      </c>
      <c r="C2712" s="20">
        <v>16.0</v>
      </c>
      <c r="D2712" s="27"/>
    </row>
    <row r="2713">
      <c r="A2713" s="26">
        <v>44748.739122847226</v>
      </c>
      <c r="B2713" s="20" t="s">
        <v>1824</v>
      </c>
      <c r="C2713" s="20">
        <v>63.0</v>
      </c>
      <c r="D2713" s="27"/>
    </row>
    <row r="2714">
      <c r="A2714" s="26">
        <v>44748.7393928588</v>
      </c>
      <c r="B2714" s="20" t="s">
        <v>1825</v>
      </c>
      <c r="C2714" s="20">
        <v>11.0</v>
      </c>
      <c r="D2714" s="27"/>
    </row>
    <row r="2715">
      <c r="A2715" s="26">
        <v>44748.86949146991</v>
      </c>
      <c r="B2715" s="20" t="s">
        <v>1551</v>
      </c>
      <c r="C2715" s="20">
        <v>12.0</v>
      </c>
      <c r="D2715" s="27"/>
    </row>
    <row r="2716">
      <c r="A2716" s="28">
        <v>44748.0</v>
      </c>
      <c r="B2716" s="20" t="s">
        <v>786</v>
      </c>
      <c r="C2716" s="20">
        <v>8.0</v>
      </c>
      <c r="D2716" s="27"/>
      <c r="E2716" s="20" t="s">
        <v>1744</v>
      </c>
    </row>
    <row r="2717">
      <c r="A2717" s="26">
        <v>44748.87680327546</v>
      </c>
      <c r="B2717" s="20" t="s">
        <v>786</v>
      </c>
      <c r="C2717" s="20">
        <v>10.0</v>
      </c>
      <c r="D2717" s="27"/>
    </row>
    <row r="2718">
      <c r="A2718" s="26">
        <v>44748.87687211805</v>
      </c>
      <c r="B2718" s="20" t="s">
        <v>1713</v>
      </c>
      <c r="C2718" s="20">
        <v>9.0</v>
      </c>
      <c r="D2718" s="27"/>
    </row>
    <row r="2719">
      <c r="A2719" s="26">
        <v>44748.8769196875</v>
      </c>
      <c r="B2719" s="20" t="s">
        <v>1826</v>
      </c>
      <c r="C2719" s="20">
        <v>8.0</v>
      </c>
      <c r="D2719" s="27"/>
    </row>
    <row r="2720">
      <c r="A2720" s="26">
        <v>44748.88214431713</v>
      </c>
      <c r="B2720" s="20" t="s">
        <v>1803</v>
      </c>
      <c r="C2720" s="20">
        <v>20.0</v>
      </c>
      <c r="D2720" s="27"/>
    </row>
    <row r="2721">
      <c r="A2721" s="26">
        <v>44748.88251159722</v>
      </c>
      <c r="B2721" s="20" t="s">
        <v>1803</v>
      </c>
      <c r="C2721" s="20">
        <v>20.0</v>
      </c>
      <c r="D2721" s="27"/>
      <c r="E2721" s="20" t="s">
        <v>1744</v>
      </c>
    </row>
    <row r="2722">
      <c r="A2722" s="26">
        <v>44748.896399247686</v>
      </c>
      <c r="B2722" s="20" t="s">
        <v>1827</v>
      </c>
      <c r="C2722" s="20">
        <v>24.0</v>
      </c>
      <c r="D2722" s="27"/>
    </row>
    <row r="2723">
      <c r="A2723" s="26">
        <v>44748.896579594904</v>
      </c>
      <c r="B2723" s="20" t="s">
        <v>1828</v>
      </c>
      <c r="C2723" s="20">
        <v>34.0</v>
      </c>
      <c r="D2723" s="27"/>
    </row>
    <row r="2724">
      <c r="A2724" s="28">
        <v>44749.0</v>
      </c>
      <c r="B2724" s="20" t="s">
        <v>1241</v>
      </c>
      <c r="C2724" s="20">
        <v>20.0</v>
      </c>
      <c r="D2724" s="27"/>
    </row>
    <row r="2725">
      <c r="A2725" s="28">
        <v>44749.0</v>
      </c>
      <c r="B2725" s="20" t="s">
        <v>1001</v>
      </c>
      <c r="C2725" s="20">
        <v>21.0</v>
      </c>
      <c r="D2725" s="27"/>
    </row>
    <row r="2726">
      <c r="A2726" s="28">
        <v>44749.0</v>
      </c>
      <c r="B2726" s="20" t="s">
        <v>1001</v>
      </c>
      <c r="C2726" s="20">
        <v>51.0</v>
      </c>
      <c r="D2726" s="27"/>
      <c r="E2726" s="20" t="s">
        <v>1744</v>
      </c>
    </row>
    <row r="2727">
      <c r="A2727" s="28">
        <v>44749.0</v>
      </c>
      <c r="B2727" s="20" t="s">
        <v>1137</v>
      </c>
      <c r="C2727" s="20">
        <v>20.0</v>
      </c>
      <c r="D2727" s="27"/>
    </row>
    <row r="2728">
      <c r="A2728" s="28">
        <v>44749.0</v>
      </c>
      <c r="B2728" s="20" t="s">
        <v>1137</v>
      </c>
      <c r="C2728" s="20">
        <v>24.0</v>
      </c>
      <c r="D2728" s="27"/>
      <c r="E2728" s="20" t="s">
        <v>1744</v>
      </c>
    </row>
    <row r="2729">
      <c r="A2729" s="28">
        <v>44749.0</v>
      </c>
      <c r="B2729" s="20" t="s">
        <v>1829</v>
      </c>
      <c r="C2729" s="20">
        <v>17.0</v>
      </c>
      <c r="D2729" s="27"/>
    </row>
    <row r="2730">
      <c r="A2730" s="28">
        <v>44749.0</v>
      </c>
      <c r="B2730" s="20" t="s">
        <v>1829</v>
      </c>
      <c r="C2730" s="20">
        <v>12.0</v>
      </c>
      <c r="D2730" s="27"/>
      <c r="E2730" s="20" t="s">
        <v>1744</v>
      </c>
    </row>
    <row r="2731">
      <c r="A2731" s="26">
        <v>44749.7026040625</v>
      </c>
      <c r="B2731" s="20" t="s">
        <v>326</v>
      </c>
      <c r="C2731" s="20">
        <v>16.0</v>
      </c>
      <c r="D2731" s="27"/>
      <c r="E2731" s="20" t="s">
        <v>1830</v>
      </c>
    </row>
    <row r="2732">
      <c r="A2732" s="26">
        <v>44749.703682719904</v>
      </c>
      <c r="B2732" s="20" t="s">
        <v>163</v>
      </c>
      <c r="C2732" s="20">
        <v>33.0</v>
      </c>
      <c r="D2732" s="27"/>
    </row>
    <row r="2733">
      <c r="A2733" s="26">
        <v>44749.703923865745</v>
      </c>
      <c r="B2733" s="20" t="s">
        <v>1831</v>
      </c>
      <c r="C2733" s="20">
        <v>4.0</v>
      </c>
      <c r="D2733" s="27"/>
    </row>
    <row r="2734">
      <c r="A2734" s="26">
        <v>44749.70995559028</v>
      </c>
      <c r="B2734" s="20" t="s">
        <v>1076</v>
      </c>
      <c r="C2734" s="20">
        <v>47.0</v>
      </c>
      <c r="D2734" s="27"/>
    </row>
    <row r="2735">
      <c r="A2735" s="26">
        <v>44749.7101233912</v>
      </c>
      <c r="B2735" s="20" t="s">
        <v>831</v>
      </c>
      <c r="C2735" s="20">
        <v>20.0</v>
      </c>
      <c r="D2735" s="27"/>
    </row>
    <row r="2736">
      <c r="A2736" s="26">
        <v>44749.712018645834</v>
      </c>
      <c r="B2736" s="20" t="s">
        <v>1076</v>
      </c>
      <c r="C2736" s="20">
        <v>26.0</v>
      </c>
      <c r="D2736" s="27"/>
    </row>
    <row r="2737">
      <c r="A2737" s="26">
        <v>44749.714853171296</v>
      </c>
      <c r="B2737" s="20" t="s">
        <v>1832</v>
      </c>
      <c r="C2737" s="20">
        <v>7.0</v>
      </c>
      <c r="D2737" s="27"/>
    </row>
    <row r="2738">
      <c r="A2738" s="26">
        <v>44749.86108275463</v>
      </c>
      <c r="B2738" s="20" t="s">
        <v>820</v>
      </c>
      <c r="C2738" s="20">
        <v>9.0</v>
      </c>
      <c r="D2738" s="27"/>
    </row>
    <row r="2739">
      <c r="A2739" s="28">
        <v>44750.0</v>
      </c>
      <c r="B2739" s="20" t="s">
        <v>1786</v>
      </c>
      <c r="C2739" s="20">
        <v>18.0</v>
      </c>
      <c r="D2739" s="27"/>
    </row>
    <row r="2740">
      <c r="A2740" s="28">
        <v>44750.0</v>
      </c>
      <c r="B2740" s="20" t="s">
        <v>1786</v>
      </c>
      <c r="C2740" s="20">
        <v>8.0</v>
      </c>
      <c r="D2740" s="27"/>
      <c r="E2740" s="20" t="s">
        <v>1744</v>
      </c>
    </row>
    <row r="2741">
      <c r="A2741" s="26">
        <v>44750.70194881945</v>
      </c>
      <c r="B2741" s="20" t="s">
        <v>193</v>
      </c>
      <c r="C2741" s="20">
        <v>22.0</v>
      </c>
      <c r="D2741" s="27"/>
    </row>
    <row r="2742">
      <c r="A2742" s="28">
        <v>44750.0</v>
      </c>
      <c r="B2742" s="20" t="s">
        <v>193</v>
      </c>
      <c r="C2742" s="20">
        <v>17.0</v>
      </c>
      <c r="D2742" s="27"/>
      <c r="E2742" s="20" t="s">
        <v>1744</v>
      </c>
    </row>
    <row r="2743">
      <c r="A2743" s="26">
        <v>44750.707558298614</v>
      </c>
      <c r="B2743" s="20" t="s">
        <v>233</v>
      </c>
      <c r="C2743" s="20">
        <v>6.0</v>
      </c>
      <c r="D2743" s="27"/>
    </row>
    <row r="2744">
      <c r="A2744" s="26">
        <v>44750.70858116898</v>
      </c>
      <c r="B2744" s="20" t="s">
        <v>344</v>
      </c>
      <c r="C2744" s="20">
        <v>19.0</v>
      </c>
      <c r="D2744" s="27"/>
    </row>
    <row r="2745">
      <c r="A2745" s="26">
        <v>44750.708762951384</v>
      </c>
      <c r="B2745" s="20" t="s">
        <v>344</v>
      </c>
      <c r="C2745" s="20">
        <v>20.0</v>
      </c>
      <c r="D2745" s="27"/>
      <c r="E2745" s="20" t="s">
        <v>1744</v>
      </c>
    </row>
    <row r="2746">
      <c r="A2746" s="28">
        <v>44751.0</v>
      </c>
      <c r="B2746" s="20" t="s">
        <v>1833</v>
      </c>
      <c r="C2746" s="20">
        <v>8.0</v>
      </c>
      <c r="D2746" s="27"/>
    </row>
    <row r="2747">
      <c r="A2747" s="28">
        <v>44751.0</v>
      </c>
      <c r="B2747" s="20" t="s">
        <v>1074</v>
      </c>
      <c r="C2747" s="20">
        <v>18.0</v>
      </c>
      <c r="D2747" s="27"/>
    </row>
    <row r="2748">
      <c r="A2748" s="28">
        <v>44751.0</v>
      </c>
      <c r="B2748" s="20" t="s">
        <v>1834</v>
      </c>
      <c r="C2748" s="20">
        <v>20.0</v>
      </c>
      <c r="D2748" s="27"/>
    </row>
    <row r="2749">
      <c r="A2749" s="28">
        <v>44751.0</v>
      </c>
      <c r="B2749" s="20" t="s">
        <v>1834</v>
      </c>
      <c r="C2749" s="20">
        <v>11.0</v>
      </c>
      <c r="D2749" s="27"/>
      <c r="E2749" s="20" t="s">
        <v>1744</v>
      </c>
    </row>
    <row r="2750">
      <c r="A2750" s="28">
        <v>44751.0</v>
      </c>
      <c r="B2750" s="20" t="s">
        <v>1835</v>
      </c>
      <c r="C2750" s="20">
        <v>20.0</v>
      </c>
      <c r="D2750" s="27"/>
    </row>
    <row r="2751">
      <c r="A2751" s="28">
        <v>44751.0</v>
      </c>
      <c r="B2751" s="20" t="s">
        <v>912</v>
      </c>
      <c r="C2751" s="20">
        <v>18.0</v>
      </c>
      <c r="D2751" s="27"/>
    </row>
    <row r="2752">
      <c r="A2752" s="26">
        <v>44751.76217099537</v>
      </c>
      <c r="B2752" s="20" t="s">
        <v>614</v>
      </c>
      <c r="C2752" s="20">
        <v>17.0</v>
      </c>
      <c r="D2752" s="27"/>
    </row>
    <row r="2753">
      <c r="A2753" s="26">
        <v>44751.76246200231</v>
      </c>
      <c r="B2753" s="20" t="s">
        <v>1836</v>
      </c>
      <c r="C2753" s="20">
        <v>11.0</v>
      </c>
      <c r="D2753" s="27"/>
    </row>
    <row r="2754">
      <c r="A2754" s="26">
        <v>44751.765072256945</v>
      </c>
      <c r="B2754" s="20" t="s">
        <v>862</v>
      </c>
      <c r="C2754" s="20">
        <v>23.0</v>
      </c>
      <c r="D2754" s="27"/>
    </row>
    <row r="2755">
      <c r="A2755" s="26">
        <v>44751.76789831019</v>
      </c>
      <c r="B2755" s="20" t="s">
        <v>285</v>
      </c>
      <c r="C2755" s="20">
        <v>19.0</v>
      </c>
      <c r="D2755" s="27"/>
    </row>
    <row r="2756">
      <c r="A2756" s="26">
        <v>44751.77494884259</v>
      </c>
      <c r="B2756" s="20" t="s">
        <v>284</v>
      </c>
      <c r="C2756" s="20">
        <v>2.0</v>
      </c>
      <c r="D2756" s="27"/>
      <c r="E2756" s="20" t="s">
        <v>1744</v>
      </c>
    </row>
    <row r="2757">
      <c r="A2757" s="26">
        <v>44751.79020701389</v>
      </c>
      <c r="B2757" s="20" t="s">
        <v>67</v>
      </c>
      <c r="C2757" s="20">
        <v>31.0</v>
      </c>
      <c r="D2757" s="27"/>
    </row>
    <row r="2758">
      <c r="A2758" s="26">
        <v>44751.79050256945</v>
      </c>
      <c r="B2758" s="20" t="s">
        <v>637</v>
      </c>
      <c r="C2758" s="20">
        <v>20.0</v>
      </c>
      <c r="D2758" s="27"/>
    </row>
    <row r="2759">
      <c r="A2759" s="26">
        <v>44751.7908237963</v>
      </c>
      <c r="B2759" s="20" t="s">
        <v>1837</v>
      </c>
      <c r="C2759" s="20">
        <v>5.0</v>
      </c>
      <c r="D2759" s="27"/>
    </row>
    <row r="2760">
      <c r="A2760" s="26">
        <v>44751.793265092594</v>
      </c>
      <c r="B2760" s="20" t="s">
        <v>1838</v>
      </c>
      <c r="C2760" s="20">
        <v>6.0</v>
      </c>
      <c r="D2760" s="27"/>
    </row>
    <row r="2761">
      <c r="A2761" s="28">
        <v>44752.0</v>
      </c>
      <c r="B2761" s="20" t="s">
        <v>1137</v>
      </c>
      <c r="C2761" s="20">
        <v>20.0</v>
      </c>
      <c r="D2761" s="27"/>
    </row>
    <row r="2762">
      <c r="A2762" s="28">
        <v>44752.0</v>
      </c>
      <c r="B2762" s="20" t="s">
        <v>1137</v>
      </c>
      <c r="C2762" s="20">
        <v>46.0</v>
      </c>
      <c r="D2762" s="27"/>
      <c r="E2762" s="20" t="s">
        <v>1744</v>
      </c>
    </row>
    <row r="2763">
      <c r="A2763" s="28">
        <v>44752.0</v>
      </c>
      <c r="B2763" s="20" t="s">
        <v>1839</v>
      </c>
      <c r="C2763" s="20">
        <v>30.0</v>
      </c>
      <c r="D2763" s="27"/>
    </row>
    <row r="2764">
      <c r="A2764" s="28">
        <v>44752.0</v>
      </c>
      <c r="B2764" s="20" t="s">
        <v>995</v>
      </c>
      <c r="C2764" s="20">
        <v>20.0</v>
      </c>
      <c r="D2764" s="27"/>
    </row>
    <row r="2765">
      <c r="A2765" s="28">
        <v>44752.0</v>
      </c>
      <c r="B2765" s="20" t="s">
        <v>995</v>
      </c>
      <c r="C2765" s="20">
        <v>12.0</v>
      </c>
      <c r="D2765" s="27"/>
      <c r="E2765" s="20" t="s">
        <v>1744</v>
      </c>
    </row>
    <row r="2766">
      <c r="A2766" s="26">
        <v>44752.66715778935</v>
      </c>
      <c r="B2766" s="20" t="s">
        <v>1182</v>
      </c>
      <c r="C2766" s="20">
        <v>20.0</v>
      </c>
      <c r="D2766" s="27"/>
    </row>
    <row r="2767">
      <c r="A2767" s="26">
        <v>44752.67934792824</v>
      </c>
      <c r="B2767" s="20" t="s">
        <v>79</v>
      </c>
      <c r="C2767" s="20">
        <v>20.0</v>
      </c>
      <c r="D2767" s="27"/>
    </row>
    <row r="2768">
      <c r="A2768" s="26">
        <v>44752.679447222225</v>
      </c>
      <c r="B2768" s="20" t="s">
        <v>982</v>
      </c>
      <c r="C2768" s="20">
        <v>20.0</v>
      </c>
      <c r="D2768" s="27"/>
    </row>
    <row r="2769">
      <c r="A2769" s="26">
        <v>44752.71164513889</v>
      </c>
      <c r="B2769" s="20" t="s">
        <v>411</v>
      </c>
      <c r="C2769" s="20">
        <v>11.0</v>
      </c>
      <c r="D2769" s="27"/>
    </row>
    <row r="2770">
      <c r="A2770" s="26">
        <v>44752.714363101855</v>
      </c>
      <c r="B2770" s="20" t="s">
        <v>193</v>
      </c>
      <c r="C2770" s="20">
        <v>32.0</v>
      </c>
      <c r="D2770" s="27"/>
      <c r="E2770" s="20" t="s">
        <v>1744</v>
      </c>
    </row>
    <row r="2771">
      <c r="A2771" s="26">
        <v>44752.716626168985</v>
      </c>
      <c r="B2771" s="20" t="s">
        <v>193</v>
      </c>
      <c r="C2771" s="20">
        <v>26.0</v>
      </c>
      <c r="D2771" s="27"/>
    </row>
    <row r="2772">
      <c r="A2772" s="28">
        <v>44754.0</v>
      </c>
      <c r="B2772" s="20" t="s">
        <v>158</v>
      </c>
      <c r="C2772" s="20">
        <v>17.0</v>
      </c>
      <c r="D2772" s="27"/>
    </row>
    <row r="2773">
      <c r="A2773" s="28">
        <v>44754.0</v>
      </c>
      <c r="B2773" s="20" t="s">
        <v>158</v>
      </c>
      <c r="C2773" s="20">
        <v>3.0</v>
      </c>
      <c r="D2773" s="27"/>
      <c r="E2773" s="20" t="s">
        <v>1744</v>
      </c>
    </row>
    <row r="2774">
      <c r="A2774" s="28">
        <v>44754.0</v>
      </c>
      <c r="B2774" s="20" t="s">
        <v>1610</v>
      </c>
      <c r="C2774" s="20">
        <v>20.0</v>
      </c>
      <c r="D2774" s="27"/>
    </row>
    <row r="2775">
      <c r="A2775" s="28">
        <v>44754.0</v>
      </c>
      <c r="B2775" s="20" t="s">
        <v>1610</v>
      </c>
      <c r="C2775" s="20">
        <v>15.0</v>
      </c>
      <c r="D2775" s="27"/>
    </row>
    <row r="2776">
      <c r="A2776" s="28">
        <v>44754.0</v>
      </c>
      <c r="B2776" s="20" t="s">
        <v>1137</v>
      </c>
      <c r="C2776" s="20">
        <v>13.0</v>
      </c>
      <c r="D2776" s="27"/>
    </row>
    <row r="2777">
      <c r="A2777" s="28">
        <v>44754.0</v>
      </c>
      <c r="B2777" s="20" t="s">
        <v>1137</v>
      </c>
      <c r="C2777" s="20">
        <v>32.0</v>
      </c>
      <c r="D2777" s="27"/>
      <c r="E2777" s="20" t="s">
        <v>1744</v>
      </c>
    </row>
    <row r="2778">
      <c r="A2778" s="26">
        <v>44754.7169868287</v>
      </c>
      <c r="B2778" s="20" t="s">
        <v>614</v>
      </c>
      <c r="C2778" s="20">
        <v>20.0</v>
      </c>
      <c r="D2778" s="27"/>
    </row>
    <row r="2779">
      <c r="A2779" s="26">
        <v>44754.7172980787</v>
      </c>
      <c r="B2779" s="20" t="s">
        <v>614</v>
      </c>
      <c r="C2779" s="20">
        <v>8.0</v>
      </c>
      <c r="D2779" s="27"/>
      <c r="E2779" s="20" t="s">
        <v>1840</v>
      </c>
    </row>
    <row r="2780">
      <c r="A2780" s="26">
        <v>44754.71844693287</v>
      </c>
      <c r="B2780" s="20" t="s">
        <v>1819</v>
      </c>
      <c r="C2780" s="20">
        <v>26.0</v>
      </c>
      <c r="D2780" s="27"/>
    </row>
    <row r="2781">
      <c r="A2781" s="26">
        <v>44754.71867700231</v>
      </c>
      <c r="B2781" s="20" t="s">
        <v>163</v>
      </c>
      <c r="C2781" s="20">
        <v>34.0</v>
      </c>
      <c r="D2781" s="27"/>
    </row>
    <row r="2782">
      <c r="A2782" s="26">
        <v>44754.71914376157</v>
      </c>
      <c r="B2782" s="20" t="s">
        <v>528</v>
      </c>
      <c r="C2782" s="20">
        <v>20.0</v>
      </c>
      <c r="D2782" s="27"/>
    </row>
    <row r="2783">
      <c r="A2783" s="26">
        <v>44754.719341909724</v>
      </c>
      <c r="B2783" s="20" t="s">
        <v>1430</v>
      </c>
      <c r="C2783" s="20">
        <v>17.0</v>
      </c>
      <c r="D2783" s="27"/>
    </row>
    <row r="2784">
      <c r="A2784" s="34">
        <v>44755.0</v>
      </c>
      <c r="B2784" s="20" t="s">
        <v>1841</v>
      </c>
      <c r="C2784" s="20">
        <v>18.0</v>
      </c>
      <c r="D2784" s="27"/>
    </row>
    <row r="2785">
      <c r="A2785" s="34">
        <v>44755.0</v>
      </c>
      <c r="B2785" s="20" t="s">
        <v>1841</v>
      </c>
      <c r="C2785" s="20">
        <v>43.0</v>
      </c>
      <c r="D2785" s="27"/>
      <c r="E2785" s="20" t="s">
        <v>1842</v>
      </c>
    </row>
    <row r="2786">
      <c r="A2786" s="34">
        <v>44755.0</v>
      </c>
      <c r="B2786" s="20" t="s">
        <v>1137</v>
      </c>
      <c r="C2786" s="20">
        <v>21.0</v>
      </c>
      <c r="D2786" s="27"/>
    </row>
    <row r="2787">
      <c r="A2787" s="34">
        <v>44755.0</v>
      </c>
      <c r="B2787" s="20" t="s">
        <v>1137</v>
      </c>
      <c r="C2787" s="20">
        <v>44.0</v>
      </c>
      <c r="D2787" s="27"/>
      <c r="E2787" s="20" t="s">
        <v>1842</v>
      </c>
    </row>
    <row r="2788">
      <c r="A2788" s="34">
        <v>44755.0</v>
      </c>
      <c r="B2788" s="20" t="s">
        <v>1843</v>
      </c>
      <c r="C2788" s="20">
        <v>9.0</v>
      </c>
      <c r="D2788" s="27"/>
    </row>
    <row r="2789">
      <c r="A2789" s="34">
        <v>44755.0</v>
      </c>
      <c r="B2789" s="20" t="s">
        <v>1843</v>
      </c>
      <c r="C2789" s="20">
        <v>30.0</v>
      </c>
      <c r="D2789" s="27"/>
      <c r="E2789" s="20" t="s">
        <v>1842</v>
      </c>
    </row>
    <row r="2790">
      <c r="A2790" s="26">
        <v>44755.72124368056</v>
      </c>
      <c r="B2790" s="20" t="s">
        <v>406</v>
      </c>
      <c r="C2790" s="20">
        <v>14.0</v>
      </c>
      <c r="D2790" s="27"/>
    </row>
    <row r="2791">
      <c r="A2791" s="26">
        <v>44755.72157072916</v>
      </c>
      <c r="B2791" s="20" t="s">
        <v>406</v>
      </c>
      <c r="C2791" s="20">
        <v>13.0</v>
      </c>
      <c r="D2791" s="27"/>
      <c r="E2791" s="20" t="s">
        <v>1842</v>
      </c>
    </row>
    <row r="2792">
      <c r="A2792" s="26">
        <v>44755.7930166088</v>
      </c>
      <c r="B2792" s="20" t="s">
        <v>110</v>
      </c>
      <c r="C2792" s="20">
        <v>141.0</v>
      </c>
      <c r="D2792" s="27"/>
    </row>
    <row r="2793">
      <c r="A2793" s="26">
        <v>44755.86731408565</v>
      </c>
      <c r="B2793" s="20" t="s">
        <v>1551</v>
      </c>
      <c r="C2793" s="20">
        <v>15.0</v>
      </c>
      <c r="D2793" s="27"/>
    </row>
    <row r="2794">
      <c r="A2794" s="26">
        <v>44755.87010193287</v>
      </c>
      <c r="B2794" s="20" t="s">
        <v>1844</v>
      </c>
      <c r="C2794" s="20">
        <v>16.0</v>
      </c>
      <c r="D2794" s="27"/>
    </row>
    <row r="2795">
      <c r="A2795" s="26">
        <v>44755.871195949076</v>
      </c>
      <c r="B2795" s="20" t="s">
        <v>818</v>
      </c>
      <c r="C2795" s="20">
        <v>20.0</v>
      </c>
      <c r="D2795" s="27"/>
    </row>
    <row r="2796">
      <c r="A2796" s="26">
        <v>44755.87599325231</v>
      </c>
      <c r="B2796" s="20" t="s">
        <v>1374</v>
      </c>
      <c r="C2796" s="20">
        <v>22.0</v>
      </c>
      <c r="D2796" s="27"/>
    </row>
    <row r="2797">
      <c r="A2797" s="26">
        <v>44755.877936550925</v>
      </c>
      <c r="B2797" s="20" t="s">
        <v>1803</v>
      </c>
      <c r="C2797" s="20">
        <v>20.0</v>
      </c>
      <c r="D2797" s="27"/>
    </row>
    <row r="2798">
      <c r="A2798" s="26">
        <v>44755.87813556713</v>
      </c>
      <c r="B2798" s="20" t="s">
        <v>1803</v>
      </c>
      <c r="C2798" s="20">
        <v>6.0</v>
      </c>
      <c r="D2798" s="27"/>
    </row>
    <row r="2799">
      <c r="A2799" s="26">
        <v>44755.87925626157</v>
      </c>
      <c r="B2799" s="20" t="s">
        <v>760</v>
      </c>
      <c r="C2799" s="20">
        <v>20.0</v>
      </c>
      <c r="D2799" s="27"/>
    </row>
    <row r="2800">
      <c r="A2800" s="26">
        <v>44755.87938854167</v>
      </c>
      <c r="B2800" s="20" t="s">
        <v>1845</v>
      </c>
      <c r="C2800" s="20">
        <v>20.0</v>
      </c>
      <c r="D2800" s="27"/>
    </row>
    <row r="2801">
      <c r="A2801" s="28">
        <v>44756.0</v>
      </c>
      <c r="B2801" s="20" t="s">
        <v>1241</v>
      </c>
      <c r="C2801" s="20">
        <v>13.0</v>
      </c>
      <c r="D2801" s="27"/>
    </row>
    <row r="2802">
      <c r="A2802" s="28">
        <v>44756.0</v>
      </c>
      <c r="B2802" s="20" t="s">
        <v>1846</v>
      </c>
      <c r="C2802" s="20">
        <v>12.0</v>
      </c>
      <c r="D2802" s="27"/>
    </row>
    <row r="2803">
      <c r="A2803" s="28">
        <v>44756.0</v>
      </c>
      <c r="B2803" s="20" t="s">
        <v>1001</v>
      </c>
      <c r="C2803" s="20">
        <v>22.0</v>
      </c>
      <c r="D2803" s="27"/>
    </row>
    <row r="2804">
      <c r="A2804" s="28">
        <v>44756.0</v>
      </c>
      <c r="B2804" s="20" t="s">
        <v>1001</v>
      </c>
      <c r="C2804" s="20">
        <v>16.0</v>
      </c>
      <c r="D2804" s="27"/>
      <c r="E2804" s="20" t="s">
        <v>1744</v>
      </c>
    </row>
    <row r="2805">
      <c r="A2805" s="28">
        <v>44756.0</v>
      </c>
      <c r="B2805" s="20" t="s">
        <v>1847</v>
      </c>
      <c r="C2805" s="20">
        <v>20.0</v>
      </c>
      <c r="D2805" s="27"/>
    </row>
    <row r="2806">
      <c r="A2806" s="28">
        <v>44756.0</v>
      </c>
      <c r="B2806" s="20" t="s">
        <v>1847</v>
      </c>
      <c r="C2806" s="20">
        <v>19.0</v>
      </c>
      <c r="D2806" s="27"/>
      <c r="E2806" s="20" t="s">
        <v>1744</v>
      </c>
    </row>
    <row r="2807">
      <c r="A2807" s="28">
        <v>44756.0</v>
      </c>
      <c r="B2807" s="20" t="s">
        <v>631</v>
      </c>
      <c r="C2807" s="20">
        <v>19.0</v>
      </c>
      <c r="D2807" s="27"/>
    </row>
    <row r="2808">
      <c r="A2808" s="28">
        <v>44756.0</v>
      </c>
      <c r="B2808" s="20" t="s">
        <v>1794</v>
      </c>
      <c r="C2808" s="20">
        <v>20.0</v>
      </c>
      <c r="D2808" s="27"/>
    </row>
    <row r="2809">
      <c r="A2809" s="28">
        <v>44756.0</v>
      </c>
      <c r="B2809" s="20" t="s">
        <v>1794</v>
      </c>
      <c r="C2809" s="20">
        <v>2.0</v>
      </c>
      <c r="D2809" s="27"/>
      <c r="E2809" s="20" t="s">
        <v>1744</v>
      </c>
    </row>
    <row r="2810">
      <c r="A2810" s="28">
        <v>44756.0</v>
      </c>
      <c r="B2810" s="20" t="s">
        <v>1848</v>
      </c>
      <c r="C2810" s="20">
        <v>16.0</v>
      </c>
      <c r="D2810" s="27"/>
    </row>
    <row r="2811">
      <c r="A2811" s="28">
        <v>44756.0</v>
      </c>
      <c r="B2811" s="20" t="s">
        <v>167</v>
      </c>
      <c r="C2811" s="20">
        <v>20.0</v>
      </c>
      <c r="D2811" s="27"/>
    </row>
    <row r="2812">
      <c r="A2812" s="28">
        <v>44756.0</v>
      </c>
      <c r="B2812" s="20" t="s">
        <v>167</v>
      </c>
      <c r="C2812" s="20">
        <v>2.0</v>
      </c>
      <c r="D2812" s="27"/>
      <c r="E2812" s="20" t="s">
        <v>1744</v>
      </c>
    </row>
    <row r="2813">
      <c r="A2813" s="28">
        <v>44756.0</v>
      </c>
      <c r="B2813" s="20" t="s">
        <v>618</v>
      </c>
      <c r="C2813" s="20">
        <v>20.0</v>
      </c>
      <c r="D2813" s="27"/>
    </row>
    <row r="2814">
      <c r="A2814" s="28">
        <v>44756.0</v>
      </c>
      <c r="B2814" s="20" t="s">
        <v>1829</v>
      </c>
      <c r="C2814" s="20">
        <v>18.0</v>
      </c>
      <c r="D2814" s="27"/>
    </row>
    <row r="2815">
      <c r="A2815" s="28">
        <v>44756.0</v>
      </c>
      <c r="B2815" s="20" t="s">
        <v>1829</v>
      </c>
      <c r="C2815" s="20">
        <v>11.0</v>
      </c>
      <c r="D2815" s="27"/>
      <c r="E2815" s="20" t="s">
        <v>1744</v>
      </c>
    </row>
    <row r="2816">
      <c r="A2816" s="26">
        <v>44756.712213923616</v>
      </c>
      <c r="B2816" s="20" t="s">
        <v>1844</v>
      </c>
      <c r="C2816" s="20">
        <v>16.0</v>
      </c>
      <c r="D2816" s="27"/>
    </row>
    <row r="2817">
      <c r="A2817" s="26">
        <v>44756.71408681713</v>
      </c>
      <c r="B2817" s="20" t="s">
        <v>326</v>
      </c>
      <c r="C2817" s="20">
        <v>9.0</v>
      </c>
      <c r="D2817" s="27"/>
    </row>
    <row r="2818">
      <c r="A2818" s="26">
        <v>44756.72106111111</v>
      </c>
      <c r="B2818" s="20" t="s">
        <v>163</v>
      </c>
      <c r="C2818" s="20">
        <v>20.0</v>
      </c>
      <c r="D2818" s="27"/>
    </row>
    <row r="2819">
      <c r="A2819" s="26">
        <v>44756.721214467594</v>
      </c>
      <c r="B2819" s="20" t="s">
        <v>163</v>
      </c>
      <c r="C2819" s="20">
        <v>5.0</v>
      </c>
      <c r="D2819" s="27"/>
      <c r="E2819" s="20" t="s">
        <v>1744</v>
      </c>
    </row>
    <row r="2820">
      <c r="A2820" s="26">
        <v>44756.867435486114</v>
      </c>
      <c r="B2820" s="20" t="s">
        <v>437</v>
      </c>
      <c r="C2820" s="20">
        <v>20.0</v>
      </c>
      <c r="D2820" s="27"/>
    </row>
    <row r="2821">
      <c r="A2821" s="26">
        <v>44756.87330756945</v>
      </c>
      <c r="B2821" s="20" t="s">
        <v>1827</v>
      </c>
      <c r="C2821" s="20">
        <v>25.0</v>
      </c>
      <c r="D2821" s="27"/>
    </row>
    <row r="2822">
      <c r="A2822" s="26">
        <v>44756.873606134264</v>
      </c>
      <c r="B2822" s="20" t="s">
        <v>1849</v>
      </c>
      <c r="C2822" s="20">
        <v>35.0</v>
      </c>
      <c r="D2822" s="27"/>
    </row>
    <row r="2823">
      <c r="A2823" s="26">
        <v>44757.70635310185</v>
      </c>
      <c r="B2823" s="20" t="s">
        <v>233</v>
      </c>
      <c r="C2823" s="20">
        <v>13.0</v>
      </c>
      <c r="D2823" s="27"/>
    </row>
    <row r="2824">
      <c r="A2824" s="26">
        <v>44757.716307002316</v>
      </c>
      <c r="B2824" s="20" t="s">
        <v>366</v>
      </c>
      <c r="C2824" s="20">
        <v>7.0</v>
      </c>
      <c r="D2824" s="27"/>
    </row>
    <row r="2825">
      <c r="A2825" s="26">
        <v>44757.7171743287</v>
      </c>
      <c r="B2825" s="20" t="s">
        <v>366</v>
      </c>
      <c r="C2825" s="20">
        <v>6.0</v>
      </c>
      <c r="D2825" s="27"/>
      <c r="E2825" s="20" t="s">
        <v>1744</v>
      </c>
    </row>
    <row r="2826">
      <c r="A2826" s="26">
        <v>44757.71916350695</v>
      </c>
      <c r="B2826" s="20" t="s">
        <v>344</v>
      </c>
      <c r="C2826" s="20">
        <v>13.0</v>
      </c>
      <c r="D2826" s="27"/>
    </row>
    <row r="2827">
      <c r="A2827" s="26">
        <v>44757.719411921295</v>
      </c>
      <c r="B2827" s="20" t="s">
        <v>344</v>
      </c>
      <c r="C2827" s="20">
        <v>18.0</v>
      </c>
      <c r="D2827" s="27"/>
      <c r="E2827" s="20" t="s">
        <v>1744</v>
      </c>
    </row>
    <row r="2828">
      <c r="A2828" s="28">
        <v>44757.0</v>
      </c>
      <c r="B2828" s="20" t="s">
        <v>1350</v>
      </c>
      <c r="C2828" s="20">
        <v>13.0</v>
      </c>
      <c r="D2828" s="27"/>
      <c r="E2828" s="20" t="s">
        <v>1840</v>
      </c>
    </row>
    <row r="2829">
      <c r="A2829" s="26">
        <v>44757.72251233796</v>
      </c>
      <c r="B2829" s="20" t="s">
        <v>1350</v>
      </c>
      <c r="C2829" s="20">
        <v>20.0</v>
      </c>
      <c r="D2829" s="27"/>
    </row>
    <row r="2830">
      <c r="A2830" s="28">
        <v>44758.0</v>
      </c>
      <c r="B2830" s="20" t="s">
        <v>1835</v>
      </c>
      <c r="C2830" s="20">
        <v>20.0</v>
      </c>
      <c r="D2830" s="27"/>
    </row>
    <row r="2831">
      <c r="A2831" s="28">
        <v>44758.0</v>
      </c>
      <c r="B2831" s="20" t="s">
        <v>1241</v>
      </c>
      <c r="C2831" s="20">
        <v>9.0</v>
      </c>
      <c r="D2831" s="27"/>
    </row>
    <row r="2832">
      <c r="A2832" s="26">
        <v>44758.7663775</v>
      </c>
      <c r="B2832" s="20" t="s">
        <v>91</v>
      </c>
      <c r="C2832" s="20">
        <v>12.0</v>
      </c>
      <c r="D2832" s="27"/>
    </row>
    <row r="2833">
      <c r="A2833" s="26">
        <v>44758.76650849537</v>
      </c>
      <c r="B2833" s="20" t="s">
        <v>1806</v>
      </c>
      <c r="C2833" s="20">
        <v>20.0</v>
      </c>
      <c r="D2833" s="27"/>
    </row>
    <row r="2834">
      <c r="A2834" s="26">
        <v>44758.76718703704</v>
      </c>
      <c r="B2834" s="20" t="s">
        <v>614</v>
      </c>
      <c r="C2834" s="20">
        <v>5.0</v>
      </c>
      <c r="D2834" s="27"/>
    </row>
    <row r="2835">
      <c r="A2835" s="26">
        <v>44758.769026064816</v>
      </c>
      <c r="B2835" s="20" t="s">
        <v>1850</v>
      </c>
      <c r="C2835" s="20">
        <v>13.0</v>
      </c>
      <c r="D2835" s="27"/>
    </row>
    <row r="2836">
      <c r="A2836" s="26">
        <v>44758.76960505787</v>
      </c>
      <c r="B2836" s="20" t="s">
        <v>1851</v>
      </c>
      <c r="C2836" s="20">
        <v>20.0</v>
      </c>
      <c r="D2836" s="27"/>
    </row>
    <row r="2837">
      <c r="A2837" s="26">
        <v>44758.76985482639</v>
      </c>
      <c r="B2837" s="20" t="s">
        <v>1852</v>
      </c>
      <c r="C2837" s="20">
        <v>20.0</v>
      </c>
      <c r="D2837" s="27"/>
    </row>
    <row r="2838">
      <c r="A2838" s="26">
        <v>44758.77040474537</v>
      </c>
      <c r="B2838" s="20" t="s">
        <v>1633</v>
      </c>
      <c r="C2838" s="20">
        <v>14.0</v>
      </c>
      <c r="D2838" s="27"/>
    </row>
    <row r="2839">
      <c r="A2839" s="26">
        <v>44758.77451934028</v>
      </c>
      <c r="B2839" s="20" t="s">
        <v>1853</v>
      </c>
      <c r="C2839" s="20">
        <v>19.0</v>
      </c>
      <c r="D2839" s="27"/>
    </row>
    <row r="2840">
      <c r="A2840" s="26">
        <v>44758.77467615741</v>
      </c>
      <c r="B2840" s="20" t="s">
        <v>285</v>
      </c>
      <c r="C2840" s="20">
        <v>5.0</v>
      </c>
      <c r="D2840" s="27"/>
    </row>
    <row r="2841">
      <c r="A2841" s="26">
        <v>44758.77608844907</v>
      </c>
      <c r="B2841" s="20" t="s">
        <v>406</v>
      </c>
      <c r="C2841" s="20">
        <v>1.0</v>
      </c>
      <c r="D2841" s="27"/>
      <c r="E2841" s="20" t="s">
        <v>1744</v>
      </c>
    </row>
    <row r="2842">
      <c r="A2842" s="26">
        <v>44758.78933196759</v>
      </c>
      <c r="B2842" s="20" t="s">
        <v>637</v>
      </c>
      <c r="C2842" s="20">
        <v>14.0</v>
      </c>
      <c r="D2842" s="27"/>
    </row>
    <row r="2843">
      <c r="A2843" s="26">
        <v>44758.78959684027</v>
      </c>
      <c r="B2843" s="20" t="s">
        <v>1772</v>
      </c>
      <c r="C2843" s="20">
        <v>2.0</v>
      </c>
      <c r="D2843" s="27"/>
    </row>
    <row r="2844">
      <c r="A2844" s="28">
        <v>44759.0</v>
      </c>
      <c r="B2844" s="20" t="s">
        <v>1854</v>
      </c>
      <c r="C2844" s="20">
        <v>20.0</v>
      </c>
      <c r="D2844" s="27"/>
    </row>
    <row r="2845">
      <c r="A2845" s="28">
        <v>44759.0</v>
      </c>
      <c r="B2845" s="20" t="s">
        <v>1854</v>
      </c>
      <c r="C2845" s="20">
        <v>7.0</v>
      </c>
      <c r="D2845" s="27"/>
      <c r="E2845" s="20" t="s">
        <v>1744</v>
      </c>
    </row>
    <row r="2846">
      <c r="A2846" s="28">
        <v>44759.0</v>
      </c>
      <c r="B2846" s="20" t="s">
        <v>1137</v>
      </c>
      <c r="C2846" s="20">
        <v>20.0</v>
      </c>
      <c r="D2846" s="27"/>
    </row>
    <row r="2847">
      <c r="A2847" s="28">
        <v>44759.0</v>
      </c>
      <c r="B2847" s="20" t="s">
        <v>1137</v>
      </c>
      <c r="C2847" s="20">
        <v>22.0</v>
      </c>
      <c r="D2847" s="27"/>
      <c r="E2847" s="20" t="s">
        <v>1744</v>
      </c>
    </row>
    <row r="2848">
      <c r="A2848" s="28">
        <v>44759.0</v>
      </c>
      <c r="B2848" s="20" t="s">
        <v>1818</v>
      </c>
      <c r="C2848" s="20">
        <v>20.0</v>
      </c>
      <c r="D2848" s="27"/>
    </row>
    <row r="2849">
      <c r="A2849" s="28">
        <v>44759.0</v>
      </c>
      <c r="B2849" s="20" t="s">
        <v>631</v>
      </c>
      <c r="C2849" s="20">
        <v>17.0</v>
      </c>
      <c r="D2849" s="27"/>
    </row>
    <row r="2850">
      <c r="A2850" s="26">
        <v>44759.66998607639</v>
      </c>
      <c r="B2850" s="20" t="s">
        <v>528</v>
      </c>
      <c r="C2850" s="20">
        <v>20.0</v>
      </c>
      <c r="D2850" s="27"/>
    </row>
    <row r="2851">
      <c r="A2851" s="26">
        <v>44759.67034063657</v>
      </c>
      <c r="B2851" s="20" t="s">
        <v>1642</v>
      </c>
      <c r="C2851" s="20">
        <v>4.0</v>
      </c>
      <c r="D2851" s="27"/>
    </row>
    <row r="2852">
      <c r="A2852" s="26">
        <v>44759.67503989583</v>
      </c>
      <c r="B2852" s="20" t="s">
        <v>144</v>
      </c>
      <c r="C2852" s="20">
        <v>20.0</v>
      </c>
      <c r="D2852" s="27"/>
    </row>
    <row r="2853">
      <c r="A2853" s="26">
        <v>44759.6810091088</v>
      </c>
      <c r="B2853" s="20" t="s">
        <v>1827</v>
      </c>
      <c r="C2853" s="20">
        <v>20.0</v>
      </c>
      <c r="D2853" s="27"/>
    </row>
    <row r="2854">
      <c r="A2854" s="26">
        <v>44759.68115653935</v>
      </c>
      <c r="B2854" s="20" t="s">
        <v>1855</v>
      </c>
      <c r="C2854" s="20">
        <v>38.0</v>
      </c>
      <c r="D2854" s="27"/>
    </row>
    <row r="2855">
      <c r="A2855" s="26">
        <v>44759.718689814814</v>
      </c>
      <c r="B2855" s="20" t="s">
        <v>411</v>
      </c>
      <c r="C2855" s="20">
        <v>11.0</v>
      </c>
      <c r="D2855" s="27"/>
    </row>
    <row r="2856">
      <c r="A2856" s="28">
        <v>44761.0</v>
      </c>
      <c r="B2856" s="20" t="s">
        <v>1786</v>
      </c>
      <c r="C2856" s="20">
        <v>13.0</v>
      </c>
      <c r="D2856" s="27"/>
    </row>
    <row r="2857">
      <c r="A2857" s="28">
        <v>44761.0</v>
      </c>
      <c r="B2857" s="20" t="s">
        <v>1786</v>
      </c>
      <c r="C2857" s="20">
        <v>12.0</v>
      </c>
      <c r="D2857" s="27"/>
      <c r="E2857" s="20" t="s">
        <v>1744</v>
      </c>
    </row>
    <row r="2858">
      <c r="A2858" s="28">
        <v>44761.0</v>
      </c>
      <c r="B2858" s="20" t="s">
        <v>1610</v>
      </c>
      <c r="C2858" s="20">
        <v>19.0</v>
      </c>
      <c r="D2858" s="27"/>
    </row>
    <row r="2859">
      <c r="A2859" s="28">
        <v>44761.0</v>
      </c>
      <c r="B2859" s="20" t="s">
        <v>1610</v>
      </c>
      <c r="C2859" s="20">
        <v>7.0</v>
      </c>
      <c r="D2859" s="27"/>
      <c r="E2859" s="20" t="s">
        <v>1744</v>
      </c>
    </row>
    <row r="2860">
      <c r="A2860" s="26">
        <v>44761.71035637731</v>
      </c>
      <c r="B2860" s="20" t="s">
        <v>1856</v>
      </c>
      <c r="C2860" s="20">
        <v>19.0</v>
      </c>
      <c r="D2860" s="27"/>
    </row>
    <row r="2861">
      <c r="A2861" s="28">
        <v>44761.0</v>
      </c>
      <c r="B2861" s="20" t="s">
        <v>1856</v>
      </c>
      <c r="C2861" s="20">
        <v>14.0</v>
      </c>
      <c r="D2861" s="27"/>
      <c r="E2861" s="20" t="s">
        <v>1744</v>
      </c>
    </row>
    <row r="2862">
      <c r="A2862" s="28">
        <v>44761.0</v>
      </c>
      <c r="B2862" s="20" t="s">
        <v>1798</v>
      </c>
      <c r="C2862" s="20">
        <v>19.0</v>
      </c>
      <c r="D2862" s="27"/>
    </row>
    <row r="2863">
      <c r="A2863" s="28">
        <v>44761.0</v>
      </c>
      <c r="B2863" s="20" t="s">
        <v>1798</v>
      </c>
      <c r="C2863" s="20">
        <v>12.0</v>
      </c>
      <c r="D2863" s="27"/>
      <c r="E2863" s="20" t="s">
        <v>1744</v>
      </c>
    </row>
    <row r="2864">
      <c r="A2864" s="26">
        <v>44761.7120015625</v>
      </c>
      <c r="B2864" s="20" t="s">
        <v>1857</v>
      </c>
      <c r="C2864" s="20">
        <v>16.0</v>
      </c>
      <c r="D2864" s="27"/>
    </row>
    <row r="2865">
      <c r="A2865" s="28">
        <v>44761.0</v>
      </c>
      <c r="B2865" s="20" t="s">
        <v>1857</v>
      </c>
      <c r="C2865" s="20">
        <v>1.0</v>
      </c>
      <c r="D2865" s="27"/>
      <c r="E2865" s="20" t="s">
        <v>1744</v>
      </c>
    </row>
    <row r="2866">
      <c r="A2866" s="28">
        <v>44761.0</v>
      </c>
      <c r="B2866" s="20" t="s">
        <v>1841</v>
      </c>
      <c r="C2866" s="20">
        <v>18.0</v>
      </c>
      <c r="D2866" s="27"/>
    </row>
    <row r="2867">
      <c r="A2867" s="28">
        <v>44761.0</v>
      </c>
      <c r="B2867" s="20" t="s">
        <v>1841</v>
      </c>
      <c r="C2867" s="20">
        <v>20.0</v>
      </c>
      <c r="D2867" s="27"/>
      <c r="E2867" s="20" t="s">
        <v>1744</v>
      </c>
    </row>
    <row r="2868">
      <c r="A2868" s="26">
        <v>44761.71359668981</v>
      </c>
      <c r="B2868" s="20" t="s">
        <v>614</v>
      </c>
      <c r="C2868" s="20">
        <v>20.0</v>
      </c>
      <c r="D2868" s="27"/>
    </row>
    <row r="2869">
      <c r="A2869" s="26">
        <v>44761.71392055556</v>
      </c>
      <c r="B2869" s="20" t="s">
        <v>614</v>
      </c>
      <c r="C2869" s="20">
        <v>12.0</v>
      </c>
      <c r="D2869" s="27"/>
      <c r="E2869" s="20" t="s">
        <v>1744</v>
      </c>
    </row>
    <row r="2870">
      <c r="A2870" s="26">
        <v>44761.84984225694</v>
      </c>
      <c r="B2870" s="20" t="s">
        <v>1858</v>
      </c>
      <c r="C2870" s="20">
        <v>19.0</v>
      </c>
      <c r="D2870" s="27"/>
    </row>
    <row r="2871">
      <c r="A2871" s="28">
        <v>44762.0</v>
      </c>
      <c r="B2871" s="20" t="s">
        <v>112</v>
      </c>
      <c r="C2871" s="20">
        <v>25.0</v>
      </c>
      <c r="D2871" s="27"/>
    </row>
    <row r="2872">
      <c r="A2872" s="26">
        <v>44762.71042638889</v>
      </c>
      <c r="B2872" s="20" t="s">
        <v>285</v>
      </c>
      <c r="C2872" s="20">
        <v>20.0</v>
      </c>
      <c r="D2872" s="27"/>
    </row>
    <row r="2873">
      <c r="A2873" s="26">
        <v>44762.71070678241</v>
      </c>
      <c r="B2873" s="20" t="s">
        <v>406</v>
      </c>
      <c r="C2873" s="20">
        <v>11.0</v>
      </c>
      <c r="D2873" s="27"/>
      <c r="E2873" s="20" t="s">
        <v>1744</v>
      </c>
    </row>
    <row r="2874">
      <c r="A2874" s="26">
        <v>44762.71801092592</v>
      </c>
      <c r="B2874" s="20" t="s">
        <v>366</v>
      </c>
      <c r="C2874" s="20">
        <v>21.0</v>
      </c>
      <c r="D2874" s="27"/>
    </row>
    <row r="2875">
      <c r="A2875" s="26">
        <v>44762.72519207176</v>
      </c>
      <c r="B2875" s="20" t="s">
        <v>177</v>
      </c>
      <c r="C2875" s="20">
        <v>19.0</v>
      </c>
      <c r="D2875" s="27"/>
    </row>
    <row r="2876">
      <c r="A2876" s="26">
        <v>44762.72534888889</v>
      </c>
      <c r="B2876" s="20" t="s">
        <v>1813</v>
      </c>
      <c r="C2876" s="20">
        <v>12.0</v>
      </c>
      <c r="D2876" s="27"/>
    </row>
    <row r="2877">
      <c r="A2877" s="26">
        <v>44762.72616252315</v>
      </c>
      <c r="B2877" s="20" t="s">
        <v>1813</v>
      </c>
      <c r="C2877" s="20">
        <v>4.0</v>
      </c>
      <c r="D2877" s="27"/>
    </row>
    <row r="2878">
      <c r="A2878" s="26">
        <v>44762.732527824075</v>
      </c>
      <c r="B2878" s="20" t="s">
        <v>608</v>
      </c>
      <c r="C2878" s="20">
        <v>23.0</v>
      </c>
      <c r="D2878" s="27"/>
    </row>
    <row r="2879">
      <c r="A2879" s="26">
        <v>44762.73278414352</v>
      </c>
      <c r="B2879" s="20" t="s">
        <v>1859</v>
      </c>
      <c r="C2879" s="20">
        <v>7.0</v>
      </c>
      <c r="D2879" s="27"/>
    </row>
    <row r="2880">
      <c r="A2880" s="26">
        <v>44762.73962645834</v>
      </c>
      <c r="B2880" s="20" t="s">
        <v>1860</v>
      </c>
      <c r="C2880" s="20">
        <v>5.0</v>
      </c>
      <c r="D2880" s="27"/>
    </row>
    <row r="2881">
      <c r="A2881" s="26">
        <v>44762.86779635417</v>
      </c>
      <c r="B2881" s="20" t="s">
        <v>1192</v>
      </c>
      <c r="C2881" s="20">
        <v>19.0</v>
      </c>
      <c r="D2881" s="27"/>
    </row>
    <row r="2882">
      <c r="A2882" s="28">
        <v>44762.0</v>
      </c>
      <c r="B2882" s="20" t="s">
        <v>1192</v>
      </c>
      <c r="C2882" s="20">
        <v>2.0</v>
      </c>
      <c r="D2882" s="27"/>
      <c r="E2882" s="20" t="s">
        <v>890</v>
      </c>
    </row>
    <row r="2883">
      <c r="A2883" s="28">
        <v>44762.0</v>
      </c>
      <c r="B2883" s="20" t="s">
        <v>1191</v>
      </c>
      <c r="C2883" s="20">
        <v>20.0</v>
      </c>
      <c r="D2883" s="27"/>
    </row>
    <row r="2884">
      <c r="A2884" s="28">
        <v>44762.0</v>
      </c>
      <c r="B2884" s="20" t="s">
        <v>1191</v>
      </c>
      <c r="C2884" s="20">
        <v>12.0</v>
      </c>
      <c r="D2884" s="27"/>
      <c r="E2884" s="20" t="s">
        <v>890</v>
      </c>
    </row>
    <row r="2885">
      <c r="A2885" s="28">
        <v>44762.0</v>
      </c>
      <c r="B2885" s="20" t="s">
        <v>786</v>
      </c>
      <c r="C2885" s="20">
        <v>20.0</v>
      </c>
      <c r="D2885" s="27"/>
    </row>
    <row r="2886">
      <c r="A2886" s="28">
        <v>44762.0</v>
      </c>
      <c r="B2886" s="20" t="s">
        <v>786</v>
      </c>
      <c r="C2886" s="20">
        <v>5.0</v>
      </c>
      <c r="D2886" s="27"/>
      <c r="E2886" s="20" t="s">
        <v>890</v>
      </c>
    </row>
    <row r="2887">
      <c r="A2887" s="28">
        <v>44762.0</v>
      </c>
      <c r="B2887" s="20" t="s">
        <v>1861</v>
      </c>
      <c r="C2887" s="20">
        <v>20.0</v>
      </c>
      <c r="D2887" s="27"/>
    </row>
    <row r="2888">
      <c r="A2888" s="28">
        <v>44762.0</v>
      </c>
      <c r="B2888" s="20" t="s">
        <v>1862</v>
      </c>
      <c r="C2888" s="20">
        <v>20.0</v>
      </c>
      <c r="D2888" s="27"/>
    </row>
    <row r="2889">
      <c r="A2889" s="26">
        <v>44762.87338428241</v>
      </c>
      <c r="B2889" s="20" t="s">
        <v>787</v>
      </c>
      <c r="C2889" s="20">
        <v>20.0</v>
      </c>
      <c r="D2889" s="27"/>
    </row>
    <row r="2890">
      <c r="A2890" s="26">
        <v>44762.87354061342</v>
      </c>
      <c r="B2890" s="20" t="s">
        <v>1863</v>
      </c>
      <c r="C2890" s="20">
        <v>3.0</v>
      </c>
      <c r="D2890" s="27"/>
    </row>
    <row r="2891">
      <c r="A2891" s="26">
        <v>44762.87582215278</v>
      </c>
      <c r="B2891" s="20" t="s">
        <v>760</v>
      </c>
      <c r="C2891" s="20">
        <v>20.0</v>
      </c>
      <c r="D2891" s="27"/>
    </row>
    <row r="2892">
      <c r="A2892" s="26">
        <v>44762.875993634254</v>
      </c>
      <c r="B2892" s="20" t="s">
        <v>1845</v>
      </c>
      <c r="C2892" s="20">
        <v>13.0</v>
      </c>
      <c r="D2892" s="27"/>
    </row>
    <row r="2893">
      <c r="A2893" s="28">
        <v>44763.0</v>
      </c>
      <c r="B2893" s="20" t="s">
        <v>1241</v>
      </c>
      <c r="C2893" s="20">
        <v>20.0</v>
      </c>
      <c r="D2893" s="27"/>
    </row>
    <row r="2894">
      <c r="A2894" s="28">
        <v>44763.0</v>
      </c>
      <c r="B2894" s="20" t="s">
        <v>1001</v>
      </c>
      <c r="C2894" s="20">
        <v>21.0</v>
      </c>
      <c r="D2894" s="27"/>
    </row>
    <row r="2895">
      <c r="A2895" s="28">
        <v>44763.0</v>
      </c>
      <c r="B2895" s="20" t="s">
        <v>1001</v>
      </c>
      <c r="C2895" s="20">
        <v>28.0</v>
      </c>
      <c r="D2895" s="27"/>
      <c r="E2895" s="20" t="s">
        <v>890</v>
      </c>
    </row>
    <row r="2896">
      <c r="A2896" s="28">
        <v>44763.0</v>
      </c>
      <c r="B2896" s="20" t="s">
        <v>618</v>
      </c>
      <c r="C2896" s="20">
        <v>18.0</v>
      </c>
      <c r="D2896" s="27"/>
    </row>
    <row r="2897">
      <c r="A2897" s="28">
        <v>44763.0</v>
      </c>
      <c r="B2897" s="20" t="s">
        <v>618</v>
      </c>
      <c r="C2897" s="20">
        <v>11.0</v>
      </c>
      <c r="D2897" s="27"/>
      <c r="E2897" s="20" t="s">
        <v>890</v>
      </c>
    </row>
    <row r="2898">
      <c r="A2898" s="28">
        <v>44763.0</v>
      </c>
      <c r="B2898" s="20" t="s">
        <v>1829</v>
      </c>
      <c r="C2898" s="20">
        <v>18.0</v>
      </c>
      <c r="D2898" s="27"/>
    </row>
    <row r="2899">
      <c r="A2899" s="28">
        <v>44763.0</v>
      </c>
      <c r="B2899" s="20" t="s">
        <v>1829</v>
      </c>
      <c r="C2899" s="20">
        <v>8.0</v>
      </c>
      <c r="D2899" s="27"/>
      <c r="E2899" s="20" t="s">
        <v>890</v>
      </c>
    </row>
    <row r="2900">
      <c r="A2900" s="26">
        <v>44763.70115746528</v>
      </c>
      <c r="B2900" s="20" t="s">
        <v>1844</v>
      </c>
      <c r="C2900" s="20">
        <v>13.0</v>
      </c>
      <c r="D2900" s="27"/>
    </row>
    <row r="2901">
      <c r="A2901" s="28">
        <v>44763.0</v>
      </c>
      <c r="B2901" s="20" t="s">
        <v>1864</v>
      </c>
      <c r="C2901" s="20">
        <v>1.0</v>
      </c>
      <c r="D2901" s="27"/>
    </row>
    <row r="2902">
      <c r="A2902" s="26">
        <v>44763.70575142361</v>
      </c>
      <c r="B2902" s="20" t="s">
        <v>1865</v>
      </c>
      <c r="C2902" s="20">
        <v>6.0</v>
      </c>
      <c r="D2902" s="27"/>
    </row>
    <row r="2903">
      <c r="A2903" s="26">
        <v>44763.70595502315</v>
      </c>
      <c r="B2903" s="20" t="s">
        <v>163</v>
      </c>
      <c r="C2903" s="20">
        <v>11.0</v>
      </c>
      <c r="D2903" s="27"/>
    </row>
    <row r="2904">
      <c r="A2904" s="28">
        <v>44763.0</v>
      </c>
      <c r="B2904" s="20" t="s">
        <v>1866</v>
      </c>
      <c r="C2904" s="20">
        <v>46.0</v>
      </c>
      <c r="D2904" s="27"/>
    </row>
    <row r="2905">
      <c r="A2905" s="26">
        <v>44763.71912951389</v>
      </c>
      <c r="B2905" s="20" t="s">
        <v>1866</v>
      </c>
      <c r="C2905" s="20">
        <v>17.0</v>
      </c>
      <c r="D2905" s="27"/>
      <c r="E2905" s="20" t="s">
        <v>890</v>
      </c>
    </row>
    <row r="2906">
      <c r="A2906" s="26">
        <v>44764.70219747685</v>
      </c>
      <c r="B2906" s="20" t="s">
        <v>637</v>
      </c>
      <c r="C2906" s="20">
        <v>19.0</v>
      </c>
      <c r="D2906" s="27"/>
    </row>
    <row r="2907">
      <c r="A2907" s="26">
        <v>44764.703743969905</v>
      </c>
      <c r="B2907" s="20" t="s">
        <v>233</v>
      </c>
      <c r="C2907" s="20">
        <v>6.0</v>
      </c>
      <c r="D2907" s="27"/>
    </row>
    <row r="2908">
      <c r="A2908" s="26">
        <v>44764.70405829861</v>
      </c>
      <c r="B2908" s="20" t="s">
        <v>1729</v>
      </c>
      <c r="C2908" s="20">
        <v>20.0</v>
      </c>
      <c r="D2908" s="27"/>
    </row>
    <row r="2909">
      <c r="A2909" s="26">
        <v>44764.70418173611</v>
      </c>
      <c r="B2909" s="20" t="s">
        <v>1729</v>
      </c>
      <c r="C2909" s="20">
        <v>16.0</v>
      </c>
      <c r="D2909" s="27"/>
      <c r="E2909" s="20" t="s">
        <v>1842</v>
      </c>
    </row>
    <row r="2910">
      <c r="A2910" s="26">
        <v>44764.70722457176</v>
      </c>
      <c r="B2910" s="20" t="s">
        <v>366</v>
      </c>
      <c r="C2910" s="20">
        <v>10.0</v>
      </c>
      <c r="D2910" s="27"/>
      <c r="E2910" s="20" t="s">
        <v>1744</v>
      </c>
    </row>
    <row r="2911">
      <c r="A2911" s="26">
        <v>44764.71822608796</v>
      </c>
      <c r="B2911" s="20" t="s">
        <v>193</v>
      </c>
      <c r="C2911" s="20">
        <v>26.0</v>
      </c>
      <c r="D2911" s="27"/>
    </row>
    <row r="2912">
      <c r="A2912" s="26">
        <v>44764.72021450232</v>
      </c>
      <c r="B2912" s="20" t="s">
        <v>193</v>
      </c>
      <c r="C2912" s="20">
        <v>24.0</v>
      </c>
      <c r="D2912" s="27"/>
      <c r="E2912" s="20" t="s">
        <v>1744</v>
      </c>
    </row>
    <row r="2913">
      <c r="A2913" s="28">
        <v>44765.0</v>
      </c>
      <c r="B2913" s="20" t="s">
        <v>1834</v>
      </c>
      <c r="C2913" s="20">
        <v>20.0</v>
      </c>
      <c r="D2913" s="27"/>
      <c r="E2913" s="20"/>
    </row>
    <row r="2914">
      <c r="A2914" s="28">
        <v>44765.0</v>
      </c>
      <c r="B2914" s="20" t="s">
        <v>1867</v>
      </c>
      <c r="C2914" s="20">
        <v>21.0</v>
      </c>
      <c r="D2914" s="27"/>
      <c r="E2914" s="20" t="s">
        <v>1744</v>
      </c>
    </row>
    <row r="2915">
      <c r="A2915" s="28">
        <v>44765.0</v>
      </c>
      <c r="B2915" s="20" t="s">
        <v>1853</v>
      </c>
      <c r="C2915" s="20">
        <v>17.0</v>
      </c>
      <c r="D2915" s="27"/>
    </row>
    <row r="2916">
      <c r="A2916" s="28">
        <v>44765.0</v>
      </c>
      <c r="B2916" s="20" t="s">
        <v>1868</v>
      </c>
      <c r="C2916" s="20">
        <v>18.0</v>
      </c>
      <c r="D2916" s="27"/>
    </row>
    <row r="2917">
      <c r="A2917" s="26">
        <v>44765.72914045139</v>
      </c>
      <c r="B2917" s="20" t="s">
        <v>1713</v>
      </c>
      <c r="C2917" s="20">
        <v>20.0</v>
      </c>
      <c r="D2917" s="27"/>
    </row>
    <row r="2918">
      <c r="A2918" s="28">
        <v>44765.0</v>
      </c>
      <c r="B2918" s="20" t="s">
        <v>1713</v>
      </c>
      <c r="C2918" s="20">
        <v>2.0</v>
      </c>
      <c r="D2918" s="27"/>
      <c r="E2918" s="20" t="s">
        <v>1744</v>
      </c>
    </row>
    <row r="2919">
      <c r="A2919" s="26">
        <v>44765.73116909723</v>
      </c>
      <c r="B2919" s="20" t="s">
        <v>614</v>
      </c>
      <c r="C2919" s="20">
        <v>17.0</v>
      </c>
      <c r="D2919" s="27"/>
    </row>
    <row r="2920">
      <c r="A2920" s="26">
        <v>44765.73140369213</v>
      </c>
      <c r="B2920" s="20" t="s">
        <v>614</v>
      </c>
      <c r="C2920" s="20">
        <v>5.0</v>
      </c>
      <c r="D2920" s="27"/>
      <c r="E2920" s="20" t="s">
        <v>1842</v>
      </c>
    </row>
    <row r="2921">
      <c r="A2921" s="26">
        <v>44765.73665284722</v>
      </c>
      <c r="B2921" s="20" t="s">
        <v>92</v>
      </c>
      <c r="C2921" s="20">
        <v>14.0</v>
      </c>
      <c r="D2921" s="27"/>
    </row>
    <row r="2922">
      <c r="A2922" s="26">
        <v>44765.75448112268</v>
      </c>
      <c r="B2922" s="20" t="s">
        <v>552</v>
      </c>
      <c r="C2922" s="20">
        <v>4.0</v>
      </c>
      <c r="D2922" s="27"/>
    </row>
    <row r="2923">
      <c r="A2923" s="28">
        <v>44766.0</v>
      </c>
      <c r="B2923" s="20" t="s">
        <v>1854</v>
      </c>
      <c r="C2923" s="20">
        <v>20.0</v>
      </c>
      <c r="D2923" s="27"/>
    </row>
    <row r="2924">
      <c r="A2924" s="28">
        <v>44766.0</v>
      </c>
      <c r="B2924" s="20" t="s">
        <v>1854</v>
      </c>
      <c r="C2924" s="20">
        <v>2.0</v>
      </c>
      <c r="D2924" s="27"/>
      <c r="E2924" s="20" t="s">
        <v>1744</v>
      </c>
    </row>
    <row r="2925">
      <c r="A2925" s="28">
        <v>44766.0</v>
      </c>
      <c r="B2925" s="20" t="s">
        <v>1818</v>
      </c>
      <c r="C2925" s="20">
        <v>9.0</v>
      </c>
      <c r="D2925" s="27"/>
    </row>
    <row r="2926">
      <c r="A2926" s="28">
        <v>44766.0</v>
      </c>
      <c r="B2926" s="20" t="s">
        <v>1137</v>
      </c>
      <c r="C2926" s="20">
        <v>20.0</v>
      </c>
      <c r="D2926" s="27"/>
    </row>
    <row r="2927">
      <c r="A2927" s="28">
        <v>44766.0</v>
      </c>
      <c r="B2927" s="20" t="s">
        <v>1137</v>
      </c>
      <c r="C2927" s="20">
        <v>22.0</v>
      </c>
      <c r="D2927" s="27"/>
      <c r="E2927" s="20" t="s">
        <v>1744</v>
      </c>
    </row>
    <row r="2928">
      <c r="A2928" s="26">
        <v>44766.680497407404</v>
      </c>
      <c r="B2928" s="20" t="s">
        <v>528</v>
      </c>
      <c r="C2928" s="20">
        <v>20.0</v>
      </c>
      <c r="D2928" s="27"/>
    </row>
    <row r="2929">
      <c r="A2929" s="26">
        <v>44766.68063157407</v>
      </c>
      <c r="B2929" s="20" t="s">
        <v>528</v>
      </c>
      <c r="C2929" s="20">
        <v>30.0</v>
      </c>
      <c r="D2929" s="27"/>
      <c r="E2929" s="20" t="s">
        <v>1744</v>
      </c>
    </row>
    <row r="2930">
      <c r="A2930" s="26">
        <v>44766.690065625</v>
      </c>
      <c r="B2930" s="20" t="s">
        <v>1869</v>
      </c>
      <c r="C2930" s="20">
        <v>20.0</v>
      </c>
      <c r="D2930" s="27"/>
    </row>
    <row r="2931">
      <c r="A2931" s="26">
        <v>44766.69021479167</v>
      </c>
      <c r="B2931" s="20" t="s">
        <v>1870</v>
      </c>
      <c r="C2931" s="20">
        <v>32.0</v>
      </c>
      <c r="D2931" s="27"/>
    </row>
    <row r="2932">
      <c r="A2932" s="28">
        <v>44768.0</v>
      </c>
      <c r="B2932" s="20" t="s">
        <v>1610</v>
      </c>
      <c r="C2932" s="20">
        <v>16.0</v>
      </c>
      <c r="D2932" s="27"/>
    </row>
    <row r="2933">
      <c r="A2933" s="28">
        <v>44768.0</v>
      </c>
      <c r="B2933" s="20" t="s">
        <v>1610</v>
      </c>
      <c r="C2933" s="20">
        <v>4.0</v>
      </c>
      <c r="D2933" s="27"/>
      <c r="E2933" s="20" t="s">
        <v>1744</v>
      </c>
    </row>
    <row r="2934">
      <c r="A2934" s="28">
        <v>44768.0</v>
      </c>
      <c r="B2934" s="20" t="s">
        <v>1001</v>
      </c>
      <c r="C2934" s="20">
        <v>20.5</v>
      </c>
      <c r="D2934" s="27"/>
    </row>
    <row r="2935">
      <c r="A2935" s="28">
        <v>44768.0</v>
      </c>
      <c r="B2935" s="20" t="s">
        <v>1001</v>
      </c>
      <c r="C2935" s="20">
        <v>17.0</v>
      </c>
      <c r="D2935" s="27"/>
      <c r="E2935" s="20" t="s">
        <v>1744</v>
      </c>
    </row>
    <row r="2936">
      <c r="A2936" s="28">
        <v>44768.0</v>
      </c>
      <c r="B2936" s="20" t="s">
        <v>1137</v>
      </c>
      <c r="C2936" s="20">
        <v>20.0</v>
      </c>
      <c r="D2936" s="27"/>
    </row>
    <row r="2937">
      <c r="A2937" s="28">
        <v>44768.0</v>
      </c>
      <c r="B2937" s="20" t="s">
        <v>1137</v>
      </c>
      <c r="C2937" s="20">
        <v>24.0</v>
      </c>
      <c r="D2937" s="27"/>
      <c r="E2937" s="20" t="s">
        <v>1744</v>
      </c>
    </row>
    <row r="2938">
      <c r="A2938" s="26">
        <v>44768.64420043981</v>
      </c>
      <c r="B2938" s="20" t="s">
        <v>528</v>
      </c>
      <c r="C2938" s="20">
        <v>20.0</v>
      </c>
      <c r="D2938" s="27"/>
    </row>
    <row r="2939">
      <c r="A2939" s="26">
        <v>44768.64452508102</v>
      </c>
      <c r="B2939" s="20" t="s">
        <v>528</v>
      </c>
      <c r="C2939" s="20">
        <v>13.0</v>
      </c>
      <c r="D2939" s="27"/>
      <c r="E2939" s="20" t="s">
        <v>890</v>
      </c>
    </row>
    <row r="2940">
      <c r="A2940" s="26">
        <v>44768.646913159726</v>
      </c>
      <c r="B2940" s="20" t="s">
        <v>163</v>
      </c>
      <c r="C2940" s="20">
        <v>19.0</v>
      </c>
      <c r="D2940" s="27"/>
      <c r="E2940" s="20" t="s">
        <v>1744</v>
      </c>
    </row>
    <row r="2941">
      <c r="A2941" s="26">
        <v>44768.647473206016</v>
      </c>
      <c r="B2941" s="20" t="s">
        <v>163</v>
      </c>
      <c r="C2941" s="20">
        <v>17.0</v>
      </c>
      <c r="D2941" s="27"/>
    </row>
    <row r="2942">
      <c r="A2942" s="26">
        <v>44768.64824679398</v>
      </c>
      <c r="B2942" s="20" t="s">
        <v>614</v>
      </c>
      <c r="C2942" s="20">
        <v>18.0</v>
      </c>
      <c r="D2942" s="27"/>
    </row>
    <row r="2943">
      <c r="A2943" s="26">
        <v>44768.74260761574</v>
      </c>
      <c r="B2943" s="20" t="s">
        <v>614</v>
      </c>
      <c r="C2943" s="20">
        <v>9.0</v>
      </c>
      <c r="D2943" s="27"/>
      <c r="E2943" s="20" t="s">
        <v>1842</v>
      </c>
    </row>
    <row r="2944">
      <c r="A2944" s="28">
        <v>44769.0</v>
      </c>
      <c r="B2944" s="20" t="s">
        <v>1786</v>
      </c>
      <c r="C2944" s="20">
        <v>28.0</v>
      </c>
      <c r="D2944" s="27"/>
      <c r="E2944" s="20" t="s">
        <v>1842</v>
      </c>
    </row>
    <row r="2945">
      <c r="A2945" s="28">
        <v>44769.0</v>
      </c>
      <c r="B2945" s="20" t="s">
        <v>1862</v>
      </c>
      <c r="C2945" s="20">
        <v>20.0</v>
      </c>
      <c r="D2945" s="27"/>
    </row>
    <row r="2946">
      <c r="A2946" s="28">
        <v>44769.0</v>
      </c>
      <c r="B2946" s="20" t="s">
        <v>1803</v>
      </c>
      <c r="C2946" s="20">
        <v>20.0</v>
      </c>
      <c r="D2946" s="27"/>
    </row>
    <row r="2947">
      <c r="A2947" s="28">
        <v>44769.0</v>
      </c>
      <c r="B2947" s="20" t="s">
        <v>1803</v>
      </c>
      <c r="C2947" s="20">
        <v>22.0</v>
      </c>
      <c r="D2947" s="27"/>
      <c r="E2947" s="20" t="s">
        <v>1842</v>
      </c>
    </row>
    <row r="2948">
      <c r="A2948" s="28">
        <v>44769.0</v>
      </c>
      <c r="B2948" s="20" t="s">
        <v>1158</v>
      </c>
      <c r="C2948" s="20">
        <v>16.0</v>
      </c>
      <c r="D2948" s="27"/>
    </row>
    <row r="2949">
      <c r="A2949" s="28">
        <v>44769.0</v>
      </c>
      <c r="B2949" s="20" t="s">
        <v>1158</v>
      </c>
      <c r="C2949" s="20">
        <v>10.0</v>
      </c>
      <c r="D2949" s="27"/>
      <c r="E2949" s="20" t="s">
        <v>1842</v>
      </c>
    </row>
    <row r="2950">
      <c r="A2950" s="28">
        <v>44769.0</v>
      </c>
      <c r="B2950" s="20" t="s">
        <v>1871</v>
      </c>
      <c r="C2950" s="20">
        <v>20.0</v>
      </c>
      <c r="D2950" s="27"/>
    </row>
    <row r="2951">
      <c r="A2951" s="28">
        <v>44769.0</v>
      </c>
      <c r="B2951" s="20" t="s">
        <v>1871</v>
      </c>
      <c r="C2951" s="20">
        <v>26.0</v>
      </c>
      <c r="D2951" s="27"/>
      <c r="E2951" s="20" t="s">
        <v>1842</v>
      </c>
    </row>
    <row r="2952">
      <c r="A2952" s="28">
        <v>44769.0</v>
      </c>
      <c r="B2952" s="20" t="s">
        <v>891</v>
      </c>
      <c r="C2952" s="20">
        <v>9.0</v>
      </c>
      <c r="D2952" s="27"/>
    </row>
    <row r="2953">
      <c r="A2953" s="28">
        <v>44769.0</v>
      </c>
      <c r="B2953" s="20" t="s">
        <v>891</v>
      </c>
      <c r="C2953" s="20">
        <v>17.0</v>
      </c>
      <c r="D2953" s="27"/>
      <c r="E2953" s="20" t="s">
        <v>1744</v>
      </c>
    </row>
    <row r="2954">
      <c r="A2954" s="26">
        <v>44769.56498199074</v>
      </c>
      <c r="B2954" s="20" t="s">
        <v>1872</v>
      </c>
      <c r="C2954" s="20">
        <v>27.0</v>
      </c>
      <c r="D2954" s="27"/>
    </row>
    <row r="2955">
      <c r="A2955" s="26">
        <v>44769.8645047801</v>
      </c>
      <c r="B2955" s="20" t="s">
        <v>1551</v>
      </c>
      <c r="C2955" s="20">
        <v>10.0</v>
      </c>
      <c r="D2955" s="27"/>
    </row>
    <row r="2956">
      <c r="A2956" s="26">
        <v>44769.86556081018</v>
      </c>
      <c r="B2956" s="20" t="s">
        <v>1873</v>
      </c>
      <c r="C2956" s="20">
        <v>17.0</v>
      </c>
      <c r="D2956" s="27"/>
    </row>
    <row r="2957">
      <c r="A2957" s="26">
        <v>44769.867371354165</v>
      </c>
      <c r="B2957" s="20" t="s">
        <v>818</v>
      </c>
      <c r="C2957" s="20">
        <v>9.0</v>
      </c>
      <c r="D2957" s="27"/>
    </row>
    <row r="2958">
      <c r="A2958" s="26">
        <v>44769.8673844213</v>
      </c>
      <c r="B2958" s="20" t="s">
        <v>1713</v>
      </c>
      <c r="C2958" s="20">
        <v>13.0</v>
      </c>
      <c r="D2958" s="27"/>
    </row>
    <row r="2959">
      <c r="A2959" s="28">
        <v>44770.0</v>
      </c>
      <c r="B2959" s="20" t="s">
        <v>1001</v>
      </c>
      <c r="C2959" s="20">
        <v>23.0</v>
      </c>
      <c r="D2959" s="27"/>
    </row>
    <row r="2960">
      <c r="A2960" s="28">
        <v>44770.0</v>
      </c>
      <c r="B2960" s="20" t="s">
        <v>1001</v>
      </c>
      <c r="C2960" s="20">
        <v>12.0</v>
      </c>
      <c r="D2960" s="27"/>
    </row>
    <row r="2961">
      <c r="A2961" s="28">
        <v>44770.0</v>
      </c>
      <c r="B2961" s="20" t="s">
        <v>1241</v>
      </c>
      <c r="C2961" s="20">
        <v>20.0</v>
      </c>
      <c r="D2961" s="27"/>
    </row>
    <row r="2962">
      <c r="A2962" s="28">
        <v>44770.0</v>
      </c>
      <c r="B2962" s="20" t="s">
        <v>1241</v>
      </c>
      <c r="C2962" s="20">
        <v>2.0</v>
      </c>
      <c r="D2962" s="27"/>
      <c r="E2962" s="20" t="s">
        <v>1842</v>
      </c>
    </row>
    <row r="2963">
      <c r="A2963" s="28">
        <v>44770.0</v>
      </c>
      <c r="B2963" s="20" t="s">
        <v>167</v>
      </c>
      <c r="C2963" s="20">
        <v>22.0</v>
      </c>
      <c r="D2963" s="27"/>
    </row>
    <row r="2964">
      <c r="A2964" s="28">
        <v>44770.0</v>
      </c>
      <c r="B2964" s="20" t="s">
        <v>777</v>
      </c>
      <c r="C2964" s="20">
        <v>19.0</v>
      </c>
      <c r="D2964" s="27"/>
    </row>
    <row r="2965">
      <c r="A2965" s="26">
        <v>44770.70599479167</v>
      </c>
      <c r="B2965" s="20" t="s">
        <v>327</v>
      </c>
      <c r="C2965" s="20">
        <v>9.0</v>
      </c>
      <c r="D2965" s="27"/>
    </row>
    <row r="2966">
      <c r="A2966" s="28">
        <v>44770.0</v>
      </c>
      <c r="B2966" s="20" t="s">
        <v>327</v>
      </c>
      <c r="C2966" s="20">
        <v>3.0</v>
      </c>
      <c r="D2966" s="20" t="s">
        <v>1874</v>
      </c>
      <c r="E2966" s="20" t="s">
        <v>1840</v>
      </c>
    </row>
    <row r="2967">
      <c r="A2967" s="26">
        <v>44770.71586486111</v>
      </c>
      <c r="B2967" s="20" t="s">
        <v>1875</v>
      </c>
      <c r="C2967" s="20">
        <v>8.0</v>
      </c>
      <c r="D2967" s="27"/>
    </row>
    <row r="2968">
      <c r="A2968" s="26">
        <v>44770.71607582176</v>
      </c>
      <c r="B2968" s="20" t="s">
        <v>163</v>
      </c>
      <c r="C2968" s="20">
        <v>38.0</v>
      </c>
      <c r="D2968" s="27"/>
    </row>
    <row r="2969">
      <c r="A2969" s="26">
        <v>44770.8731991088</v>
      </c>
      <c r="B2969" s="20" t="s">
        <v>1876</v>
      </c>
      <c r="C2969" s="20">
        <v>19.0</v>
      </c>
      <c r="D2969" s="27"/>
    </row>
    <row r="2970">
      <c r="A2970" s="26">
        <v>44770.873253854166</v>
      </c>
      <c r="B2970" s="20" t="s">
        <v>800</v>
      </c>
      <c r="C2970" s="20">
        <v>20.0</v>
      </c>
      <c r="D2970" s="27"/>
    </row>
    <row r="2971">
      <c r="A2971" s="28">
        <v>44771.0</v>
      </c>
      <c r="B2971" s="20" t="s">
        <v>1843</v>
      </c>
      <c r="C2971" s="20">
        <v>20.0</v>
      </c>
      <c r="D2971" s="27"/>
    </row>
    <row r="2972">
      <c r="A2972" s="28">
        <v>44771.0</v>
      </c>
      <c r="B2972" s="20" t="s">
        <v>1843</v>
      </c>
      <c r="C2972" s="20">
        <v>22.0</v>
      </c>
      <c r="D2972" s="27"/>
      <c r="E2972" s="20" t="s">
        <v>1744</v>
      </c>
    </row>
    <row r="2973">
      <c r="A2973" s="26">
        <v>44771.66496589121</v>
      </c>
      <c r="B2973" s="20" t="s">
        <v>1877</v>
      </c>
      <c r="C2973" s="20">
        <v>20.0</v>
      </c>
      <c r="D2973" s="27"/>
    </row>
    <row r="2974">
      <c r="A2974" s="26">
        <v>44771.6954625463</v>
      </c>
      <c r="B2974" s="20" t="s">
        <v>344</v>
      </c>
      <c r="C2974" s="20">
        <v>15.0</v>
      </c>
      <c r="D2974" s="27"/>
    </row>
    <row r="2975">
      <c r="A2975" s="26">
        <v>44771.695656909724</v>
      </c>
      <c r="B2975" s="20" t="s">
        <v>344</v>
      </c>
      <c r="C2975" s="20">
        <v>31.0</v>
      </c>
      <c r="D2975" s="27"/>
      <c r="E2975" s="20" t="s">
        <v>1840</v>
      </c>
    </row>
    <row r="2976">
      <c r="A2976" s="26">
        <v>44771.70791452547</v>
      </c>
      <c r="B2976" s="20" t="s">
        <v>233</v>
      </c>
      <c r="C2976" s="20">
        <v>20.0</v>
      </c>
      <c r="D2976" s="27"/>
    </row>
    <row r="2977">
      <c r="A2977" s="26">
        <v>44771.708057951386</v>
      </c>
      <c r="B2977" s="20" t="s">
        <v>1878</v>
      </c>
      <c r="C2977" s="20">
        <v>2.0</v>
      </c>
      <c r="D2977" s="27"/>
    </row>
    <row r="2978">
      <c r="A2978" s="28">
        <v>44772.0</v>
      </c>
      <c r="B2978" s="20" t="s">
        <v>1835</v>
      </c>
      <c r="C2978" s="20">
        <v>19.0</v>
      </c>
      <c r="D2978" s="27"/>
    </row>
    <row r="2979">
      <c r="A2979" s="28">
        <v>44772.0</v>
      </c>
      <c r="B2979" s="20" t="s">
        <v>1241</v>
      </c>
      <c r="C2979" s="20">
        <v>13.0</v>
      </c>
      <c r="D2979" s="27"/>
    </row>
    <row r="2980">
      <c r="A2980" s="28">
        <v>44772.0</v>
      </c>
      <c r="B2980" s="20" t="s">
        <v>1834</v>
      </c>
      <c r="C2980" s="20">
        <v>20.0</v>
      </c>
      <c r="D2980" s="27"/>
    </row>
    <row r="2981">
      <c r="A2981" s="28">
        <v>44772.0</v>
      </c>
      <c r="B2981" s="20" t="s">
        <v>1879</v>
      </c>
      <c r="C2981" s="20">
        <v>20.0</v>
      </c>
      <c r="D2981" s="27"/>
    </row>
    <row r="2982">
      <c r="A2982" s="28">
        <v>44772.0</v>
      </c>
      <c r="B2982" s="20" t="s">
        <v>1879</v>
      </c>
      <c r="C2982" s="20">
        <v>8.0</v>
      </c>
      <c r="D2982" s="27"/>
      <c r="E2982" s="20" t="s">
        <v>1842</v>
      </c>
    </row>
    <row r="2983">
      <c r="A2983" s="28">
        <v>44772.0</v>
      </c>
      <c r="B2983" s="20" t="s">
        <v>1880</v>
      </c>
      <c r="C2983" s="20">
        <v>17.0</v>
      </c>
      <c r="D2983" s="27"/>
    </row>
    <row r="2984">
      <c r="A2984" s="28">
        <v>44772.0</v>
      </c>
      <c r="B2984" s="20" t="s">
        <v>112</v>
      </c>
      <c r="C2984" s="20">
        <v>40.0</v>
      </c>
      <c r="D2984" s="27"/>
      <c r="E2984" s="20" t="s">
        <v>1881</v>
      </c>
    </row>
    <row r="2985">
      <c r="A2985" s="26">
        <v>44772.695657523145</v>
      </c>
      <c r="B2985" s="20" t="s">
        <v>1882</v>
      </c>
      <c r="C2985" s="20">
        <v>19.0</v>
      </c>
      <c r="D2985" s="27"/>
    </row>
    <row r="2986">
      <c r="A2986" s="28">
        <v>44772.0</v>
      </c>
      <c r="B2986" s="20" t="s">
        <v>1882</v>
      </c>
      <c r="C2986" s="20">
        <v>7.0</v>
      </c>
      <c r="D2986" s="27"/>
      <c r="E2986" s="20" t="s">
        <v>1842</v>
      </c>
    </row>
    <row r="2987">
      <c r="A2987" s="26">
        <v>44772.70205893519</v>
      </c>
      <c r="B2987" s="20" t="s">
        <v>1192</v>
      </c>
      <c r="C2987" s="20">
        <v>21.0</v>
      </c>
      <c r="D2987" s="27"/>
    </row>
    <row r="2988">
      <c r="A2988" s="28">
        <v>44772.0</v>
      </c>
      <c r="B2988" s="20" t="s">
        <v>1192</v>
      </c>
      <c r="C2988" s="20">
        <v>3.0</v>
      </c>
      <c r="D2988" s="27"/>
      <c r="E2988" s="20" t="s">
        <v>1842</v>
      </c>
    </row>
    <row r="2989">
      <c r="A2989" s="26">
        <v>44772.702305266204</v>
      </c>
      <c r="B2989" s="20" t="s">
        <v>1191</v>
      </c>
      <c r="C2989" s="20">
        <v>19.0</v>
      </c>
      <c r="D2989" s="27"/>
    </row>
    <row r="2990">
      <c r="A2990" s="26">
        <v>44772.704962222226</v>
      </c>
      <c r="B2990" s="20" t="s">
        <v>614</v>
      </c>
      <c r="C2990" s="20">
        <v>19.0</v>
      </c>
      <c r="D2990" s="27"/>
    </row>
    <row r="2991">
      <c r="A2991" s="26">
        <v>44772.72031684028</v>
      </c>
      <c r="B2991" s="20" t="s">
        <v>300</v>
      </c>
      <c r="C2991" s="20">
        <v>20.0</v>
      </c>
      <c r="D2991" s="27"/>
    </row>
    <row r="2992">
      <c r="A2992" s="28">
        <v>44772.0</v>
      </c>
      <c r="B2992" s="20" t="s">
        <v>300</v>
      </c>
      <c r="C2992" s="20">
        <v>7.0</v>
      </c>
      <c r="D2992" s="27"/>
      <c r="E2992" s="20" t="s">
        <v>1842</v>
      </c>
    </row>
    <row r="2993">
      <c r="A2993" s="28">
        <v>44773.0</v>
      </c>
      <c r="B2993" s="20" t="s">
        <v>1137</v>
      </c>
      <c r="C2993" s="20">
        <v>18.0</v>
      </c>
      <c r="D2993" s="27"/>
    </row>
    <row r="2994">
      <c r="A2994" s="28">
        <v>44773.0</v>
      </c>
      <c r="B2994" s="20" t="s">
        <v>1137</v>
      </c>
      <c r="C2994" s="20">
        <v>58.0</v>
      </c>
      <c r="D2994" s="27"/>
      <c r="E2994" s="20" t="s">
        <v>1842</v>
      </c>
    </row>
    <row r="2995">
      <c r="A2995" s="28">
        <v>44773.0</v>
      </c>
      <c r="B2995" s="20" t="s">
        <v>1854</v>
      </c>
      <c r="C2995" s="20">
        <v>20.0</v>
      </c>
      <c r="D2995" s="27"/>
    </row>
    <row r="2996">
      <c r="A2996" s="28">
        <v>44773.0</v>
      </c>
      <c r="B2996" s="20" t="s">
        <v>1854</v>
      </c>
      <c r="C2996" s="20">
        <v>3.0</v>
      </c>
      <c r="D2996" s="27"/>
      <c r="E2996" s="20" t="s">
        <v>1842</v>
      </c>
    </row>
    <row r="2997">
      <c r="A2997" s="26">
        <v>44773.677394432874</v>
      </c>
      <c r="B2997" s="20" t="s">
        <v>79</v>
      </c>
      <c r="C2997" s="20">
        <v>19.0</v>
      </c>
      <c r="D2997" s="27"/>
    </row>
    <row r="2998">
      <c r="A2998" s="26">
        <v>44773.678084652776</v>
      </c>
      <c r="B2998" s="20" t="s">
        <v>982</v>
      </c>
      <c r="C2998" s="20">
        <v>19.0</v>
      </c>
      <c r="D2998" s="27"/>
    </row>
    <row r="2999">
      <c r="A2999" s="26">
        <v>44773.67812806713</v>
      </c>
      <c r="B2999" s="20" t="s">
        <v>528</v>
      </c>
      <c r="C2999" s="20">
        <v>10.0</v>
      </c>
      <c r="D2999" s="27"/>
    </row>
    <row r="3000">
      <c r="A3000" s="26">
        <v>44773.678318356484</v>
      </c>
      <c r="B3000" s="20" t="s">
        <v>1642</v>
      </c>
      <c r="C3000" s="20">
        <v>25.0</v>
      </c>
      <c r="D3000" s="27"/>
    </row>
    <row r="3001">
      <c r="A3001" s="26">
        <v>44773.719847280096</v>
      </c>
      <c r="B3001" s="20" t="s">
        <v>411</v>
      </c>
      <c r="C3001" s="20">
        <v>22.0</v>
      </c>
      <c r="D3001" s="27"/>
    </row>
    <row r="3002">
      <c r="A3002" s="28">
        <v>44775.0</v>
      </c>
      <c r="B3002" s="20" t="s">
        <v>1883</v>
      </c>
      <c r="C3002" s="20">
        <v>20.0</v>
      </c>
      <c r="D3002" s="27"/>
    </row>
    <row r="3003">
      <c r="A3003" s="28">
        <v>44775.0</v>
      </c>
      <c r="B3003" s="20" t="s">
        <v>1883</v>
      </c>
      <c r="C3003" s="20">
        <v>30.0</v>
      </c>
      <c r="D3003" s="27"/>
      <c r="E3003" s="20" t="s">
        <v>1840</v>
      </c>
    </row>
    <row r="3004">
      <c r="A3004" s="28">
        <v>44775.0</v>
      </c>
      <c r="B3004" s="20" t="s">
        <v>1884</v>
      </c>
      <c r="C3004" s="20">
        <v>17.0</v>
      </c>
      <c r="D3004" s="27"/>
    </row>
    <row r="3005">
      <c r="A3005" s="26">
        <v>44775.69577505787</v>
      </c>
      <c r="B3005" s="20" t="s">
        <v>528</v>
      </c>
      <c r="C3005" s="20">
        <v>19.0</v>
      </c>
      <c r="D3005" s="27"/>
    </row>
    <row r="3006">
      <c r="A3006" s="26">
        <v>44775.69661540509</v>
      </c>
      <c r="B3006" s="20" t="s">
        <v>1642</v>
      </c>
      <c r="C3006" s="20">
        <v>12.0</v>
      </c>
      <c r="D3006" s="27"/>
    </row>
    <row r="3007">
      <c r="A3007" s="26">
        <v>44775.69966167824</v>
      </c>
      <c r="B3007" s="20" t="s">
        <v>922</v>
      </c>
      <c r="C3007" s="20">
        <v>19.0</v>
      </c>
      <c r="D3007" s="27"/>
    </row>
    <row r="3008">
      <c r="A3008" s="28">
        <v>44775.0</v>
      </c>
      <c r="B3008" s="20" t="s">
        <v>922</v>
      </c>
      <c r="C3008" s="20">
        <v>31.0</v>
      </c>
      <c r="D3008" s="27"/>
      <c r="E3008" s="20" t="s">
        <v>890</v>
      </c>
    </row>
    <row r="3009">
      <c r="A3009" s="26">
        <v>44775.7010777199</v>
      </c>
      <c r="B3009" s="20" t="s">
        <v>614</v>
      </c>
      <c r="C3009" s="20">
        <v>17.0</v>
      </c>
      <c r="D3009" s="27"/>
    </row>
    <row r="3010">
      <c r="A3010" s="26">
        <v>44775.70138530093</v>
      </c>
      <c r="B3010" s="20" t="s">
        <v>614</v>
      </c>
      <c r="C3010" s="20">
        <v>23.0</v>
      </c>
      <c r="D3010" s="27"/>
      <c r="E3010" s="20" t="s">
        <v>890</v>
      </c>
    </row>
    <row r="3011">
      <c r="A3011" s="28">
        <v>44776.0</v>
      </c>
      <c r="B3011" s="20" t="s">
        <v>1786</v>
      </c>
      <c r="C3011" s="20">
        <v>2.0</v>
      </c>
      <c r="D3011" s="27"/>
    </row>
    <row r="3012">
      <c r="A3012" s="28">
        <v>44776.0</v>
      </c>
      <c r="B3012" s="20" t="s">
        <v>891</v>
      </c>
      <c r="C3012" s="20">
        <v>10.0</v>
      </c>
      <c r="D3012" s="27"/>
    </row>
    <row r="3013">
      <c r="A3013" s="28">
        <v>44776.0</v>
      </c>
      <c r="B3013" s="20" t="s">
        <v>891</v>
      </c>
      <c r="C3013" s="20">
        <v>12.0</v>
      </c>
      <c r="D3013" s="27"/>
      <c r="E3013" s="20" t="s">
        <v>1840</v>
      </c>
    </row>
    <row r="3014">
      <c r="A3014" s="28">
        <v>44776.0</v>
      </c>
      <c r="B3014" s="20" t="s">
        <v>1885</v>
      </c>
      <c r="C3014" s="20">
        <v>10.0</v>
      </c>
      <c r="D3014" s="27"/>
    </row>
    <row r="3015">
      <c r="A3015" s="28">
        <v>44776.0</v>
      </c>
      <c r="B3015" s="20" t="s">
        <v>1885</v>
      </c>
      <c r="C3015" s="20">
        <v>13.0</v>
      </c>
      <c r="D3015" s="27"/>
      <c r="E3015" s="20" t="s">
        <v>1840</v>
      </c>
    </row>
    <row r="3016">
      <c r="A3016" s="28">
        <v>44776.0</v>
      </c>
      <c r="B3016" s="20" t="s">
        <v>1886</v>
      </c>
      <c r="C3016" s="20">
        <v>20.0</v>
      </c>
      <c r="D3016" s="27"/>
    </row>
    <row r="3017">
      <c r="A3017" s="28">
        <v>44776.0</v>
      </c>
      <c r="B3017" s="20" t="s">
        <v>1886</v>
      </c>
      <c r="C3017" s="20">
        <v>11.0</v>
      </c>
      <c r="D3017" s="27"/>
      <c r="E3017" s="20" t="s">
        <v>890</v>
      </c>
    </row>
    <row r="3018">
      <c r="A3018" s="28">
        <v>44776.0</v>
      </c>
      <c r="B3018" s="20" t="s">
        <v>1887</v>
      </c>
      <c r="C3018" s="20">
        <v>7.0</v>
      </c>
      <c r="D3018" s="27"/>
    </row>
    <row r="3019">
      <c r="A3019" s="28">
        <v>44776.0</v>
      </c>
      <c r="B3019" s="20" t="s">
        <v>1887</v>
      </c>
      <c r="C3019" s="20">
        <v>1.0</v>
      </c>
      <c r="D3019" s="27"/>
      <c r="E3019" s="20" t="s">
        <v>890</v>
      </c>
    </row>
    <row r="3020">
      <c r="A3020" s="28">
        <v>44776.0</v>
      </c>
      <c r="B3020" s="20" t="s">
        <v>1871</v>
      </c>
      <c r="C3020" s="20">
        <v>21.0</v>
      </c>
      <c r="D3020" s="27"/>
    </row>
    <row r="3021">
      <c r="A3021" s="28">
        <v>44776.0</v>
      </c>
      <c r="B3021" s="20" t="s">
        <v>1871</v>
      </c>
      <c r="C3021" s="20">
        <v>21.0</v>
      </c>
      <c r="D3021" s="27"/>
      <c r="E3021" s="20" t="s">
        <v>1840</v>
      </c>
    </row>
    <row r="3022">
      <c r="A3022" s="28">
        <v>44776.0</v>
      </c>
      <c r="B3022" s="20" t="s">
        <v>1888</v>
      </c>
      <c r="C3022" s="20">
        <v>19.0</v>
      </c>
      <c r="D3022" s="27"/>
    </row>
    <row r="3023">
      <c r="A3023" s="28">
        <v>44776.0</v>
      </c>
      <c r="B3023" s="20" t="s">
        <v>1888</v>
      </c>
      <c r="C3023" s="20">
        <v>27.0</v>
      </c>
      <c r="D3023" s="27"/>
      <c r="E3023" s="20" t="s">
        <v>890</v>
      </c>
    </row>
    <row r="3024">
      <c r="A3024" s="28">
        <v>44776.0</v>
      </c>
      <c r="B3024" s="20" t="s">
        <v>1889</v>
      </c>
      <c r="C3024" s="20">
        <v>19.0</v>
      </c>
      <c r="D3024" s="27"/>
    </row>
    <row r="3025">
      <c r="A3025" s="28">
        <v>44776.0</v>
      </c>
      <c r="B3025" s="20" t="s">
        <v>1889</v>
      </c>
      <c r="C3025" s="20">
        <v>24.0</v>
      </c>
      <c r="D3025" s="27"/>
      <c r="E3025" s="20" t="s">
        <v>890</v>
      </c>
    </row>
    <row r="3026">
      <c r="A3026" s="28">
        <v>44776.0</v>
      </c>
      <c r="B3026" s="20" t="s">
        <v>1890</v>
      </c>
      <c r="C3026" s="20">
        <v>20.0</v>
      </c>
      <c r="D3026" s="27"/>
    </row>
    <row r="3027">
      <c r="A3027" s="28">
        <v>44776.0</v>
      </c>
      <c r="B3027" s="20" t="s">
        <v>1890</v>
      </c>
      <c r="C3027" s="20">
        <v>7.0</v>
      </c>
      <c r="D3027" s="27"/>
      <c r="E3027" s="20" t="s">
        <v>1840</v>
      </c>
    </row>
    <row r="3028">
      <c r="A3028" s="26">
        <v>44776.55621289352</v>
      </c>
      <c r="B3028" s="20" t="s">
        <v>1891</v>
      </c>
      <c r="C3028" s="20">
        <v>14.0</v>
      </c>
      <c r="D3028" s="27"/>
    </row>
    <row r="3029">
      <c r="A3029" s="26">
        <v>44776.57785269676</v>
      </c>
      <c r="B3029" s="20" t="s">
        <v>1892</v>
      </c>
      <c r="C3029" s="20">
        <v>13.0</v>
      </c>
      <c r="D3029" s="27"/>
    </row>
    <row r="3030">
      <c r="A3030" s="26">
        <v>44776.7219362037</v>
      </c>
      <c r="B3030" s="20" t="s">
        <v>406</v>
      </c>
      <c r="C3030" s="20">
        <v>9.0</v>
      </c>
      <c r="D3030" s="27"/>
    </row>
    <row r="3031">
      <c r="A3031" s="26">
        <v>44776.72246870371</v>
      </c>
      <c r="B3031" s="20" t="s">
        <v>406</v>
      </c>
      <c r="C3031" s="20">
        <v>3.0</v>
      </c>
      <c r="D3031" s="27"/>
      <c r="E3031" s="20" t="s">
        <v>890</v>
      </c>
    </row>
    <row r="3032">
      <c r="A3032" s="26">
        <v>44776.85150824074</v>
      </c>
      <c r="B3032" s="20" t="s">
        <v>1551</v>
      </c>
      <c r="C3032" s="20">
        <v>12.0</v>
      </c>
      <c r="D3032" s="27"/>
    </row>
    <row r="3033">
      <c r="A3033" s="26">
        <v>44776.863107418976</v>
      </c>
      <c r="B3033" s="20" t="s">
        <v>1803</v>
      </c>
      <c r="C3033" s="20">
        <v>20.0</v>
      </c>
      <c r="D3033" s="27"/>
    </row>
    <row r="3034">
      <c r="A3034" s="26">
        <v>44776.863597812495</v>
      </c>
      <c r="B3034" s="20" t="s">
        <v>1803</v>
      </c>
      <c r="C3034" s="20">
        <v>37.0</v>
      </c>
      <c r="D3034" s="27"/>
      <c r="E3034" s="20" t="s">
        <v>1840</v>
      </c>
    </row>
    <row r="3035">
      <c r="A3035" s="28">
        <v>44777.0</v>
      </c>
      <c r="B3035" s="20" t="s">
        <v>1893</v>
      </c>
      <c r="C3035" s="20">
        <v>27.0</v>
      </c>
      <c r="D3035" s="27"/>
    </row>
    <row r="3036">
      <c r="A3036" s="28">
        <v>44777.0</v>
      </c>
      <c r="B3036" s="20" t="s">
        <v>1001</v>
      </c>
      <c r="C3036" s="20">
        <v>21.0</v>
      </c>
      <c r="D3036" s="27"/>
    </row>
    <row r="3037">
      <c r="A3037" s="28">
        <v>44777.0</v>
      </c>
      <c r="B3037" s="20" t="s">
        <v>1001</v>
      </c>
      <c r="C3037" s="20">
        <v>47.0</v>
      </c>
      <c r="D3037" s="27"/>
      <c r="E3037" s="20" t="s">
        <v>1840</v>
      </c>
    </row>
    <row r="3038">
      <c r="A3038" s="28">
        <v>44777.0</v>
      </c>
      <c r="B3038" s="20" t="s">
        <v>777</v>
      </c>
      <c r="C3038" s="20">
        <v>20.0</v>
      </c>
      <c r="D3038" s="27"/>
    </row>
    <row r="3039">
      <c r="A3039" s="28">
        <v>44777.0</v>
      </c>
      <c r="B3039" s="20" t="s">
        <v>777</v>
      </c>
      <c r="C3039" s="20">
        <v>16.0</v>
      </c>
      <c r="D3039" s="27"/>
      <c r="E3039" s="20" t="s">
        <v>1840</v>
      </c>
    </row>
    <row r="3040">
      <c r="A3040" s="28">
        <v>44778.0</v>
      </c>
      <c r="B3040" s="20" t="s">
        <v>366</v>
      </c>
      <c r="C3040" s="20">
        <v>8.0</v>
      </c>
      <c r="D3040" s="27"/>
    </row>
    <row r="3041">
      <c r="A3041" s="28">
        <v>44778.0</v>
      </c>
      <c r="B3041" s="20" t="s">
        <v>366</v>
      </c>
      <c r="C3041" s="20">
        <v>12.0</v>
      </c>
      <c r="D3041" s="27"/>
      <c r="E3041" s="20" t="s">
        <v>1840</v>
      </c>
    </row>
    <row r="3042">
      <c r="A3042" s="28">
        <v>44779.0</v>
      </c>
      <c r="B3042" s="20" t="s">
        <v>1241</v>
      </c>
      <c r="C3042" s="20">
        <v>10.0</v>
      </c>
      <c r="D3042" s="27"/>
    </row>
    <row r="3043">
      <c r="A3043" s="28">
        <v>44779.0</v>
      </c>
      <c r="B3043" s="20" t="s">
        <v>1835</v>
      </c>
      <c r="C3043" s="20">
        <v>20.0</v>
      </c>
      <c r="D3043" s="27"/>
    </row>
    <row r="3044">
      <c r="A3044" s="26">
        <v>44779.71254327546</v>
      </c>
      <c r="B3044" s="20" t="s">
        <v>1713</v>
      </c>
      <c r="C3044" s="20">
        <v>7.0</v>
      </c>
      <c r="D3044" s="27"/>
    </row>
    <row r="3045">
      <c r="A3045" s="26">
        <v>44779.716206550926</v>
      </c>
      <c r="B3045" s="20" t="s">
        <v>1894</v>
      </c>
      <c r="C3045" s="20">
        <v>15.0</v>
      </c>
      <c r="D3045" s="27"/>
    </row>
    <row r="3046">
      <c r="A3046" s="26">
        <v>44779.71623877315</v>
      </c>
      <c r="B3046" s="20" t="s">
        <v>1895</v>
      </c>
      <c r="C3046" s="20">
        <v>20.0</v>
      </c>
      <c r="D3046" s="27"/>
    </row>
    <row r="3047">
      <c r="A3047" s="26">
        <v>44779.71829471065</v>
      </c>
      <c r="B3047" s="20" t="s">
        <v>795</v>
      </c>
      <c r="C3047" s="20">
        <v>16.0</v>
      </c>
      <c r="D3047" s="27"/>
    </row>
    <row r="3048">
      <c r="A3048" s="26">
        <v>44779.72244787037</v>
      </c>
      <c r="B3048" s="20" t="s">
        <v>1896</v>
      </c>
      <c r="C3048" s="20">
        <v>19.0</v>
      </c>
      <c r="D3048" s="27"/>
    </row>
    <row r="3049">
      <c r="A3049" s="28">
        <v>44779.0</v>
      </c>
      <c r="B3049" s="20" t="s">
        <v>1896</v>
      </c>
      <c r="C3049" s="20">
        <v>3.0</v>
      </c>
      <c r="D3049" s="27"/>
      <c r="E3049" s="20" t="s">
        <v>1842</v>
      </c>
    </row>
    <row r="3050">
      <c r="A3050" s="26">
        <v>44779.72325997685</v>
      </c>
      <c r="B3050" s="20" t="s">
        <v>614</v>
      </c>
      <c r="C3050" s="20">
        <v>20.0</v>
      </c>
      <c r="D3050" s="27"/>
    </row>
    <row r="3051">
      <c r="A3051" s="26">
        <v>44779.723453969906</v>
      </c>
      <c r="B3051" s="20" t="s">
        <v>614</v>
      </c>
      <c r="C3051" s="20">
        <v>5.0</v>
      </c>
      <c r="D3051" s="27"/>
      <c r="E3051" s="20" t="s">
        <v>1842</v>
      </c>
    </row>
    <row r="3052">
      <c r="A3052" s="26">
        <v>44779.73523210648</v>
      </c>
      <c r="B3052" s="20" t="s">
        <v>94</v>
      </c>
      <c r="C3052" s="20">
        <v>5.0</v>
      </c>
      <c r="D3052" s="27"/>
    </row>
    <row r="3053">
      <c r="A3053" s="26">
        <v>44779.87174567129</v>
      </c>
      <c r="B3053" s="20" t="s">
        <v>1897</v>
      </c>
      <c r="C3053" s="20">
        <v>17.0</v>
      </c>
      <c r="D3053" s="27"/>
    </row>
    <row r="3054">
      <c r="A3054" s="28">
        <v>44779.0</v>
      </c>
      <c r="B3054" s="20" t="s">
        <v>1897</v>
      </c>
      <c r="C3054" s="20">
        <v>3.0</v>
      </c>
      <c r="D3054" s="27"/>
      <c r="E3054" s="20" t="s">
        <v>1842</v>
      </c>
    </row>
    <row r="3055">
      <c r="A3055" s="28">
        <v>44780.0</v>
      </c>
      <c r="B3055" s="20" t="s">
        <v>1137</v>
      </c>
      <c r="C3055" s="20">
        <v>19.0</v>
      </c>
      <c r="D3055" s="27"/>
    </row>
    <row r="3056">
      <c r="A3056" s="28">
        <v>44780.0</v>
      </c>
      <c r="B3056" s="20" t="s">
        <v>1137</v>
      </c>
      <c r="C3056" s="20">
        <v>58.0</v>
      </c>
      <c r="D3056" s="27"/>
      <c r="E3056" s="20" t="s">
        <v>1842</v>
      </c>
    </row>
    <row r="3057">
      <c r="A3057" s="26">
        <v>44780.66828806713</v>
      </c>
      <c r="B3057" s="20" t="s">
        <v>1107</v>
      </c>
      <c r="C3057" s="20">
        <v>19.8</v>
      </c>
      <c r="D3057" s="27"/>
    </row>
    <row r="3058">
      <c r="A3058" s="26">
        <v>44780.66882197917</v>
      </c>
      <c r="B3058" s="20" t="s">
        <v>1898</v>
      </c>
      <c r="C3058" s="20">
        <v>19.3</v>
      </c>
      <c r="D3058" s="27"/>
    </row>
    <row r="3059">
      <c r="A3059" s="26">
        <v>44780.67472028935</v>
      </c>
      <c r="B3059" s="20" t="s">
        <v>1899</v>
      </c>
      <c r="C3059" s="20">
        <v>14.8</v>
      </c>
      <c r="D3059" s="27"/>
    </row>
    <row r="3060">
      <c r="A3060" s="26">
        <v>44780.67504259259</v>
      </c>
      <c r="B3060" s="20" t="s">
        <v>1900</v>
      </c>
      <c r="C3060" s="20">
        <v>15.3</v>
      </c>
      <c r="D3060" s="27"/>
    </row>
    <row r="3061">
      <c r="A3061" s="26">
        <v>44780.68554813658</v>
      </c>
      <c r="B3061" s="20" t="s">
        <v>1182</v>
      </c>
      <c r="C3061" s="20">
        <v>20.0</v>
      </c>
      <c r="D3061" s="27"/>
    </row>
    <row r="3062">
      <c r="A3062" s="26">
        <v>44780.69975623843</v>
      </c>
      <c r="B3062" s="20" t="s">
        <v>596</v>
      </c>
      <c r="C3062" s="20">
        <v>19.0</v>
      </c>
      <c r="D3062" s="27"/>
    </row>
    <row r="3063">
      <c r="A3063" s="26">
        <v>44780.7119169213</v>
      </c>
      <c r="B3063" s="20" t="s">
        <v>411</v>
      </c>
      <c r="C3063" s="20">
        <v>20.0</v>
      </c>
      <c r="D3063" s="27"/>
    </row>
    <row r="3064">
      <c r="A3064" s="26">
        <v>44780.92136032408</v>
      </c>
      <c r="B3064" s="20" t="s">
        <v>193</v>
      </c>
      <c r="C3064" s="20" t="s">
        <v>1185</v>
      </c>
      <c r="D3064" s="27"/>
    </row>
    <row r="3065">
      <c r="A3065" s="26">
        <v>44780.92153262731</v>
      </c>
      <c r="B3065" s="20" t="s">
        <v>193</v>
      </c>
      <c r="C3065" s="20" t="s">
        <v>1901</v>
      </c>
      <c r="D3065" s="27"/>
    </row>
    <row r="3066">
      <c r="A3066" s="26">
        <v>44780.921697384256</v>
      </c>
      <c r="B3066" s="20" t="s">
        <v>193</v>
      </c>
      <c r="C3066" s="20">
        <v>18.0</v>
      </c>
      <c r="D3066" s="27"/>
    </row>
    <row r="3067">
      <c r="A3067" s="28">
        <v>44783.0</v>
      </c>
      <c r="B3067" s="20" t="s">
        <v>1760</v>
      </c>
      <c r="C3067" s="20">
        <v>20.0</v>
      </c>
      <c r="D3067" s="27"/>
    </row>
    <row r="3068">
      <c r="A3068" s="28">
        <v>44783.0</v>
      </c>
      <c r="B3068" s="20" t="s">
        <v>1628</v>
      </c>
      <c r="C3068" s="20">
        <v>20.0</v>
      </c>
      <c r="D3068" s="27"/>
    </row>
    <row r="3069">
      <c r="A3069" s="28">
        <v>44783.0</v>
      </c>
      <c r="B3069" s="20" t="s">
        <v>1628</v>
      </c>
      <c r="C3069" s="20">
        <v>6.0</v>
      </c>
      <c r="D3069" s="27"/>
      <c r="E3069" s="20" t="s">
        <v>1840</v>
      </c>
    </row>
    <row r="3070">
      <c r="A3070" s="28">
        <v>44783.0</v>
      </c>
      <c r="B3070" s="20" t="s">
        <v>1786</v>
      </c>
      <c r="C3070" s="20">
        <v>16.0</v>
      </c>
      <c r="D3070" s="27"/>
      <c r="E3070" s="20" t="s">
        <v>1840</v>
      </c>
    </row>
    <row r="3071">
      <c r="A3071" s="28">
        <v>44783.0</v>
      </c>
      <c r="B3071" s="20" t="s">
        <v>1857</v>
      </c>
      <c r="C3071" s="20">
        <v>19.0</v>
      </c>
      <c r="D3071" s="27"/>
    </row>
    <row r="3072">
      <c r="A3072" s="28">
        <v>44783.0</v>
      </c>
      <c r="B3072" s="20" t="s">
        <v>1847</v>
      </c>
      <c r="C3072" s="20">
        <v>20.0</v>
      </c>
      <c r="D3072" s="27"/>
    </row>
    <row r="3073">
      <c r="A3073" s="28">
        <v>44783.0</v>
      </c>
      <c r="B3073" s="20" t="s">
        <v>1847</v>
      </c>
      <c r="C3073" s="20">
        <v>56.0</v>
      </c>
      <c r="D3073" s="27"/>
      <c r="E3073" s="20" t="s">
        <v>1842</v>
      </c>
    </row>
    <row r="3074">
      <c r="A3074" s="28">
        <v>44783.0</v>
      </c>
      <c r="B3074" s="20" t="s">
        <v>1137</v>
      </c>
      <c r="C3074" s="20">
        <v>20.0</v>
      </c>
      <c r="D3074" s="27"/>
    </row>
    <row r="3075">
      <c r="A3075" s="28">
        <v>44783.0</v>
      </c>
      <c r="B3075" s="20" t="s">
        <v>1137</v>
      </c>
      <c r="C3075" s="20">
        <v>45.0</v>
      </c>
      <c r="D3075" s="27"/>
      <c r="E3075" s="20" t="s">
        <v>1840</v>
      </c>
    </row>
    <row r="3076">
      <c r="A3076" s="26">
        <v>44783.57415128472</v>
      </c>
      <c r="B3076" s="20" t="s">
        <v>1902</v>
      </c>
      <c r="C3076" s="20">
        <v>25.0</v>
      </c>
      <c r="D3076" s="27"/>
    </row>
    <row r="3077">
      <c r="A3077" s="26">
        <v>44783.705770636574</v>
      </c>
      <c r="B3077" s="20" t="s">
        <v>1884</v>
      </c>
      <c r="C3077" s="20">
        <v>20.0</v>
      </c>
      <c r="D3077" s="27"/>
    </row>
    <row r="3078">
      <c r="A3078" s="26">
        <v>44783.73619738426</v>
      </c>
      <c r="B3078" s="20" t="s">
        <v>177</v>
      </c>
      <c r="C3078" s="20">
        <v>17.0</v>
      </c>
      <c r="D3078" s="27"/>
    </row>
    <row r="3079">
      <c r="A3079" s="26">
        <v>44783.736371770836</v>
      </c>
      <c r="B3079" s="20" t="s">
        <v>177</v>
      </c>
      <c r="C3079" s="20">
        <v>24.0</v>
      </c>
      <c r="D3079" s="27"/>
      <c r="E3079" s="20" t="s">
        <v>1840</v>
      </c>
    </row>
    <row r="3080">
      <c r="A3080" s="26">
        <v>44784.696412453704</v>
      </c>
      <c r="B3080" s="20" t="s">
        <v>1107</v>
      </c>
      <c r="C3080" s="20">
        <v>20.0</v>
      </c>
      <c r="D3080" s="27"/>
    </row>
    <row r="3081">
      <c r="A3081" s="26">
        <v>44784.697981053236</v>
      </c>
      <c r="B3081" s="20" t="s">
        <v>1903</v>
      </c>
      <c r="C3081" s="20">
        <v>16.0</v>
      </c>
      <c r="D3081" s="27"/>
      <c r="E3081" s="20" t="s">
        <v>1840</v>
      </c>
    </row>
    <row r="3082">
      <c r="A3082" s="26">
        <v>44784.71009309028</v>
      </c>
      <c r="B3082" s="20" t="s">
        <v>326</v>
      </c>
      <c r="C3082" s="20">
        <v>16.0</v>
      </c>
      <c r="D3082" s="27"/>
    </row>
    <row r="3083">
      <c r="A3083" s="28">
        <v>44784.0</v>
      </c>
      <c r="B3083" s="20" t="s">
        <v>1241</v>
      </c>
      <c r="C3083" s="20">
        <v>18.0</v>
      </c>
      <c r="D3083" s="27"/>
    </row>
    <row r="3084">
      <c r="A3084" s="28">
        <v>44784.0</v>
      </c>
      <c r="B3084" s="20" t="s">
        <v>1001</v>
      </c>
      <c r="C3084" s="20">
        <v>20.0</v>
      </c>
      <c r="D3084" s="27"/>
    </row>
    <row r="3085">
      <c r="A3085" s="28">
        <v>44784.0</v>
      </c>
      <c r="B3085" s="20" t="s">
        <v>1001</v>
      </c>
      <c r="C3085" s="20">
        <v>22.0</v>
      </c>
      <c r="D3085" s="27"/>
      <c r="E3085" s="20" t="s">
        <v>1840</v>
      </c>
    </row>
    <row r="3086">
      <c r="A3086" s="28">
        <v>44784.0</v>
      </c>
      <c r="B3086" s="20" t="s">
        <v>618</v>
      </c>
      <c r="C3086" s="20">
        <v>19.0</v>
      </c>
      <c r="D3086" s="27"/>
    </row>
    <row r="3087">
      <c r="A3087" s="28">
        <v>44784.0</v>
      </c>
      <c r="B3087" s="20" t="s">
        <v>618</v>
      </c>
      <c r="C3087" s="20">
        <v>1.0</v>
      </c>
      <c r="D3087" s="27"/>
      <c r="E3087" s="20" t="s">
        <v>1840</v>
      </c>
    </row>
    <row r="3088">
      <c r="A3088" s="28">
        <v>44784.0</v>
      </c>
      <c r="B3088" s="20" t="s">
        <v>1904</v>
      </c>
      <c r="C3088" s="20">
        <v>20.0</v>
      </c>
      <c r="D3088" s="27"/>
    </row>
    <row r="3089">
      <c r="A3089" s="28">
        <v>44784.0</v>
      </c>
      <c r="B3089" s="20" t="s">
        <v>1904</v>
      </c>
      <c r="C3089" s="20">
        <v>2.0</v>
      </c>
      <c r="D3089" s="27"/>
      <c r="E3089" s="20" t="s">
        <v>1840</v>
      </c>
    </row>
    <row r="3090">
      <c r="A3090" s="28">
        <v>44784.0</v>
      </c>
      <c r="B3090" s="20" t="s">
        <v>1847</v>
      </c>
      <c r="C3090" s="20">
        <v>20.0</v>
      </c>
      <c r="D3090" s="27"/>
    </row>
    <row r="3091">
      <c r="A3091" s="28">
        <v>44784.0</v>
      </c>
      <c r="B3091" s="20" t="s">
        <v>1847</v>
      </c>
      <c r="C3091" s="20">
        <v>20.0</v>
      </c>
      <c r="D3091" s="27"/>
      <c r="E3091" s="20" t="s">
        <v>1840</v>
      </c>
    </row>
    <row r="3092">
      <c r="A3092" s="28">
        <v>44785.0</v>
      </c>
      <c r="B3092" s="20" t="s">
        <v>1786</v>
      </c>
      <c r="C3092" s="20">
        <v>13.0</v>
      </c>
      <c r="D3092" s="27"/>
    </row>
    <row r="3093">
      <c r="A3093" s="28">
        <v>44785.0</v>
      </c>
      <c r="B3093" s="20" t="s">
        <v>1786</v>
      </c>
      <c r="C3093" s="20">
        <v>8.0</v>
      </c>
      <c r="D3093" s="27"/>
      <c r="E3093" s="20" t="s">
        <v>1840</v>
      </c>
    </row>
    <row r="3094">
      <c r="A3094" s="28">
        <v>44785.0</v>
      </c>
      <c r="B3094" s="20" t="s">
        <v>1847</v>
      </c>
      <c r="C3094" s="20">
        <v>20.0</v>
      </c>
      <c r="D3094" s="27"/>
    </row>
    <row r="3095">
      <c r="A3095" s="28">
        <v>44785.0</v>
      </c>
      <c r="B3095" s="20" t="s">
        <v>1847</v>
      </c>
      <c r="C3095" s="20">
        <v>35.0</v>
      </c>
      <c r="D3095" s="27"/>
      <c r="E3095" s="20" t="s">
        <v>1840</v>
      </c>
    </row>
    <row r="3096">
      <c r="A3096" s="28">
        <v>44785.0</v>
      </c>
      <c r="B3096" s="20" t="s">
        <v>1841</v>
      </c>
      <c r="C3096" s="20">
        <v>20.0</v>
      </c>
      <c r="D3096" s="27"/>
    </row>
    <row r="3097">
      <c r="A3097" s="28">
        <v>44785.0</v>
      </c>
      <c r="B3097" s="20" t="s">
        <v>1841</v>
      </c>
      <c r="C3097" s="20">
        <v>26.0</v>
      </c>
      <c r="D3097" s="27"/>
      <c r="E3097" s="20" t="s">
        <v>1840</v>
      </c>
    </row>
    <row r="3098">
      <c r="A3098" s="26">
        <v>44785.70463865741</v>
      </c>
      <c r="B3098" s="20" t="s">
        <v>576</v>
      </c>
      <c r="C3098" s="20">
        <v>8.0</v>
      </c>
      <c r="D3098" s="27"/>
    </row>
    <row r="3099">
      <c r="A3099" s="26">
        <v>44785.70700334491</v>
      </c>
      <c r="B3099" s="20" t="s">
        <v>344</v>
      </c>
      <c r="C3099" s="20">
        <v>20.0</v>
      </c>
      <c r="D3099" s="27"/>
    </row>
    <row r="3100">
      <c r="A3100" s="26">
        <v>44785.7071371412</v>
      </c>
      <c r="B3100" s="20" t="s">
        <v>344</v>
      </c>
      <c r="C3100" s="20">
        <v>25.0</v>
      </c>
      <c r="D3100" s="27"/>
      <c r="E3100" s="20" t="s">
        <v>1840</v>
      </c>
    </row>
    <row r="3101">
      <c r="A3101" s="26">
        <v>44785.71514706018</v>
      </c>
      <c r="B3101" s="20" t="s">
        <v>163</v>
      </c>
      <c r="C3101" s="20">
        <v>14.0</v>
      </c>
      <c r="D3101" s="27"/>
      <c r="E3101" s="20" t="s">
        <v>1840</v>
      </c>
    </row>
    <row r="3102">
      <c r="A3102" s="26">
        <v>44785.71546681713</v>
      </c>
      <c r="B3102" s="20" t="s">
        <v>163</v>
      </c>
      <c r="C3102" s="20">
        <v>43.0</v>
      </c>
      <c r="D3102" s="27"/>
    </row>
    <row r="3103">
      <c r="A3103" s="28">
        <v>44786.0</v>
      </c>
      <c r="B3103" s="20" t="s">
        <v>1241</v>
      </c>
      <c r="C3103" s="20">
        <v>15.0</v>
      </c>
      <c r="D3103" s="27"/>
    </row>
    <row r="3104">
      <c r="A3104" s="28">
        <v>44786.0</v>
      </c>
      <c r="B3104" s="20" t="s">
        <v>1905</v>
      </c>
      <c r="C3104" s="20">
        <v>8.0</v>
      </c>
      <c r="D3104" s="27"/>
    </row>
    <row r="3105">
      <c r="A3105" s="28">
        <v>44786.0</v>
      </c>
      <c r="B3105" s="20" t="s">
        <v>1834</v>
      </c>
      <c r="C3105" s="20">
        <v>20.0</v>
      </c>
      <c r="D3105" s="27"/>
    </row>
    <row r="3106">
      <c r="A3106" s="28">
        <v>44786.0</v>
      </c>
      <c r="B3106" s="20" t="s">
        <v>1834</v>
      </c>
      <c r="C3106" s="20">
        <v>1.0</v>
      </c>
      <c r="D3106" s="27"/>
      <c r="E3106" s="20" t="s">
        <v>1840</v>
      </c>
    </row>
    <row r="3107">
      <c r="A3107" s="28">
        <v>44786.0</v>
      </c>
      <c r="B3107" s="20" t="s">
        <v>1786</v>
      </c>
      <c r="C3107" s="20">
        <v>8.0</v>
      </c>
      <c r="D3107" s="27"/>
    </row>
    <row r="3108">
      <c r="A3108" s="28">
        <v>44786.0</v>
      </c>
      <c r="B3108" s="20" t="s">
        <v>1835</v>
      </c>
      <c r="C3108" s="20">
        <v>20.0</v>
      </c>
      <c r="D3108" s="27"/>
    </row>
    <row r="3109">
      <c r="A3109" s="28">
        <v>44786.0</v>
      </c>
      <c r="B3109" s="20" t="s">
        <v>1835</v>
      </c>
      <c r="C3109" s="20">
        <v>3.0</v>
      </c>
      <c r="D3109" s="27"/>
      <c r="E3109" s="20" t="s">
        <v>1840</v>
      </c>
    </row>
    <row r="3110">
      <c r="A3110" s="28">
        <v>44786.0</v>
      </c>
      <c r="B3110" s="20" t="s">
        <v>1906</v>
      </c>
      <c r="C3110" s="20">
        <v>8.0</v>
      </c>
      <c r="D3110" s="27"/>
    </row>
    <row r="3111">
      <c r="A3111" s="28">
        <v>44786.0</v>
      </c>
      <c r="B3111" s="20" t="s">
        <v>1906</v>
      </c>
      <c r="C3111" s="20">
        <v>2.0</v>
      </c>
      <c r="D3111" s="27"/>
      <c r="E3111" s="20" t="s">
        <v>1840</v>
      </c>
    </row>
    <row r="3112">
      <c r="A3112" s="28">
        <v>44786.0</v>
      </c>
      <c r="B3112" s="20" t="s">
        <v>1841</v>
      </c>
      <c r="C3112" s="20">
        <v>2.0</v>
      </c>
      <c r="D3112" s="27"/>
    </row>
    <row r="3113">
      <c r="A3113" s="26">
        <v>44786.68381847222</v>
      </c>
      <c r="B3113" s="20" t="s">
        <v>1667</v>
      </c>
      <c r="C3113" s="20">
        <v>19.0</v>
      </c>
      <c r="D3113" s="27"/>
    </row>
    <row r="3114">
      <c r="A3114" s="26">
        <v>44786.686736793985</v>
      </c>
      <c r="B3114" s="20" t="s">
        <v>1633</v>
      </c>
      <c r="C3114" s="20">
        <v>13.0</v>
      </c>
      <c r="D3114" s="27"/>
    </row>
    <row r="3115">
      <c r="A3115" s="26">
        <v>44786.68724244213</v>
      </c>
      <c r="B3115" s="20" t="s">
        <v>614</v>
      </c>
      <c r="C3115" s="20">
        <v>20.0</v>
      </c>
      <c r="D3115" s="27"/>
    </row>
    <row r="3116">
      <c r="A3116" s="26">
        <v>44786.68743071759</v>
      </c>
      <c r="B3116" s="20" t="s">
        <v>614</v>
      </c>
      <c r="C3116" s="20">
        <v>3.0</v>
      </c>
      <c r="D3116" s="27"/>
      <c r="E3116" s="20" t="s">
        <v>1842</v>
      </c>
    </row>
    <row r="3117">
      <c r="A3117" s="26">
        <v>44786.68763760416</v>
      </c>
      <c r="B3117" s="20" t="s">
        <v>91</v>
      </c>
      <c r="C3117" s="20">
        <v>11.0</v>
      </c>
      <c r="D3117" s="27"/>
    </row>
    <row r="3118">
      <c r="A3118" s="26">
        <v>44786.690095162034</v>
      </c>
      <c r="B3118" s="20" t="s">
        <v>1907</v>
      </c>
      <c r="C3118" s="20">
        <v>20.0</v>
      </c>
      <c r="D3118" s="27"/>
    </row>
    <row r="3119">
      <c r="A3119" s="28">
        <v>44786.0</v>
      </c>
      <c r="B3119" s="20" t="s">
        <v>1908</v>
      </c>
      <c r="C3119" s="20">
        <v>2.0</v>
      </c>
      <c r="D3119" s="27"/>
      <c r="E3119" s="20" t="s">
        <v>1840</v>
      </c>
    </row>
    <row r="3120">
      <c r="A3120" s="26">
        <v>44786.69075863426</v>
      </c>
      <c r="B3120" s="20" t="s">
        <v>1909</v>
      </c>
      <c r="C3120" s="20">
        <v>20.0</v>
      </c>
      <c r="D3120" s="27"/>
    </row>
    <row r="3121">
      <c r="A3121" s="26">
        <v>44786.69124986111</v>
      </c>
      <c r="B3121" s="20" t="s">
        <v>1909</v>
      </c>
      <c r="C3121" s="20">
        <v>2.0</v>
      </c>
      <c r="D3121" s="27"/>
      <c r="E3121" s="20" t="s">
        <v>1842</v>
      </c>
    </row>
    <row r="3122">
      <c r="A3122" s="26">
        <v>44786.699993692135</v>
      </c>
      <c r="B3122" s="20" t="s">
        <v>614</v>
      </c>
      <c r="C3122" s="20" t="s">
        <v>1910</v>
      </c>
      <c r="D3122" s="27"/>
    </row>
    <row r="3123">
      <c r="A3123" s="28">
        <v>44786.0</v>
      </c>
      <c r="B3123" s="20" t="s">
        <v>300</v>
      </c>
      <c r="C3123" s="20">
        <v>10.0</v>
      </c>
      <c r="D3123" s="27"/>
      <c r="E3123" s="20" t="s">
        <v>1842</v>
      </c>
    </row>
    <row r="3124">
      <c r="A3124" s="26">
        <v>44786.70228979166</v>
      </c>
      <c r="B3124" s="20" t="s">
        <v>300</v>
      </c>
      <c r="C3124" s="20">
        <v>19.0</v>
      </c>
      <c r="D3124" s="27"/>
    </row>
    <row r="3125">
      <c r="A3125" s="26">
        <v>44787.65883493055</v>
      </c>
      <c r="B3125" s="20" t="s">
        <v>1713</v>
      </c>
      <c r="C3125" s="20">
        <v>8.0</v>
      </c>
      <c r="D3125" s="27"/>
    </row>
    <row r="3126">
      <c r="A3126" s="26">
        <v>44787.666035393515</v>
      </c>
      <c r="B3126" s="20" t="s">
        <v>1827</v>
      </c>
      <c r="C3126" s="20">
        <v>20.0</v>
      </c>
      <c r="D3126" s="27"/>
    </row>
    <row r="3127">
      <c r="A3127" s="26">
        <v>44787.67020658565</v>
      </c>
      <c r="B3127" s="20" t="s">
        <v>1798</v>
      </c>
      <c r="C3127" s="20">
        <v>20.0</v>
      </c>
      <c r="D3127" s="27"/>
    </row>
    <row r="3128">
      <c r="A3128" s="26">
        <v>44787.69312077547</v>
      </c>
      <c r="B3128" s="20" t="s">
        <v>1827</v>
      </c>
      <c r="C3128" s="20">
        <v>0.5</v>
      </c>
      <c r="D3128" s="27"/>
    </row>
    <row r="3129">
      <c r="A3129" s="26">
        <v>44787.69848902778</v>
      </c>
      <c r="B3129" s="20" t="s">
        <v>1182</v>
      </c>
      <c r="C3129" s="20">
        <v>9.0</v>
      </c>
      <c r="D3129" s="27"/>
    </row>
    <row r="3130">
      <c r="A3130" s="26">
        <v>44787.698916504625</v>
      </c>
      <c r="B3130" s="20" t="s">
        <v>1911</v>
      </c>
      <c r="C3130" s="20">
        <v>20.0</v>
      </c>
      <c r="D3130" s="27"/>
    </row>
    <row r="3131">
      <c r="A3131" s="26">
        <v>44787.70159653935</v>
      </c>
      <c r="B3131" s="20" t="s">
        <v>596</v>
      </c>
      <c r="C3131" s="20">
        <v>19.0</v>
      </c>
      <c r="D3131" s="27"/>
    </row>
    <row r="3132">
      <c r="A3132" s="28">
        <v>44787.0</v>
      </c>
      <c r="B3132" s="20" t="s">
        <v>1912</v>
      </c>
      <c r="C3132" s="20">
        <v>20.0</v>
      </c>
      <c r="D3132" s="27"/>
    </row>
    <row r="3133">
      <c r="A3133" s="28">
        <v>44787.0</v>
      </c>
      <c r="B3133" s="20" t="s">
        <v>980</v>
      </c>
      <c r="C3133" s="20">
        <v>16.0</v>
      </c>
      <c r="D3133" s="27"/>
    </row>
    <row r="3134">
      <c r="A3134" s="28">
        <v>44787.0</v>
      </c>
      <c r="B3134" s="20" t="s">
        <v>980</v>
      </c>
      <c r="C3134" s="20">
        <v>9.0</v>
      </c>
      <c r="D3134" s="27"/>
      <c r="E3134" s="20" t="s">
        <v>1840</v>
      </c>
    </row>
    <row r="3135">
      <c r="A3135" s="28">
        <v>44787.0</v>
      </c>
      <c r="B3135" s="20" t="s">
        <v>1913</v>
      </c>
      <c r="C3135" s="20">
        <v>20.0</v>
      </c>
      <c r="D3135" s="27"/>
    </row>
    <row r="3136">
      <c r="A3136" s="28">
        <v>44789.0</v>
      </c>
      <c r="B3136" s="20" t="s">
        <v>1798</v>
      </c>
      <c r="C3136" s="20">
        <v>20.0</v>
      </c>
      <c r="D3136" s="27"/>
    </row>
    <row r="3137">
      <c r="A3137" s="28">
        <v>44789.0</v>
      </c>
      <c r="B3137" s="20" t="s">
        <v>1798</v>
      </c>
      <c r="C3137" s="20">
        <v>4.0</v>
      </c>
      <c r="D3137" s="27"/>
      <c r="E3137" s="20" t="s">
        <v>1840</v>
      </c>
    </row>
    <row r="3138">
      <c r="A3138" s="26">
        <v>44789.7034950463</v>
      </c>
      <c r="B3138" s="20" t="s">
        <v>1905</v>
      </c>
      <c r="C3138" s="20">
        <v>19.0</v>
      </c>
      <c r="D3138" s="27"/>
    </row>
    <row r="3139">
      <c r="A3139" s="28">
        <v>44790.0</v>
      </c>
      <c r="B3139" s="20" t="s">
        <v>366</v>
      </c>
      <c r="C3139" s="20">
        <v>18.0</v>
      </c>
      <c r="D3139" s="27"/>
    </row>
    <row r="3140">
      <c r="A3140" s="28">
        <v>44790.0</v>
      </c>
      <c r="B3140" s="20" t="s">
        <v>366</v>
      </c>
      <c r="C3140" s="20">
        <v>12.0</v>
      </c>
      <c r="D3140" s="27"/>
      <c r="E3140" s="20" t="s">
        <v>1840</v>
      </c>
    </row>
    <row r="3141">
      <c r="A3141" s="28">
        <v>44790.0</v>
      </c>
      <c r="B3141" s="20" t="s">
        <v>1835</v>
      </c>
      <c r="C3141" s="20">
        <v>20.0</v>
      </c>
      <c r="D3141" s="27"/>
    </row>
    <row r="3142">
      <c r="A3142" s="28">
        <v>44790.0</v>
      </c>
      <c r="B3142" s="20" t="s">
        <v>1835</v>
      </c>
      <c r="C3142" s="20">
        <v>1.0</v>
      </c>
      <c r="D3142" s="27"/>
      <c r="E3142" s="20" t="s">
        <v>1840</v>
      </c>
    </row>
    <row r="3143">
      <c r="A3143" s="28">
        <v>44790.0</v>
      </c>
      <c r="B3143" s="20" t="s">
        <v>1889</v>
      </c>
      <c r="C3143" s="20">
        <v>20.0</v>
      </c>
      <c r="D3143" s="27"/>
    </row>
    <row r="3144">
      <c r="A3144" s="28">
        <v>44790.0</v>
      </c>
      <c r="B3144" s="20" t="s">
        <v>1914</v>
      </c>
      <c r="C3144" s="20">
        <v>20.0</v>
      </c>
      <c r="D3144" s="27"/>
    </row>
    <row r="3145">
      <c r="A3145" s="28">
        <v>44790.0</v>
      </c>
      <c r="B3145" s="20" t="s">
        <v>1803</v>
      </c>
      <c r="C3145" s="20">
        <v>18.0</v>
      </c>
      <c r="D3145" s="27"/>
    </row>
    <row r="3146">
      <c r="A3146" s="28">
        <v>44790.0</v>
      </c>
      <c r="B3146" s="20" t="s">
        <v>1890</v>
      </c>
      <c r="C3146" s="20">
        <v>20.0</v>
      </c>
      <c r="D3146" s="27"/>
    </row>
    <row r="3147">
      <c r="A3147" s="28">
        <v>44790.0</v>
      </c>
      <c r="B3147" s="20" t="s">
        <v>1890</v>
      </c>
      <c r="C3147" s="20">
        <v>14.0</v>
      </c>
      <c r="D3147" s="27"/>
    </row>
    <row r="3148">
      <c r="A3148" s="28">
        <v>44790.0</v>
      </c>
      <c r="B3148" s="20" t="s">
        <v>1871</v>
      </c>
      <c r="C3148" s="20">
        <v>20.0</v>
      </c>
      <c r="D3148" s="27"/>
    </row>
    <row r="3149">
      <c r="A3149" s="28">
        <v>44790.0</v>
      </c>
      <c r="B3149" s="20" t="s">
        <v>1871</v>
      </c>
      <c r="C3149" s="20">
        <v>8.0</v>
      </c>
      <c r="D3149" s="27"/>
      <c r="E3149" s="20" t="s">
        <v>1840</v>
      </c>
    </row>
    <row r="3150">
      <c r="A3150" s="28">
        <v>44790.0</v>
      </c>
      <c r="B3150" s="20" t="s">
        <v>1888</v>
      </c>
      <c r="C3150" s="20">
        <v>20.0</v>
      </c>
      <c r="D3150" s="27"/>
    </row>
    <row r="3151">
      <c r="A3151" s="28">
        <v>44790.0</v>
      </c>
      <c r="B3151" s="20" t="s">
        <v>1915</v>
      </c>
      <c r="C3151" s="20">
        <v>20.0</v>
      </c>
      <c r="D3151" s="27"/>
    </row>
    <row r="3152">
      <c r="A3152" s="28">
        <v>44790.0</v>
      </c>
      <c r="B3152" s="20" t="s">
        <v>1915</v>
      </c>
      <c r="C3152" s="20">
        <v>4.0</v>
      </c>
      <c r="D3152" s="27"/>
      <c r="E3152" s="20" t="s">
        <v>1840</v>
      </c>
    </row>
    <row r="3153">
      <c r="A3153" s="26">
        <v>44790.35598476852</v>
      </c>
      <c r="B3153" s="20" t="s">
        <v>614</v>
      </c>
      <c r="C3153" s="20">
        <v>20.0</v>
      </c>
      <c r="D3153" s="27"/>
    </row>
    <row r="3154">
      <c r="A3154" s="26">
        <v>44790.590957928245</v>
      </c>
      <c r="B3154" s="20" t="s">
        <v>1916</v>
      </c>
      <c r="C3154" s="20">
        <v>18.0</v>
      </c>
      <c r="D3154" s="27"/>
    </row>
    <row r="3155">
      <c r="A3155" s="26">
        <v>44790.5911141088</v>
      </c>
      <c r="B3155" s="20" t="s">
        <v>1823</v>
      </c>
      <c r="C3155" s="20">
        <v>6.0</v>
      </c>
      <c r="D3155" s="27"/>
    </row>
    <row r="3156">
      <c r="A3156" s="26">
        <v>44790.69626677083</v>
      </c>
      <c r="B3156" s="20" t="s">
        <v>110</v>
      </c>
      <c r="C3156" s="20">
        <v>127.0</v>
      </c>
      <c r="D3156" s="27"/>
    </row>
    <row r="3157">
      <c r="A3157" s="26">
        <v>44790.85091918982</v>
      </c>
      <c r="B3157" s="20" t="s">
        <v>1551</v>
      </c>
      <c r="C3157" s="20">
        <v>20.0</v>
      </c>
      <c r="D3157" s="27"/>
    </row>
    <row r="3158">
      <c r="A3158" s="28">
        <v>44790.0</v>
      </c>
      <c r="B3158" s="20" t="s">
        <v>1873</v>
      </c>
      <c r="C3158" s="20">
        <v>1.0</v>
      </c>
      <c r="D3158" s="27"/>
      <c r="E3158" s="20" t="s">
        <v>1840</v>
      </c>
    </row>
    <row r="3159">
      <c r="A3159" s="26">
        <v>44790.85144900463</v>
      </c>
      <c r="B3159" s="20" t="s">
        <v>1873</v>
      </c>
      <c r="C3159" s="20">
        <v>20.0</v>
      </c>
      <c r="D3159" s="27"/>
    </row>
    <row r="3160">
      <c r="A3160" s="28">
        <v>44791.0</v>
      </c>
      <c r="B3160" s="20" t="s">
        <v>1241</v>
      </c>
      <c r="C3160" s="20">
        <v>17.0</v>
      </c>
      <c r="D3160" s="27"/>
    </row>
    <row r="3161">
      <c r="A3161" s="28">
        <v>44791.0</v>
      </c>
      <c r="B3161" s="20" t="s">
        <v>618</v>
      </c>
      <c r="C3161" s="20">
        <v>18.0</v>
      </c>
      <c r="D3161" s="27"/>
    </row>
    <row r="3162">
      <c r="A3162" s="28">
        <v>44791.0</v>
      </c>
      <c r="B3162" s="20" t="s">
        <v>618</v>
      </c>
      <c r="C3162" s="20">
        <v>9.0</v>
      </c>
      <c r="D3162" s="27"/>
      <c r="E3162" s="20" t="s">
        <v>1840</v>
      </c>
    </row>
    <row r="3163">
      <c r="A3163" s="26">
        <v>44791.69593472222</v>
      </c>
      <c r="B3163" s="20" t="s">
        <v>886</v>
      </c>
      <c r="C3163" s="20">
        <v>24.0</v>
      </c>
      <c r="D3163" s="27"/>
    </row>
    <row r="3164">
      <c r="A3164" s="26">
        <v>44791.70168106482</v>
      </c>
      <c r="B3164" s="20" t="s">
        <v>163</v>
      </c>
      <c r="C3164" s="20">
        <v>48.0</v>
      </c>
      <c r="D3164" s="27"/>
    </row>
    <row r="3165">
      <c r="A3165" s="26">
        <v>44791.70571328704</v>
      </c>
      <c r="B3165" s="20" t="s">
        <v>163</v>
      </c>
      <c r="C3165" s="20">
        <v>27.0</v>
      </c>
      <c r="D3165" s="27"/>
    </row>
    <row r="3166">
      <c r="A3166" s="26">
        <v>44791.706676851856</v>
      </c>
      <c r="B3166" s="20" t="s">
        <v>1917</v>
      </c>
      <c r="C3166" s="20">
        <v>24.0</v>
      </c>
      <c r="D3166" s="27"/>
    </row>
    <row r="3167">
      <c r="A3167" s="26">
        <v>44791.817474745374</v>
      </c>
      <c r="B3167" s="20" t="s">
        <v>777</v>
      </c>
      <c r="C3167" s="20">
        <v>20.0</v>
      </c>
      <c r="D3167" s="27"/>
    </row>
    <row r="3168">
      <c r="A3168" s="28">
        <v>44791.0</v>
      </c>
      <c r="B3168" s="20" t="s">
        <v>896</v>
      </c>
      <c r="C3168" s="20">
        <v>3.0</v>
      </c>
      <c r="D3168" s="27"/>
      <c r="E3168" s="20" t="s">
        <v>1840</v>
      </c>
    </row>
    <row r="3169">
      <c r="A3169" s="26">
        <v>44791.81787648148</v>
      </c>
      <c r="B3169" s="20" t="s">
        <v>896</v>
      </c>
      <c r="C3169" s="20">
        <v>20.0</v>
      </c>
      <c r="D3169" s="27"/>
    </row>
    <row r="3170">
      <c r="A3170" s="28">
        <v>44792.0</v>
      </c>
      <c r="B3170" s="20" t="s">
        <v>366</v>
      </c>
      <c r="C3170" s="20">
        <v>9.0</v>
      </c>
      <c r="D3170" s="27"/>
      <c r="E3170" s="20" t="s">
        <v>1840</v>
      </c>
    </row>
    <row r="3171">
      <c r="A3171" s="28">
        <v>44792.0</v>
      </c>
      <c r="B3171" s="20" t="s">
        <v>1834</v>
      </c>
      <c r="C3171" s="20">
        <v>20.0</v>
      </c>
      <c r="D3171" s="27"/>
    </row>
    <row r="3172">
      <c r="A3172" s="28">
        <v>44792.0</v>
      </c>
      <c r="B3172" s="20" t="s">
        <v>1834</v>
      </c>
      <c r="C3172" s="20">
        <v>6.0</v>
      </c>
      <c r="D3172" s="27"/>
      <c r="E3172" s="20" t="s">
        <v>1918</v>
      </c>
    </row>
    <row r="3173">
      <c r="A3173" s="28">
        <v>44792.0</v>
      </c>
      <c r="B3173" s="20" t="s">
        <v>1835</v>
      </c>
      <c r="C3173" s="20">
        <v>20.0</v>
      </c>
      <c r="D3173" s="27"/>
    </row>
    <row r="3174">
      <c r="A3174" s="28">
        <v>44792.0</v>
      </c>
      <c r="B3174" s="20" t="s">
        <v>1835</v>
      </c>
      <c r="C3174" s="20">
        <v>1.0</v>
      </c>
      <c r="D3174" s="27"/>
      <c r="E3174" s="20" t="s">
        <v>1840</v>
      </c>
    </row>
    <row r="3175">
      <c r="A3175" s="26">
        <v>44792.68784726852</v>
      </c>
      <c r="B3175" s="20" t="s">
        <v>344</v>
      </c>
      <c r="C3175" s="20">
        <v>19.0</v>
      </c>
      <c r="D3175" s="27"/>
    </row>
    <row r="3176">
      <c r="A3176" s="26">
        <v>44792.687966006946</v>
      </c>
      <c r="B3176" s="20" t="s">
        <v>344</v>
      </c>
      <c r="C3176" s="20">
        <v>10.0</v>
      </c>
      <c r="D3176" s="27"/>
      <c r="E3176" s="20" t="s">
        <v>1840</v>
      </c>
    </row>
    <row r="3177">
      <c r="A3177" s="26">
        <v>44792.694267812505</v>
      </c>
      <c r="B3177" s="20" t="s">
        <v>576</v>
      </c>
      <c r="C3177" s="20">
        <v>4.0</v>
      </c>
      <c r="D3177" s="27"/>
    </row>
    <row r="3178">
      <c r="A3178" s="26">
        <v>44792.695796087966</v>
      </c>
      <c r="B3178" s="20" t="s">
        <v>163</v>
      </c>
      <c r="C3178" s="20">
        <v>56.0</v>
      </c>
      <c r="D3178" s="27"/>
    </row>
    <row r="3179">
      <c r="A3179" s="26">
        <v>44792.696360462964</v>
      </c>
      <c r="B3179" s="20" t="s">
        <v>163</v>
      </c>
      <c r="C3179" s="20">
        <v>13.0</v>
      </c>
      <c r="D3179" s="27"/>
    </row>
    <row r="3180">
      <c r="A3180" s="28">
        <v>44793.0</v>
      </c>
      <c r="B3180" s="20" t="s">
        <v>366</v>
      </c>
      <c r="C3180" s="20">
        <v>10.0</v>
      </c>
      <c r="D3180" s="27"/>
    </row>
    <row r="3181">
      <c r="A3181" s="28">
        <v>44793.0</v>
      </c>
      <c r="B3181" s="20" t="s">
        <v>1241</v>
      </c>
      <c r="C3181" s="20">
        <v>12.0</v>
      </c>
      <c r="D3181" s="27"/>
    </row>
    <row r="3182">
      <c r="A3182" s="28">
        <v>44793.0</v>
      </c>
      <c r="B3182" s="20" t="s">
        <v>1868</v>
      </c>
      <c r="C3182" s="20">
        <v>13.0</v>
      </c>
      <c r="D3182" s="27"/>
    </row>
    <row r="3183">
      <c r="A3183" s="28">
        <v>44793.0</v>
      </c>
      <c r="B3183" s="20" t="s">
        <v>912</v>
      </c>
      <c r="C3183" s="20">
        <v>18.0</v>
      </c>
      <c r="D3183" s="27"/>
    </row>
    <row r="3184">
      <c r="A3184" s="28">
        <v>44793.0</v>
      </c>
      <c r="B3184" s="20" t="s">
        <v>1913</v>
      </c>
      <c r="C3184" s="20">
        <v>15.0</v>
      </c>
      <c r="D3184" s="27"/>
    </row>
    <row r="3185">
      <c r="A3185" s="28">
        <v>44793.0</v>
      </c>
      <c r="B3185" s="20" t="s">
        <v>1913</v>
      </c>
      <c r="C3185" s="20">
        <v>3.0</v>
      </c>
      <c r="D3185" s="27"/>
      <c r="E3185" s="20" t="s">
        <v>1840</v>
      </c>
    </row>
    <row r="3186">
      <c r="A3186" s="26">
        <v>44793.7205095949</v>
      </c>
      <c r="B3186" s="20" t="s">
        <v>1919</v>
      </c>
      <c r="C3186" s="20">
        <v>20.0</v>
      </c>
      <c r="D3186" s="27"/>
    </row>
    <row r="3187">
      <c r="A3187" s="26">
        <v>44793.72147737269</v>
      </c>
      <c r="B3187" s="20" t="s">
        <v>1909</v>
      </c>
      <c r="C3187" s="20">
        <v>20.0</v>
      </c>
      <c r="D3187" s="27"/>
    </row>
    <row r="3188">
      <c r="A3188" s="26">
        <v>44793.72364221065</v>
      </c>
      <c r="B3188" s="20" t="s">
        <v>1599</v>
      </c>
      <c r="C3188" s="20">
        <v>20.0</v>
      </c>
      <c r="D3188" s="27"/>
    </row>
    <row r="3189">
      <c r="A3189" s="26">
        <v>44793.723843009255</v>
      </c>
      <c r="B3189" s="20" t="s">
        <v>1920</v>
      </c>
      <c r="C3189" s="20">
        <v>20.0</v>
      </c>
      <c r="D3189" s="27"/>
    </row>
    <row r="3190">
      <c r="A3190" s="26">
        <v>44793.72801034722</v>
      </c>
      <c r="B3190" s="20" t="s">
        <v>1735</v>
      </c>
      <c r="C3190" s="20">
        <v>19.0</v>
      </c>
      <c r="D3190" s="27"/>
    </row>
    <row r="3191">
      <c r="A3191" s="26">
        <v>44793.73183104167</v>
      </c>
      <c r="B3191" s="20" t="s">
        <v>614</v>
      </c>
      <c r="C3191" s="20">
        <v>20.0</v>
      </c>
      <c r="D3191" s="27"/>
    </row>
    <row r="3192">
      <c r="A3192" s="26">
        <v>44793.732128483796</v>
      </c>
      <c r="B3192" s="20" t="s">
        <v>614</v>
      </c>
      <c r="C3192" s="20">
        <v>8.0</v>
      </c>
      <c r="D3192" s="27"/>
      <c r="E3192" s="20" t="s">
        <v>1840</v>
      </c>
    </row>
    <row r="3193">
      <c r="A3193" s="26">
        <v>44794.666204444446</v>
      </c>
      <c r="B3193" s="20" t="s">
        <v>1921</v>
      </c>
      <c r="C3193" s="20">
        <v>20.0</v>
      </c>
      <c r="D3193" s="27"/>
    </row>
    <row r="3194">
      <c r="A3194" s="26">
        <v>44794.66721947917</v>
      </c>
      <c r="B3194" s="20" t="s">
        <v>79</v>
      </c>
      <c r="C3194" s="20">
        <v>14.0</v>
      </c>
      <c r="D3194" s="27"/>
    </row>
    <row r="3195">
      <c r="A3195" s="26">
        <v>44794.6673199537</v>
      </c>
      <c r="B3195" s="20" t="s">
        <v>982</v>
      </c>
      <c r="C3195" s="20">
        <v>17.0</v>
      </c>
      <c r="D3195" s="27"/>
    </row>
    <row r="3196">
      <c r="A3196" s="28">
        <v>44794.0</v>
      </c>
      <c r="B3196" s="20" t="s">
        <v>1854</v>
      </c>
      <c r="C3196" s="20">
        <v>20.0</v>
      </c>
      <c r="D3196" s="27"/>
      <c r="E3196" s="20"/>
    </row>
    <row r="3197">
      <c r="A3197" s="28">
        <v>44794.0</v>
      </c>
      <c r="B3197" s="20" t="s">
        <v>1854</v>
      </c>
      <c r="C3197" s="20">
        <v>1.0</v>
      </c>
      <c r="D3197" s="27"/>
      <c r="E3197" s="20" t="s">
        <v>1840</v>
      </c>
    </row>
    <row r="3198">
      <c r="A3198" s="28">
        <v>44794.0</v>
      </c>
      <c r="B3198" s="20" t="s">
        <v>631</v>
      </c>
      <c r="C3198" s="20">
        <v>20.0</v>
      </c>
      <c r="D3198" s="27"/>
      <c r="E3198" s="20"/>
    </row>
    <row r="3199">
      <c r="A3199" s="28">
        <v>44794.0</v>
      </c>
      <c r="B3199" s="20" t="s">
        <v>1913</v>
      </c>
      <c r="C3199" s="20">
        <v>20.0</v>
      </c>
      <c r="D3199" s="27"/>
      <c r="E3199" s="20"/>
    </row>
    <row r="3200">
      <c r="A3200" s="28">
        <v>44794.0</v>
      </c>
      <c r="B3200" s="20" t="s">
        <v>1913</v>
      </c>
      <c r="C3200" s="20">
        <v>4.0</v>
      </c>
      <c r="D3200" s="27"/>
      <c r="E3200" s="20" t="s">
        <v>1840</v>
      </c>
    </row>
    <row r="3201">
      <c r="A3201" s="28">
        <v>44794.0</v>
      </c>
      <c r="B3201" s="20" t="s">
        <v>995</v>
      </c>
      <c r="C3201" s="20">
        <v>2.0</v>
      </c>
      <c r="D3201" s="27"/>
      <c r="E3201" s="20" t="s">
        <v>1840</v>
      </c>
    </row>
    <row r="3202">
      <c r="A3202" s="26">
        <v>44794.6751228588</v>
      </c>
      <c r="B3202" s="20" t="s">
        <v>528</v>
      </c>
      <c r="C3202" s="20">
        <v>20.0</v>
      </c>
      <c r="D3202" s="27"/>
    </row>
    <row r="3203">
      <c r="A3203" s="26">
        <v>44794.67560166666</v>
      </c>
      <c r="B3203" s="20" t="s">
        <v>126</v>
      </c>
      <c r="C3203" s="20">
        <v>21.0</v>
      </c>
      <c r="D3203" s="27"/>
    </row>
    <row r="3204">
      <c r="A3204" s="26">
        <v>44794.676392685185</v>
      </c>
      <c r="B3204" s="20" t="s">
        <v>1914</v>
      </c>
      <c r="C3204" s="20">
        <v>19.0</v>
      </c>
      <c r="D3204" s="27"/>
    </row>
    <row r="3205">
      <c r="A3205" s="26">
        <v>44794.67950920139</v>
      </c>
      <c r="B3205" s="20" t="s">
        <v>1922</v>
      </c>
      <c r="C3205" s="20">
        <v>16.0</v>
      </c>
      <c r="D3205" s="27"/>
    </row>
    <row r="3206">
      <c r="A3206" s="26">
        <v>44794.69431892361</v>
      </c>
      <c r="B3206" s="20" t="s">
        <v>596</v>
      </c>
      <c r="C3206" s="20">
        <v>8.0</v>
      </c>
      <c r="D3206" s="27"/>
    </row>
    <row r="3207">
      <c r="A3207" s="26">
        <v>44794.70225563657</v>
      </c>
      <c r="B3207" s="20" t="s">
        <v>411</v>
      </c>
      <c r="C3207" s="20">
        <v>15.0</v>
      </c>
      <c r="D3207" s="27"/>
    </row>
    <row r="3208">
      <c r="A3208" s="26">
        <v>44794.74810070602</v>
      </c>
      <c r="B3208" s="20" t="s">
        <v>1459</v>
      </c>
      <c r="C3208" s="20">
        <v>13.0</v>
      </c>
      <c r="D3208" s="27"/>
    </row>
    <row r="3209">
      <c r="A3209" s="28">
        <v>44796.0</v>
      </c>
      <c r="B3209" s="20" t="s">
        <v>1913</v>
      </c>
      <c r="C3209" s="20">
        <v>36.0</v>
      </c>
      <c r="D3209" s="27"/>
      <c r="E3209" s="20" t="s">
        <v>890</v>
      </c>
    </row>
    <row r="3210">
      <c r="A3210" s="28">
        <v>44796.0</v>
      </c>
      <c r="B3210" s="20" t="s">
        <v>1905</v>
      </c>
      <c r="C3210" s="20">
        <v>18.0</v>
      </c>
      <c r="D3210" s="27"/>
    </row>
    <row r="3211">
      <c r="A3211" s="28">
        <v>44796.0</v>
      </c>
      <c r="B3211" s="20" t="s">
        <v>1905</v>
      </c>
      <c r="C3211" s="20">
        <v>15.0</v>
      </c>
      <c r="D3211" s="27"/>
      <c r="E3211" s="20" t="s">
        <v>890</v>
      </c>
    </row>
    <row r="3212">
      <c r="A3212" s="26">
        <v>44796.71116910879</v>
      </c>
      <c r="B3212" s="20" t="s">
        <v>528</v>
      </c>
      <c r="C3212" s="20">
        <v>20.0</v>
      </c>
      <c r="D3212" s="27"/>
    </row>
    <row r="3213">
      <c r="A3213" s="26">
        <v>44796.71145461805</v>
      </c>
      <c r="B3213" s="20" t="s">
        <v>1186</v>
      </c>
      <c r="C3213" s="20">
        <v>34.0</v>
      </c>
      <c r="D3213" s="27"/>
    </row>
    <row r="3214">
      <c r="A3214" s="26">
        <v>44796.74811241898</v>
      </c>
      <c r="B3214" s="20" t="s">
        <v>1875</v>
      </c>
      <c r="C3214" s="20">
        <v>75.0</v>
      </c>
      <c r="D3214" s="27"/>
    </row>
    <row r="3215">
      <c r="A3215" s="26">
        <v>44796.7483096412</v>
      </c>
      <c r="B3215" s="20" t="s">
        <v>163</v>
      </c>
      <c r="C3215" s="20">
        <v>51.0</v>
      </c>
      <c r="D3215" s="27"/>
      <c r="E3215" s="20" t="s">
        <v>890</v>
      </c>
    </row>
    <row r="3216">
      <c r="A3216" s="28">
        <v>44797.0</v>
      </c>
      <c r="B3216" s="20" t="s">
        <v>1913</v>
      </c>
      <c r="C3216" s="20">
        <v>40.0</v>
      </c>
      <c r="D3216" s="27"/>
      <c r="E3216" s="20" t="s">
        <v>1923</v>
      </c>
    </row>
    <row r="3217">
      <c r="A3217" s="28">
        <v>44797.0</v>
      </c>
      <c r="B3217" s="20" t="s">
        <v>958</v>
      </c>
      <c r="C3217" s="20">
        <v>20.0</v>
      </c>
      <c r="D3217" s="27"/>
    </row>
    <row r="3218">
      <c r="A3218" s="28">
        <v>44797.0</v>
      </c>
      <c r="B3218" s="20" t="s">
        <v>1803</v>
      </c>
      <c r="C3218" s="20">
        <v>20.0</v>
      </c>
      <c r="D3218" s="27"/>
    </row>
    <row r="3219">
      <c r="A3219" s="28">
        <v>44797.0</v>
      </c>
      <c r="B3219" s="20" t="s">
        <v>821</v>
      </c>
      <c r="C3219" s="20">
        <v>20.0</v>
      </c>
      <c r="D3219" s="27"/>
    </row>
    <row r="3220">
      <c r="A3220" s="28">
        <v>44797.0</v>
      </c>
      <c r="B3220" s="20" t="s">
        <v>1765</v>
      </c>
      <c r="C3220" s="20">
        <v>20.0</v>
      </c>
      <c r="D3220" s="27"/>
    </row>
    <row r="3221">
      <c r="A3221" s="28">
        <v>44797.0</v>
      </c>
      <c r="B3221" s="20" t="s">
        <v>1871</v>
      </c>
      <c r="C3221" s="20">
        <v>20.0</v>
      </c>
      <c r="D3221" s="27"/>
    </row>
    <row r="3222">
      <c r="A3222" s="28">
        <v>44797.0</v>
      </c>
      <c r="B3222" s="20" t="s">
        <v>1924</v>
      </c>
      <c r="C3222" s="20">
        <v>20.0</v>
      </c>
      <c r="D3222" s="27"/>
    </row>
    <row r="3223">
      <c r="A3223" s="26">
        <v>44797.57641971065</v>
      </c>
      <c r="B3223" s="20" t="s">
        <v>1925</v>
      </c>
      <c r="C3223" s="20">
        <v>12.0</v>
      </c>
      <c r="D3223" s="27"/>
    </row>
    <row r="3224">
      <c r="A3224" s="26">
        <v>44797.576789432875</v>
      </c>
      <c r="B3224" s="20" t="s">
        <v>1926</v>
      </c>
      <c r="C3224" s="20">
        <v>5.0</v>
      </c>
      <c r="D3224" s="27"/>
    </row>
    <row r="3225">
      <c r="A3225" s="26">
        <v>44797.83648583334</v>
      </c>
      <c r="B3225" s="20" t="s">
        <v>1551</v>
      </c>
      <c r="C3225" s="20">
        <v>18.0</v>
      </c>
      <c r="D3225" s="27"/>
    </row>
    <row r="3226">
      <c r="A3226" s="26">
        <v>44797.84035775463</v>
      </c>
      <c r="B3226" s="20" t="s">
        <v>1927</v>
      </c>
      <c r="C3226" s="20">
        <v>18.0</v>
      </c>
      <c r="D3226" s="27"/>
    </row>
    <row r="3227">
      <c r="A3227" s="26">
        <v>44797.84088320602</v>
      </c>
      <c r="B3227" s="20" t="s">
        <v>1192</v>
      </c>
      <c r="C3227" s="20">
        <v>20.0</v>
      </c>
      <c r="D3227" s="27"/>
    </row>
    <row r="3228">
      <c r="A3228" s="26">
        <v>44797.84173483796</v>
      </c>
      <c r="B3228" s="20" t="s">
        <v>1192</v>
      </c>
      <c r="C3228" s="20">
        <v>1.0</v>
      </c>
      <c r="D3228" s="27"/>
      <c r="E3228" s="20" t="s">
        <v>890</v>
      </c>
    </row>
    <row r="3229">
      <c r="A3229" s="26">
        <v>44797.842079594906</v>
      </c>
      <c r="B3229" s="20" t="s">
        <v>1928</v>
      </c>
      <c r="C3229" s="20">
        <v>18.0</v>
      </c>
      <c r="D3229" s="27"/>
    </row>
    <row r="3230">
      <c r="A3230" s="26">
        <v>44797.84307311343</v>
      </c>
      <c r="B3230" s="20" t="s">
        <v>786</v>
      </c>
      <c r="C3230" s="20">
        <v>20.0</v>
      </c>
      <c r="D3230" s="27"/>
    </row>
    <row r="3231">
      <c r="A3231" s="28">
        <v>44798.0</v>
      </c>
      <c r="B3231" s="20" t="s">
        <v>1001</v>
      </c>
      <c r="C3231" s="20">
        <v>20.0</v>
      </c>
      <c r="D3231" s="27"/>
    </row>
    <row r="3232">
      <c r="A3232" s="28">
        <v>44798.0</v>
      </c>
      <c r="B3232" s="20" t="s">
        <v>1001</v>
      </c>
      <c r="C3232" s="20">
        <v>38.0</v>
      </c>
      <c r="D3232" s="27"/>
    </row>
    <row r="3233">
      <c r="A3233" s="28">
        <v>44798.0</v>
      </c>
      <c r="B3233" s="20" t="s">
        <v>1241</v>
      </c>
      <c r="C3233" s="20">
        <v>12.0</v>
      </c>
      <c r="D3233" s="27"/>
    </row>
    <row r="3234">
      <c r="A3234" s="28">
        <v>44798.0</v>
      </c>
      <c r="B3234" s="20" t="s">
        <v>1241</v>
      </c>
      <c r="C3234" s="20">
        <v>7.0</v>
      </c>
      <c r="D3234" s="27"/>
      <c r="E3234" s="20" t="s">
        <v>1929</v>
      </c>
    </row>
    <row r="3235">
      <c r="A3235" s="28">
        <v>44798.0</v>
      </c>
      <c r="B3235" s="20" t="s">
        <v>1924</v>
      </c>
      <c r="C3235" s="20">
        <v>22.0</v>
      </c>
      <c r="D3235" s="27"/>
    </row>
    <row r="3236">
      <c r="A3236" s="28">
        <v>44798.0</v>
      </c>
      <c r="B3236" s="20" t="s">
        <v>129</v>
      </c>
      <c r="C3236" s="20">
        <v>20.0</v>
      </c>
      <c r="D3236" s="27"/>
    </row>
    <row r="3237">
      <c r="A3237" s="28">
        <v>44798.0</v>
      </c>
      <c r="B3237" s="20" t="s">
        <v>129</v>
      </c>
      <c r="C3237" s="20">
        <v>5.0</v>
      </c>
      <c r="D3237" s="27"/>
      <c r="E3237" s="20" t="s">
        <v>1929</v>
      </c>
    </row>
    <row r="3238">
      <c r="A3238" s="28">
        <v>44798.0</v>
      </c>
      <c r="B3238" s="20" t="s">
        <v>618</v>
      </c>
      <c r="C3238" s="20">
        <v>20.0</v>
      </c>
      <c r="D3238" s="27"/>
    </row>
    <row r="3239">
      <c r="A3239" s="28">
        <v>44798.0</v>
      </c>
      <c r="B3239" s="20" t="s">
        <v>618</v>
      </c>
      <c r="C3239" s="20">
        <v>16.0</v>
      </c>
      <c r="D3239" s="27"/>
      <c r="E3239" s="20" t="s">
        <v>1929</v>
      </c>
    </row>
    <row r="3240">
      <c r="A3240" s="26">
        <v>44798.70601369213</v>
      </c>
      <c r="B3240" s="20" t="s">
        <v>163</v>
      </c>
      <c r="C3240" s="20">
        <v>30.0</v>
      </c>
      <c r="D3240" s="27"/>
    </row>
    <row r="3241">
      <c r="A3241" s="26">
        <v>44798.706526458336</v>
      </c>
      <c r="B3241" s="20" t="s">
        <v>1819</v>
      </c>
      <c r="C3241" s="20">
        <v>6.0</v>
      </c>
      <c r="D3241" s="27"/>
    </row>
    <row r="3242">
      <c r="A3242" s="28">
        <v>44799.0</v>
      </c>
      <c r="B3242" s="20" t="s">
        <v>366</v>
      </c>
      <c r="C3242" s="20">
        <v>6.0</v>
      </c>
      <c r="D3242" s="27"/>
    </row>
    <row r="3243">
      <c r="A3243" s="28">
        <v>44799.0</v>
      </c>
      <c r="B3243" s="20" t="s">
        <v>366</v>
      </c>
      <c r="C3243" s="20">
        <v>7.0</v>
      </c>
      <c r="D3243" s="27"/>
      <c r="E3243" s="20" t="s">
        <v>1929</v>
      </c>
    </row>
    <row r="3244">
      <c r="A3244" s="28">
        <v>44799.0</v>
      </c>
      <c r="B3244" s="20" t="s">
        <v>1841</v>
      </c>
      <c r="C3244" s="20">
        <v>15.0</v>
      </c>
      <c r="D3244" s="27"/>
    </row>
    <row r="3245">
      <c r="A3245" s="28">
        <v>44800.0</v>
      </c>
      <c r="B3245" s="20" t="s">
        <v>861</v>
      </c>
      <c r="C3245" s="20">
        <v>15.0</v>
      </c>
      <c r="D3245" s="27"/>
    </row>
    <row r="3246">
      <c r="A3246" s="28">
        <v>44800.0</v>
      </c>
      <c r="B3246" s="20" t="s">
        <v>1868</v>
      </c>
      <c r="C3246" s="20">
        <v>13.0</v>
      </c>
      <c r="D3246" s="27"/>
      <c r="E3246" s="20" t="s">
        <v>1929</v>
      </c>
    </row>
    <row r="3247">
      <c r="A3247" s="28">
        <v>44800.0</v>
      </c>
      <c r="B3247" s="20" t="s">
        <v>1241</v>
      </c>
      <c r="C3247" s="20">
        <v>14.0</v>
      </c>
      <c r="D3247" s="27"/>
    </row>
    <row r="3248">
      <c r="A3248" s="28">
        <v>44800.0</v>
      </c>
      <c r="B3248" s="20" t="s">
        <v>112</v>
      </c>
      <c r="C3248" s="20">
        <v>36.0</v>
      </c>
      <c r="D3248" s="27"/>
    </row>
    <row r="3249">
      <c r="A3249" s="28">
        <v>44800.0</v>
      </c>
      <c r="B3249" s="20" t="s">
        <v>129</v>
      </c>
      <c r="C3249" s="20">
        <v>17.0</v>
      </c>
      <c r="D3249" s="27"/>
    </row>
    <row r="3250">
      <c r="A3250" s="28">
        <v>44800.0</v>
      </c>
      <c r="B3250" s="20" t="s">
        <v>129</v>
      </c>
      <c r="C3250" s="20">
        <v>3.0</v>
      </c>
      <c r="D3250" s="27"/>
      <c r="E3250" s="20" t="s">
        <v>1929</v>
      </c>
    </row>
    <row r="3251">
      <c r="A3251" s="26">
        <v>44800.69824596065</v>
      </c>
      <c r="B3251" s="20" t="s">
        <v>1909</v>
      </c>
      <c r="C3251" s="20">
        <v>19.0</v>
      </c>
      <c r="D3251" s="27"/>
    </row>
    <row r="3252">
      <c r="A3252" s="26">
        <v>44800.698570312496</v>
      </c>
      <c r="B3252" s="20" t="s">
        <v>91</v>
      </c>
      <c r="C3252" s="20">
        <v>13.0</v>
      </c>
      <c r="D3252" s="27"/>
    </row>
    <row r="3253">
      <c r="A3253" s="26">
        <v>44800.69897795139</v>
      </c>
      <c r="B3253" s="20" t="s">
        <v>1930</v>
      </c>
      <c r="C3253" s="20">
        <v>17.0</v>
      </c>
      <c r="D3253" s="27"/>
    </row>
    <row r="3254">
      <c r="A3254" s="26">
        <v>44800.699784675926</v>
      </c>
      <c r="B3254" s="20" t="s">
        <v>1806</v>
      </c>
      <c r="C3254" s="20">
        <v>19.0</v>
      </c>
      <c r="D3254" s="27"/>
    </row>
    <row r="3255">
      <c r="A3255" s="26">
        <v>44800.69990481481</v>
      </c>
      <c r="B3255" s="20" t="s">
        <v>1632</v>
      </c>
      <c r="C3255" s="20">
        <v>20.0</v>
      </c>
      <c r="D3255" s="27"/>
    </row>
    <row r="3256">
      <c r="A3256" s="28">
        <v>44800.0</v>
      </c>
      <c r="B3256" s="20" t="s">
        <v>300</v>
      </c>
      <c r="C3256" s="20">
        <v>4.0</v>
      </c>
      <c r="D3256" s="27"/>
      <c r="E3256" s="20" t="s">
        <v>1929</v>
      </c>
    </row>
    <row r="3257">
      <c r="A3257" s="26">
        <v>44800.70970365741</v>
      </c>
      <c r="B3257" s="20" t="s">
        <v>300</v>
      </c>
      <c r="C3257" s="20">
        <v>20.0</v>
      </c>
      <c r="D3257" s="27"/>
    </row>
    <row r="3258">
      <c r="A3258" s="26">
        <v>44800.71558072917</v>
      </c>
      <c r="B3258" s="20" t="s">
        <v>637</v>
      </c>
      <c r="C3258" s="20">
        <v>21.0</v>
      </c>
      <c r="D3258" s="27"/>
    </row>
    <row r="3259">
      <c r="A3259" s="26">
        <v>44800.71577563658</v>
      </c>
      <c r="B3259" s="20" t="s">
        <v>1756</v>
      </c>
      <c r="C3259" s="20">
        <v>6.0</v>
      </c>
      <c r="D3259" s="27"/>
    </row>
    <row r="3260">
      <c r="A3260" s="26">
        <v>44800.72217248843</v>
      </c>
      <c r="B3260" s="20" t="s">
        <v>552</v>
      </c>
      <c r="C3260" s="20">
        <v>3.0</v>
      </c>
      <c r="D3260" s="27"/>
    </row>
    <row r="3261">
      <c r="A3261" s="26">
        <v>44801.67260984954</v>
      </c>
      <c r="B3261" s="20" t="s">
        <v>193</v>
      </c>
      <c r="C3261" s="20">
        <v>23.0</v>
      </c>
      <c r="D3261" s="27"/>
    </row>
    <row r="3262">
      <c r="A3262" s="28">
        <v>44801.0</v>
      </c>
      <c r="B3262" s="20" t="s">
        <v>1818</v>
      </c>
      <c r="C3262" s="20">
        <v>19.0</v>
      </c>
      <c r="D3262" s="27"/>
      <c r="E3262" s="20"/>
    </row>
    <row r="3263">
      <c r="A3263" s="28">
        <v>44801.0</v>
      </c>
      <c r="B3263" s="20" t="s">
        <v>631</v>
      </c>
      <c r="C3263" s="20">
        <v>20.0</v>
      </c>
      <c r="D3263" s="27"/>
      <c r="E3263" s="20"/>
    </row>
    <row r="3264">
      <c r="A3264" s="28">
        <v>44801.0</v>
      </c>
      <c r="B3264" s="20" t="s">
        <v>631</v>
      </c>
      <c r="C3264" s="20">
        <v>15.0</v>
      </c>
      <c r="D3264" s="27"/>
      <c r="E3264" s="20" t="s">
        <v>1931</v>
      </c>
    </row>
    <row r="3265">
      <c r="A3265" s="28">
        <v>44801.0</v>
      </c>
      <c r="B3265" s="20" t="s">
        <v>1932</v>
      </c>
      <c r="C3265" s="20">
        <v>9.0</v>
      </c>
      <c r="D3265" s="27"/>
      <c r="E3265" s="20"/>
    </row>
    <row r="3266">
      <c r="A3266" s="28">
        <v>44801.0</v>
      </c>
      <c r="B3266" s="20" t="s">
        <v>1137</v>
      </c>
      <c r="C3266" s="20">
        <v>19.0</v>
      </c>
      <c r="D3266" s="27"/>
      <c r="E3266" s="20"/>
    </row>
    <row r="3267">
      <c r="A3267" s="28">
        <v>44801.0</v>
      </c>
      <c r="B3267" s="20" t="s">
        <v>1137</v>
      </c>
      <c r="C3267" s="20">
        <v>41.0</v>
      </c>
      <c r="D3267" s="27"/>
      <c r="E3267" s="20" t="s">
        <v>1929</v>
      </c>
    </row>
    <row r="3268">
      <c r="A3268" s="28">
        <v>44801.0</v>
      </c>
      <c r="B3268" s="20" t="s">
        <v>1913</v>
      </c>
      <c r="C3268" s="20">
        <v>13.0</v>
      </c>
      <c r="D3268" s="27"/>
      <c r="E3268" s="20"/>
    </row>
    <row r="3269">
      <c r="A3269" s="28">
        <v>44801.0</v>
      </c>
      <c r="B3269" s="20" t="s">
        <v>1913</v>
      </c>
      <c r="C3269" s="20">
        <v>16.0</v>
      </c>
      <c r="D3269" s="20" t="s">
        <v>40</v>
      </c>
      <c r="E3269" s="20" t="s">
        <v>1931</v>
      </c>
    </row>
    <row r="3270">
      <c r="A3270" s="28">
        <v>44801.0</v>
      </c>
      <c r="B3270" s="20" t="s">
        <v>1857</v>
      </c>
      <c r="C3270" s="20">
        <v>20.0</v>
      </c>
      <c r="D3270" s="27"/>
      <c r="E3270" s="20"/>
    </row>
    <row r="3271">
      <c r="A3271" s="28">
        <v>44801.0</v>
      </c>
      <c r="B3271" s="20" t="s">
        <v>980</v>
      </c>
      <c r="C3271" s="20">
        <v>20.0</v>
      </c>
      <c r="D3271" s="27"/>
      <c r="E3271" s="20"/>
    </row>
    <row r="3272">
      <c r="A3272" s="28">
        <v>44801.0</v>
      </c>
      <c r="B3272" s="20" t="s">
        <v>980</v>
      </c>
      <c r="C3272" s="20">
        <v>28.0</v>
      </c>
      <c r="D3272" s="27"/>
      <c r="E3272" s="20" t="s">
        <v>1929</v>
      </c>
    </row>
    <row r="3273">
      <c r="A3273" s="28">
        <v>44801.0</v>
      </c>
      <c r="B3273" s="20" t="s">
        <v>1350</v>
      </c>
      <c r="C3273" s="20">
        <v>19.0</v>
      </c>
      <c r="D3273" s="27"/>
      <c r="E3273" s="20" t="s">
        <v>1929</v>
      </c>
    </row>
    <row r="3274">
      <c r="A3274" s="26">
        <v>44801.67767739583</v>
      </c>
      <c r="B3274" s="20" t="s">
        <v>1350</v>
      </c>
      <c r="C3274" s="20">
        <v>19.0</v>
      </c>
      <c r="D3274" s="27"/>
    </row>
    <row r="3275">
      <c r="A3275" s="26">
        <v>44801.685628761574</v>
      </c>
      <c r="B3275" s="20" t="s">
        <v>1933</v>
      </c>
      <c r="C3275" s="20">
        <v>13.0</v>
      </c>
      <c r="D3275" s="27"/>
    </row>
    <row r="3276">
      <c r="A3276" s="26">
        <v>44801.69943163195</v>
      </c>
      <c r="B3276" s="20" t="s">
        <v>411</v>
      </c>
      <c r="C3276" s="20">
        <v>20.0</v>
      </c>
      <c r="D3276" s="27"/>
    </row>
    <row r="3277">
      <c r="A3277" s="26">
        <v>44801.71080513889</v>
      </c>
      <c r="B3277" s="20" t="s">
        <v>596</v>
      </c>
      <c r="C3277" s="20">
        <v>13.0</v>
      </c>
      <c r="D3277" s="27"/>
    </row>
    <row r="3278">
      <c r="A3278" s="26">
        <v>44801.73175392361</v>
      </c>
      <c r="B3278" s="20" t="s">
        <v>193</v>
      </c>
      <c r="C3278" s="20">
        <v>36.0</v>
      </c>
      <c r="D3278" s="27"/>
      <c r="E3278" s="20" t="s">
        <v>1929</v>
      </c>
    </row>
    <row r="3279">
      <c r="A3279" s="28">
        <v>44803.0</v>
      </c>
      <c r="B3279" s="20" t="s">
        <v>1905</v>
      </c>
      <c r="C3279" s="20">
        <v>19.0</v>
      </c>
      <c r="D3279" s="27"/>
    </row>
    <row r="3280">
      <c r="A3280" s="28">
        <v>44803.0</v>
      </c>
      <c r="B3280" s="20" t="s">
        <v>1905</v>
      </c>
      <c r="C3280" s="20">
        <v>15.0</v>
      </c>
      <c r="D3280" s="27"/>
      <c r="E3280" s="20" t="s">
        <v>1929</v>
      </c>
    </row>
    <row r="3281">
      <c r="A3281" s="26">
        <v>44803.685249050926</v>
      </c>
      <c r="B3281" s="20" t="s">
        <v>1934</v>
      </c>
      <c r="C3281" s="20">
        <v>44.0</v>
      </c>
      <c r="D3281" s="27"/>
    </row>
    <row r="3282">
      <c r="A3282" s="26">
        <v>44803.68547571759</v>
      </c>
      <c r="B3282" s="20" t="s">
        <v>163</v>
      </c>
      <c r="C3282" s="20">
        <v>29.0</v>
      </c>
      <c r="D3282" s="27"/>
    </row>
    <row r="3283">
      <c r="A3283" s="28">
        <v>44803.0</v>
      </c>
      <c r="B3283" s="20" t="s">
        <v>1884</v>
      </c>
      <c r="C3283" s="20">
        <v>20.0</v>
      </c>
      <c r="D3283" s="27"/>
      <c r="E3283" s="20" t="s">
        <v>1929</v>
      </c>
    </row>
    <row r="3284">
      <c r="A3284" s="26">
        <v>44803.68754303241</v>
      </c>
      <c r="B3284" s="20" t="s">
        <v>1884</v>
      </c>
      <c r="C3284" s="20">
        <v>18.0</v>
      </c>
      <c r="D3284" s="27"/>
    </row>
    <row r="3285">
      <c r="A3285" s="26">
        <v>44803.68841592592</v>
      </c>
      <c r="B3285" s="20" t="s">
        <v>995</v>
      </c>
      <c r="C3285" s="20">
        <v>20.0</v>
      </c>
      <c r="D3285" s="27"/>
    </row>
    <row r="3286">
      <c r="A3286" s="26">
        <v>44803.69128733796</v>
      </c>
      <c r="B3286" s="20" t="s">
        <v>1186</v>
      </c>
      <c r="C3286" s="20">
        <v>16.0</v>
      </c>
      <c r="D3286" s="27"/>
    </row>
    <row r="3287">
      <c r="A3287" s="28">
        <v>44804.0</v>
      </c>
      <c r="B3287" s="20" t="s">
        <v>1841</v>
      </c>
      <c r="C3287" s="20">
        <v>14.0</v>
      </c>
      <c r="D3287" s="27"/>
      <c r="E3287" s="20"/>
    </row>
    <row r="3288">
      <c r="A3288" s="28">
        <v>44804.0</v>
      </c>
      <c r="B3288" s="20" t="s">
        <v>1841</v>
      </c>
      <c r="C3288" s="20">
        <v>15.0</v>
      </c>
      <c r="D3288" s="27"/>
      <c r="E3288" s="20" t="s">
        <v>1929</v>
      </c>
    </row>
    <row r="3289">
      <c r="A3289" s="28">
        <v>44804.0</v>
      </c>
      <c r="B3289" s="20" t="s">
        <v>1713</v>
      </c>
      <c r="C3289" s="20">
        <v>9.0</v>
      </c>
      <c r="D3289" s="27"/>
      <c r="E3289" s="20"/>
    </row>
    <row r="3290">
      <c r="A3290" s="28">
        <v>44804.0</v>
      </c>
      <c r="B3290" s="20" t="s">
        <v>1765</v>
      </c>
      <c r="C3290" s="20">
        <v>18.0</v>
      </c>
      <c r="D3290" s="27"/>
      <c r="E3290" s="20"/>
    </row>
    <row r="3291">
      <c r="A3291" s="28">
        <v>44804.0</v>
      </c>
      <c r="B3291" s="20" t="s">
        <v>1935</v>
      </c>
      <c r="C3291" s="20">
        <v>20.0</v>
      </c>
      <c r="D3291" s="27"/>
      <c r="E3291" s="20"/>
    </row>
    <row r="3292">
      <c r="A3292" s="28">
        <v>44804.0</v>
      </c>
      <c r="B3292" s="20" t="s">
        <v>1888</v>
      </c>
      <c r="C3292" s="20">
        <v>20.0</v>
      </c>
      <c r="D3292" s="27"/>
      <c r="E3292" s="20"/>
    </row>
    <row r="3293">
      <c r="A3293" s="28">
        <v>44804.0</v>
      </c>
      <c r="B3293" s="20" t="s">
        <v>1890</v>
      </c>
      <c r="C3293" s="20">
        <v>20.0</v>
      </c>
      <c r="D3293" s="27"/>
      <c r="E3293" s="20"/>
    </row>
    <row r="3294">
      <c r="A3294" s="28">
        <v>44804.0</v>
      </c>
      <c r="B3294" s="20" t="s">
        <v>1890</v>
      </c>
      <c r="C3294" s="20">
        <v>30.0</v>
      </c>
      <c r="D3294" s="27"/>
      <c r="E3294" s="20" t="s">
        <v>1929</v>
      </c>
    </row>
    <row r="3295">
      <c r="A3295" s="28">
        <v>44804.0</v>
      </c>
      <c r="B3295" s="20" t="s">
        <v>1871</v>
      </c>
      <c r="C3295" s="20">
        <v>18.0</v>
      </c>
      <c r="D3295" s="27"/>
      <c r="E3295" s="20"/>
    </row>
    <row r="3296">
      <c r="A3296" s="28">
        <v>44804.0</v>
      </c>
      <c r="B3296" s="20" t="s">
        <v>201</v>
      </c>
      <c r="C3296" s="20">
        <v>20.0</v>
      </c>
      <c r="D3296" s="27"/>
      <c r="E3296" s="20"/>
    </row>
    <row r="3297">
      <c r="A3297" s="28">
        <v>44804.0</v>
      </c>
      <c r="B3297" s="20" t="s">
        <v>1927</v>
      </c>
      <c r="C3297" s="20">
        <v>20.0</v>
      </c>
      <c r="D3297" s="27"/>
      <c r="E3297" s="20"/>
    </row>
    <row r="3298">
      <c r="A3298" s="28">
        <v>44804.0</v>
      </c>
      <c r="B3298" s="20" t="s">
        <v>1928</v>
      </c>
      <c r="C3298" s="20">
        <v>20.0</v>
      </c>
      <c r="D3298" s="27"/>
      <c r="E3298" s="20"/>
    </row>
    <row r="3299">
      <c r="A3299" s="28">
        <v>44804.0</v>
      </c>
      <c r="B3299" s="20" t="s">
        <v>1803</v>
      </c>
      <c r="C3299" s="20">
        <v>20.0</v>
      </c>
      <c r="D3299" s="27"/>
      <c r="E3299" s="20"/>
    </row>
    <row r="3300">
      <c r="A3300" s="28">
        <v>44804.0</v>
      </c>
      <c r="B3300" s="20" t="s">
        <v>366</v>
      </c>
      <c r="C3300" s="20">
        <v>18.0</v>
      </c>
      <c r="D3300" s="27"/>
      <c r="E3300" s="20"/>
    </row>
    <row r="3301">
      <c r="A3301" s="28">
        <v>44804.0</v>
      </c>
      <c r="B3301" s="20" t="s">
        <v>370</v>
      </c>
      <c r="C3301" s="20">
        <v>10.0</v>
      </c>
      <c r="D3301" s="27"/>
      <c r="E3301" s="20" t="s">
        <v>1929</v>
      </c>
    </row>
    <row r="3302">
      <c r="A3302" s="28">
        <v>44804.0</v>
      </c>
      <c r="B3302" s="20" t="s">
        <v>1936</v>
      </c>
      <c r="C3302" s="20">
        <v>20.0</v>
      </c>
      <c r="D3302" s="27"/>
      <c r="E3302" s="20"/>
    </row>
    <row r="3303">
      <c r="A3303" s="28">
        <v>44804.0</v>
      </c>
      <c r="B3303" s="20" t="s">
        <v>1835</v>
      </c>
      <c r="C3303" s="20">
        <v>147.0</v>
      </c>
      <c r="D3303" s="27"/>
      <c r="E3303" s="20" t="s">
        <v>1937</v>
      </c>
    </row>
    <row r="3304">
      <c r="A3304" s="26">
        <v>44804.56587177083</v>
      </c>
      <c r="B3304" s="20" t="s">
        <v>1938</v>
      </c>
      <c r="C3304" s="20">
        <v>15.0</v>
      </c>
      <c r="D3304" s="27"/>
    </row>
    <row r="3305">
      <c r="A3305" s="26">
        <v>44804.56622862269</v>
      </c>
      <c r="B3305" s="20" t="s">
        <v>1939</v>
      </c>
      <c r="C3305" s="20">
        <v>11.0</v>
      </c>
      <c r="D3305" s="27"/>
    </row>
    <row r="3306">
      <c r="A3306" s="26">
        <v>44804.71696413195</v>
      </c>
      <c r="B3306" s="20" t="s">
        <v>177</v>
      </c>
      <c r="C3306" s="20">
        <v>17.0</v>
      </c>
      <c r="D3306" s="27"/>
    </row>
    <row r="3307">
      <c r="A3307" s="26">
        <v>44804.71752627315</v>
      </c>
      <c r="B3307" s="20" t="s">
        <v>1813</v>
      </c>
      <c r="C3307" s="20">
        <v>23.0</v>
      </c>
      <c r="D3307" s="27"/>
    </row>
    <row r="3308">
      <c r="A3308" s="26">
        <v>44804.719989062505</v>
      </c>
      <c r="B3308" s="20" t="s">
        <v>614</v>
      </c>
      <c r="C3308" s="20">
        <v>19.0</v>
      </c>
      <c r="D3308" s="27"/>
    </row>
    <row r="3309">
      <c r="A3309" s="26">
        <v>44804.72033315973</v>
      </c>
      <c r="B3309" s="20" t="s">
        <v>614</v>
      </c>
      <c r="C3309" s="20">
        <v>11.0</v>
      </c>
      <c r="D3309" s="27"/>
      <c r="E3309" s="20" t="s">
        <v>1929</v>
      </c>
    </row>
    <row r="3310">
      <c r="A3310" s="26">
        <v>44804.8170424537</v>
      </c>
      <c r="B3310" s="20" t="s">
        <v>1551</v>
      </c>
      <c r="C3310" s="20">
        <v>13.0</v>
      </c>
      <c r="D3310" s="27"/>
    </row>
    <row r="3311">
      <c r="A3311" s="26">
        <v>44804.817180196755</v>
      </c>
      <c r="B3311" s="20" t="s">
        <v>804</v>
      </c>
      <c r="C3311" s="20">
        <v>9.0</v>
      </c>
      <c r="D3311" s="27"/>
    </row>
    <row r="3312">
      <c r="A3312" s="28">
        <v>44804.0</v>
      </c>
      <c r="B3312" s="20" t="s">
        <v>786</v>
      </c>
      <c r="C3312" s="20">
        <v>1.5</v>
      </c>
      <c r="D3312" s="27"/>
      <c r="E3312" s="20" t="s">
        <v>1929</v>
      </c>
    </row>
    <row r="3313">
      <c r="A3313" s="26">
        <v>44804.821952893515</v>
      </c>
      <c r="B3313" s="20" t="s">
        <v>786</v>
      </c>
      <c r="C3313" s="20">
        <v>17.0</v>
      </c>
      <c r="D3313" s="27"/>
    </row>
    <row r="3314">
      <c r="A3314" s="28">
        <v>44805.0</v>
      </c>
      <c r="B3314" s="20" t="s">
        <v>1241</v>
      </c>
      <c r="C3314" s="20">
        <v>17.0</v>
      </c>
      <c r="D3314" s="27"/>
    </row>
    <row r="3315">
      <c r="A3315" s="28">
        <v>44805.0</v>
      </c>
      <c r="B3315" s="20" t="s">
        <v>1001</v>
      </c>
      <c r="C3315" s="20">
        <v>19.0</v>
      </c>
      <c r="D3315" s="27"/>
    </row>
    <row r="3316">
      <c r="A3316" s="28">
        <v>44805.0</v>
      </c>
      <c r="B3316" s="20" t="s">
        <v>1001</v>
      </c>
      <c r="C3316" s="20">
        <v>8.0</v>
      </c>
      <c r="D3316" s="27"/>
      <c r="E3316" s="20" t="s">
        <v>1929</v>
      </c>
    </row>
    <row r="3317">
      <c r="A3317" s="28">
        <v>44805.0</v>
      </c>
      <c r="B3317" s="20" t="s">
        <v>1871</v>
      </c>
      <c r="C3317" s="20">
        <v>21.0</v>
      </c>
      <c r="D3317" s="27"/>
    </row>
    <row r="3318">
      <c r="A3318" s="28">
        <v>44805.0</v>
      </c>
      <c r="B3318" s="20" t="s">
        <v>1932</v>
      </c>
      <c r="C3318" s="20">
        <v>20.0</v>
      </c>
      <c r="D3318" s="27"/>
    </row>
    <row r="3319">
      <c r="A3319" s="28">
        <v>44805.0</v>
      </c>
      <c r="B3319" s="20" t="s">
        <v>618</v>
      </c>
      <c r="C3319" s="20">
        <v>20.0</v>
      </c>
      <c r="D3319" s="27"/>
    </row>
    <row r="3320">
      <c r="A3320" s="28">
        <v>44805.0</v>
      </c>
      <c r="B3320" s="20" t="s">
        <v>618</v>
      </c>
      <c r="C3320" s="20">
        <v>2.0</v>
      </c>
      <c r="D3320" s="27"/>
      <c r="E3320" s="20" t="s">
        <v>1929</v>
      </c>
    </row>
    <row r="3321">
      <c r="A3321" s="28">
        <v>44805.0</v>
      </c>
      <c r="B3321" s="20" t="s">
        <v>777</v>
      </c>
      <c r="C3321" s="20">
        <v>18.0</v>
      </c>
      <c r="D3321" s="27"/>
    </row>
    <row r="3322">
      <c r="A3322" s="28">
        <v>44805.0</v>
      </c>
      <c r="B3322" s="20" t="s">
        <v>67</v>
      </c>
      <c r="C3322" s="20">
        <v>80.0</v>
      </c>
      <c r="D3322" s="27"/>
    </row>
    <row r="3323">
      <c r="A3323" s="26">
        <v>44805.68370971065</v>
      </c>
      <c r="B3323" s="20" t="s">
        <v>326</v>
      </c>
      <c r="C3323" s="20">
        <v>24.0</v>
      </c>
      <c r="D3323" s="27"/>
    </row>
    <row r="3324">
      <c r="A3324" s="26">
        <v>44805.69085517361</v>
      </c>
      <c r="B3324" s="20" t="s">
        <v>1940</v>
      </c>
      <c r="C3324" s="20">
        <v>2.0</v>
      </c>
      <c r="D3324" s="27"/>
    </row>
    <row r="3325">
      <c r="A3325" s="26">
        <v>44805.69135657407</v>
      </c>
      <c r="B3325" s="20" t="s">
        <v>163</v>
      </c>
      <c r="C3325" s="20">
        <v>6.0</v>
      </c>
      <c r="D3325" s="27"/>
    </row>
    <row r="3326">
      <c r="A3326" s="28">
        <v>44805.0</v>
      </c>
      <c r="B3326" s="20" t="s">
        <v>896</v>
      </c>
      <c r="C3326" s="20">
        <v>1.0</v>
      </c>
      <c r="D3326" s="27"/>
      <c r="E3326" s="20" t="s">
        <v>1929</v>
      </c>
    </row>
    <row r="3327">
      <c r="A3327" s="26">
        <v>44805.8474525</v>
      </c>
      <c r="B3327" s="20" t="s">
        <v>800</v>
      </c>
      <c r="C3327" s="20">
        <v>19.0</v>
      </c>
      <c r="D3327" s="27"/>
    </row>
    <row r="3328">
      <c r="A3328" s="28">
        <v>44806.0</v>
      </c>
      <c r="B3328" s="20" t="s">
        <v>370</v>
      </c>
      <c r="C3328" s="20">
        <v>8.0</v>
      </c>
      <c r="D3328" s="27"/>
    </row>
    <row r="3329">
      <c r="A3329" s="28">
        <v>44806.0</v>
      </c>
      <c r="B3329" s="20" t="s">
        <v>370</v>
      </c>
      <c r="C3329" s="20">
        <v>9.0</v>
      </c>
      <c r="D3329" s="27"/>
      <c r="E3329" s="20" t="s">
        <v>1929</v>
      </c>
    </row>
    <row r="3330">
      <c r="A3330" s="28">
        <v>44806.0</v>
      </c>
      <c r="B3330" s="20" t="s">
        <v>1914</v>
      </c>
      <c r="C3330" s="20">
        <v>20.0</v>
      </c>
      <c r="D3330" s="27"/>
    </row>
    <row r="3331">
      <c r="A3331" s="28">
        <v>44806.0</v>
      </c>
      <c r="B3331" s="20" t="s">
        <v>126</v>
      </c>
      <c r="C3331" s="20">
        <v>20.0</v>
      </c>
      <c r="D3331" s="27"/>
    </row>
    <row r="3332">
      <c r="A3332" s="28">
        <v>44806.0</v>
      </c>
      <c r="B3332" s="20" t="s">
        <v>126</v>
      </c>
      <c r="C3332" s="20">
        <v>17.0</v>
      </c>
      <c r="D3332" s="27"/>
      <c r="E3332" s="20" t="s">
        <v>1929</v>
      </c>
    </row>
    <row r="3333">
      <c r="A3333" s="28">
        <v>44806.0</v>
      </c>
      <c r="B3333" s="20" t="s">
        <v>1834</v>
      </c>
      <c r="C3333" s="20">
        <v>20.0</v>
      </c>
      <c r="D3333" s="27"/>
    </row>
    <row r="3334">
      <c r="A3334" s="26">
        <v>44806.6789596875</v>
      </c>
      <c r="B3334" s="20" t="s">
        <v>1008</v>
      </c>
      <c r="C3334" s="20">
        <v>17.0</v>
      </c>
      <c r="D3334" s="27"/>
    </row>
    <row r="3335">
      <c r="A3335" s="26">
        <v>44806.70556809028</v>
      </c>
      <c r="B3335" s="20" t="s">
        <v>576</v>
      </c>
      <c r="C3335" s="20">
        <v>10.0</v>
      </c>
      <c r="D3335" s="27"/>
    </row>
    <row r="3336">
      <c r="A3336" s="28">
        <v>44807.0</v>
      </c>
      <c r="B3336" s="20" t="s">
        <v>1241</v>
      </c>
      <c r="C3336" s="20">
        <v>2.0</v>
      </c>
      <c r="D3336" s="27"/>
    </row>
    <row r="3337">
      <c r="A3337" s="26">
        <v>44807.7285446875</v>
      </c>
      <c r="B3337" s="20" t="s">
        <v>1909</v>
      </c>
      <c r="C3337" s="20">
        <v>17.0</v>
      </c>
      <c r="D3337" s="27"/>
    </row>
    <row r="3338">
      <c r="A3338" s="26">
        <v>44807.72935391204</v>
      </c>
      <c r="B3338" s="20" t="s">
        <v>1599</v>
      </c>
      <c r="C3338" s="20">
        <v>13.0</v>
      </c>
      <c r="D3338" s="27"/>
    </row>
    <row r="3339">
      <c r="A3339" s="26">
        <v>44807.7313096412</v>
      </c>
      <c r="B3339" s="20" t="s">
        <v>129</v>
      </c>
      <c r="C3339" s="20">
        <v>14.0</v>
      </c>
      <c r="D3339" s="27"/>
    </row>
    <row r="3340">
      <c r="A3340" s="26">
        <v>44807.731982743055</v>
      </c>
      <c r="B3340" s="20" t="s">
        <v>1941</v>
      </c>
      <c r="C3340" s="20">
        <v>20.0</v>
      </c>
      <c r="D3340" s="27"/>
    </row>
    <row r="3341">
      <c r="A3341" s="26">
        <v>44807.73200040509</v>
      </c>
      <c r="B3341" s="20" t="s">
        <v>1942</v>
      </c>
      <c r="C3341" s="20">
        <v>13.0</v>
      </c>
      <c r="D3341" s="27"/>
    </row>
    <row r="3342">
      <c r="A3342" s="26">
        <v>44807.73287876157</v>
      </c>
      <c r="B3342" s="20" t="s">
        <v>1667</v>
      </c>
      <c r="C3342" s="20">
        <v>13.0</v>
      </c>
      <c r="D3342" s="27"/>
    </row>
    <row r="3343">
      <c r="A3343" s="26">
        <v>44807.7339730324</v>
      </c>
      <c r="B3343" s="20" t="s">
        <v>1633</v>
      </c>
      <c r="C3343" s="20">
        <v>11.0</v>
      </c>
      <c r="D3343" s="27"/>
    </row>
    <row r="3344">
      <c r="A3344" s="26">
        <v>44807.74188271991</v>
      </c>
      <c r="B3344" s="20" t="s">
        <v>300</v>
      </c>
      <c r="C3344" s="20">
        <v>20.0</v>
      </c>
      <c r="D3344" s="27"/>
    </row>
    <row r="3345">
      <c r="A3345" s="28">
        <v>44807.0</v>
      </c>
      <c r="B3345" s="20" t="s">
        <v>300</v>
      </c>
      <c r="C3345" s="20">
        <v>2.0</v>
      </c>
      <c r="D3345" s="27"/>
      <c r="E3345" s="20" t="s">
        <v>1929</v>
      </c>
    </row>
    <row r="3346">
      <c r="A3346" s="26">
        <v>44807.74452569445</v>
      </c>
      <c r="B3346" s="20" t="s">
        <v>614</v>
      </c>
      <c r="C3346" s="20">
        <v>15.0</v>
      </c>
      <c r="D3346" s="27"/>
    </row>
    <row r="3347">
      <c r="A3347" s="26">
        <v>44807.746385983795</v>
      </c>
      <c r="B3347" s="20" t="s">
        <v>552</v>
      </c>
      <c r="C3347" s="20">
        <v>14.0</v>
      </c>
      <c r="D3347" s="27"/>
    </row>
    <row r="3348">
      <c r="A3348" s="28">
        <v>44808.0</v>
      </c>
      <c r="B3348" s="20" t="s">
        <v>1818</v>
      </c>
      <c r="C3348" s="20">
        <v>20.0</v>
      </c>
      <c r="D3348" s="27"/>
    </row>
    <row r="3349">
      <c r="A3349" s="28">
        <v>44808.0</v>
      </c>
      <c r="B3349" s="20" t="s">
        <v>1943</v>
      </c>
      <c r="C3349" s="20">
        <v>20.0</v>
      </c>
      <c r="D3349" s="27"/>
    </row>
    <row r="3350">
      <c r="A3350" s="28">
        <v>44808.0</v>
      </c>
      <c r="B3350" s="20" t="s">
        <v>1943</v>
      </c>
      <c r="C3350" s="20">
        <v>9.0</v>
      </c>
      <c r="D3350" s="27"/>
      <c r="E3350" s="20" t="s">
        <v>1929</v>
      </c>
    </row>
    <row r="3351">
      <c r="A3351" s="26">
        <v>44808.67126429398</v>
      </c>
      <c r="B3351" s="20" t="s">
        <v>1182</v>
      </c>
      <c r="C3351" s="20">
        <v>13.0</v>
      </c>
      <c r="D3351" s="27"/>
    </row>
    <row r="3352">
      <c r="A3352" s="26">
        <v>44808.67283142361</v>
      </c>
      <c r="B3352" s="20" t="s">
        <v>193</v>
      </c>
      <c r="C3352" s="20">
        <v>26.0</v>
      </c>
      <c r="D3352" s="27"/>
    </row>
    <row r="3353">
      <c r="A3353" s="26">
        <v>44808.69772787037</v>
      </c>
      <c r="B3353" s="20" t="s">
        <v>596</v>
      </c>
      <c r="C3353" s="20">
        <v>20.0</v>
      </c>
      <c r="D3353" s="27"/>
    </row>
    <row r="3354">
      <c r="A3354" s="26">
        <v>44808.69803417824</v>
      </c>
      <c r="B3354" s="20" t="s">
        <v>411</v>
      </c>
      <c r="C3354" s="20">
        <v>20.0</v>
      </c>
      <c r="D3354" s="27"/>
    </row>
    <row r="3355">
      <c r="A3355" s="28">
        <v>44810.0</v>
      </c>
      <c r="B3355" s="20" t="s">
        <v>1001</v>
      </c>
      <c r="C3355" s="20">
        <v>21.0</v>
      </c>
      <c r="D3355" s="27"/>
    </row>
    <row r="3356">
      <c r="A3356" s="28">
        <v>44810.0</v>
      </c>
      <c r="B3356" s="20" t="s">
        <v>1001</v>
      </c>
      <c r="C3356" s="20">
        <v>40.0</v>
      </c>
      <c r="D3356" s="27"/>
      <c r="E3356" s="20" t="s">
        <v>1929</v>
      </c>
    </row>
    <row r="3357">
      <c r="A3357" s="28">
        <v>44810.0</v>
      </c>
      <c r="B3357" s="20" t="s">
        <v>1137</v>
      </c>
      <c r="C3357" s="20">
        <v>10.0</v>
      </c>
      <c r="D3357" s="27"/>
    </row>
    <row r="3358">
      <c r="A3358" s="28">
        <v>44810.0</v>
      </c>
      <c r="B3358" s="20" t="s">
        <v>1137</v>
      </c>
      <c r="C3358" s="20">
        <v>84.0</v>
      </c>
      <c r="D3358" s="27"/>
      <c r="E3358" s="20" t="s">
        <v>1929</v>
      </c>
    </row>
    <row r="3359">
      <c r="A3359" s="26">
        <v>44810.69860454861</v>
      </c>
      <c r="B3359" s="20" t="s">
        <v>1944</v>
      </c>
      <c r="C3359" s="20">
        <v>15.0</v>
      </c>
      <c r="D3359" s="27"/>
    </row>
    <row r="3360">
      <c r="A3360" s="26">
        <v>44810.69885261574</v>
      </c>
      <c r="B3360" s="20" t="s">
        <v>1945</v>
      </c>
      <c r="C3360" s="20">
        <v>19.0</v>
      </c>
      <c r="D3360" s="27"/>
      <c r="E3360" s="20" t="s">
        <v>1929</v>
      </c>
    </row>
    <row r="3361">
      <c r="A3361" s="26">
        <v>44810.700949375</v>
      </c>
      <c r="B3361" s="20" t="s">
        <v>163</v>
      </c>
      <c r="C3361" s="20">
        <v>51.0</v>
      </c>
      <c r="D3361" s="27"/>
    </row>
    <row r="3362">
      <c r="A3362" s="26">
        <v>44810.70146768518</v>
      </c>
      <c r="B3362" s="20" t="s">
        <v>163</v>
      </c>
      <c r="C3362" s="20">
        <v>32.0</v>
      </c>
      <c r="D3362" s="27"/>
      <c r="E3362" s="20" t="s">
        <v>1929</v>
      </c>
    </row>
    <row r="3363">
      <c r="A3363" s="26">
        <v>44810.70451394676</v>
      </c>
      <c r="B3363" s="20" t="s">
        <v>995</v>
      </c>
      <c r="C3363" s="20">
        <v>20.0</v>
      </c>
      <c r="D3363" s="27"/>
    </row>
    <row r="3364">
      <c r="A3364" s="26">
        <v>44810.70487056713</v>
      </c>
      <c r="B3364" s="20" t="s">
        <v>528</v>
      </c>
      <c r="C3364" s="20">
        <v>31.0</v>
      </c>
      <c r="D3364" s="27"/>
      <c r="E3364" s="20" t="s">
        <v>1929</v>
      </c>
    </row>
    <row r="3365">
      <c r="A3365" s="26">
        <v>44810.70590226851</v>
      </c>
      <c r="B3365" s="20" t="s">
        <v>614</v>
      </c>
      <c r="C3365" s="20">
        <v>18.0</v>
      </c>
      <c r="D3365" s="27"/>
    </row>
    <row r="3366">
      <c r="A3366" s="26">
        <v>44810.70595246528</v>
      </c>
      <c r="B3366" s="20" t="s">
        <v>1946</v>
      </c>
      <c r="C3366" s="20">
        <v>17.0</v>
      </c>
      <c r="D3366" s="27"/>
    </row>
    <row r="3367">
      <c r="A3367" s="26">
        <v>44810.705958402774</v>
      </c>
      <c r="B3367" s="20" t="s">
        <v>1947</v>
      </c>
      <c r="C3367" s="20">
        <v>16.0</v>
      </c>
      <c r="D3367" s="27"/>
    </row>
    <row r="3368">
      <c r="A3368" s="26">
        <v>44810.70625805555</v>
      </c>
      <c r="B3368" s="20" t="s">
        <v>614</v>
      </c>
      <c r="C3368" s="20">
        <v>29.0</v>
      </c>
      <c r="D3368" s="27"/>
      <c r="E3368" s="20" t="s">
        <v>1929</v>
      </c>
    </row>
    <row r="3369">
      <c r="A3369" s="26">
        <v>44810.70630636574</v>
      </c>
      <c r="B3369" s="20" t="s">
        <v>1946</v>
      </c>
      <c r="C3369" s="20">
        <v>18.0</v>
      </c>
      <c r="D3369" s="27"/>
    </row>
    <row r="3370">
      <c r="A3370" s="26">
        <v>44810.706572361116</v>
      </c>
      <c r="B3370" s="20" t="s">
        <v>1947</v>
      </c>
      <c r="C3370" s="20">
        <v>21.0</v>
      </c>
      <c r="D3370" s="27"/>
      <c r="E3370" s="20" t="s">
        <v>1929</v>
      </c>
    </row>
    <row r="3371">
      <c r="A3371" s="28">
        <v>44811.0</v>
      </c>
      <c r="B3371" s="20" t="s">
        <v>370</v>
      </c>
      <c r="C3371" s="20">
        <v>4.0</v>
      </c>
      <c r="D3371" s="27"/>
    </row>
    <row r="3372">
      <c r="A3372" s="28">
        <v>44811.0</v>
      </c>
      <c r="B3372" s="20" t="s">
        <v>370</v>
      </c>
      <c r="C3372" s="20">
        <v>9.0</v>
      </c>
      <c r="D3372" s="27"/>
      <c r="E3372" s="20" t="s">
        <v>1929</v>
      </c>
    </row>
    <row r="3373">
      <c r="A3373" s="28">
        <v>44811.0</v>
      </c>
      <c r="B3373" s="20" t="s">
        <v>1610</v>
      </c>
      <c r="C3373" s="20">
        <v>19.0</v>
      </c>
      <c r="D3373" s="27"/>
    </row>
    <row r="3374">
      <c r="A3374" s="28">
        <v>44811.0</v>
      </c>
      <c r="B3374" s="20" t="s">
        <v>1890</v>
      </c>
      <c r="C3374" s="20">
        <v>20.0</v>
      </c>
      <c r="D3374" s="27"/>
    </row>
    <row r="3375">
      <c r="A3375" s="28">
        <v>44811.0</v>
      </c>
      <c r="B3375" s="20" t="s">
        <v>1890</v>
      </c>
      <c r="C3375" s="20">
        <v>10.0</v>
      </c>
      <c r="D3375" s="27"/>
      <c r="E3375" s="20" t="s">
        <v>1929</v>
      </c>
    </row>
    <row r="3376">
      <c r="A3376" s="28">
        <v>44811.0</v>
      </c>
      <c r="B3376" s="20" t="s">
        <v>1935</v>
      </c>
      <c r="C3376" s="20">
        <v>20.0</v>
      </c>
      <c r="D3376" s="27"/>
    </row>
    <row r="3377">
      <c r="A3377" s="28">
        <v>44811.0</v>
      </c>
      <c r="B3377" s="20" t="s">
        <v>1935</v>
      </c>
      <c r="C3377" s="20">
        <v>18.0</v>
      </c>
      <c r="D3377" s="27"/>
      <c r="E3377" s="20" t="s">
        <v>1929</v>
      </c>
    </row>
    <row r="3378">
      <c r="A3378" s="28">
        <v>44811.0</v>
      </c>
      <c r="B3378" s="20" t="s">
        <v>1803</v>
      </c>
      <c r="C3378" s="20">
        <v>20.0</v>
      </c>
      <c r="D3378" s="27"/>
    </row>
    <row r="3379">
      <c r="A3379" s="28">
        <v>44811.0</v>
      </c>
      <c r="B3379" s="20" t="s">
        <v>1948</v>
      </c>
      <c r="C3379" s="20">
        <v>20.0</v>
      </c>
      <c r="D3379" s="27"/>
    </row>
    <row r="3380">
      <c r="A3380" s="28">
        <v>44811.0</v>
      </c>
      <c r="B3380" s="20" t="s">
        <v>1949</v>
      </c>
      <c r="C3380" s="20">
        <v>17.0</v>
      </c>
      <c r="D3380" s="27"/>
    </row>
    <row r="3381">
      <c r="A3381" s="28">
        <v>44811.0</v>
      </c>
      <c r="B3381" s="20" t="s">
        <v>1949</v>
      </c>
      <c r="C3381" s="20">
        <v>9.0</v>
      </c>
      <c r="D3381" s="27"/>
      <c r="E3381" s="20" t="s">
        <v>1929</v>
      </c>
    </row>
    <row r="3382">
      <c r="A3382" s="28">
        <v>44811.0</v>
      </c>
      <c r="B3382" s="20" t="s">
        <v>1950</v>
      </c>
      <c r="C3382" s="20">
        <v>20.0</v>
      </c>
      <c r="D3382" s="27"/>
    </row>
    <row r="3383">
      <c r="A3383" s="26">
        <v>44811.71686829861</v>
      </c>
      <c r="B3383" s="20" t="s">
        <v>824</v>
      </c>
      <c r="C3383" s="20">
        <v>19.0</v>
      </c>
      <c r="D3383" s="27"/>
    </row>
    <row r="3384">
      <c r="A3384" s="26">
        <v>44811.716960300924</v>
      </c>
      <c r="B3384" s="20" t="s">
        <v>242</v>
      </c>
      <c r="C3384" s="20">
        <v>20.0</v>
      </c>
      <c r="D3384" s="27"/>
    </row>
    <row r="3385">
      <c r="A3385" s="26">
        <v>44811.8667456713</v>
      </c>
      <c r="B3385" s="20" t="s">
        <v>818</v>
      </c>
      <c r="C3385" s="20" t="s">
        <v>1722</v>
      </c>
      <c r="D3385" s="27"/>
    </row>
    <row r="3386">
      <c r="A3386" s="28">
        <v>44812.0</v>
      </c>
      <c r="B3386" s="20" t="s">
        <v>1241</v>
      </c>
      <c r="C3386" s="20">
        <v>15.0</v>
      </c>
      <c r="D3386" s="27"/>
    </row>
    <row r="3387">
      <c r="A3387" s="28">
        <v>44812.0</v>
      </c>
      <c r="B3387" s="20" t="s">
        <v>1001</v>
      </c>
      <c r="C3387" s="20">
        <v>20.0</v>
      </c>
      <c r="D3387" s="27"/>
    </row>
    <row r="3388">
      <c r="A3388" s="28">
        <v>44812.0</v>
      </c>
      <c r="B3388" s="20" t="s">
        <v>1001</v>
      </c>
      <c r="C3388" s="20">
        <v>14.0</v>
      </c>
      <c r="D3388" s="27"/>
      <c r="E3388" s="20" t="s">
        <v>1929</v>
      </c>
    </row>
    <row r="3389">
      <c r="A3389" s="28">
        <v>44812.0</v>
      </c>
      <c r="B3389" s="20" t="s">
        <v>1924</v>
      </c>
      <c r="C3389" s="20">
        <v>20.0</v>
      </c>
      <c r="D3389" s="27"/>
    </row>
    <row r="3390">
      <c r="A3390" s="28">
        <v>44812.0</v>
      </c>
      <c r="B3390" s="20" t="s">
        <v>1932</v>
      </c>
      <c r="C3390" s="20">
        <v>20.0</v>
      </c>
      <c r="D3390" s="27"/>
    </row>
    <row r="3391">
      <c r="A3391" s="28">
        <v>44812.0</v>
      </c>
      <c r="B3391" s="20" t="s">
        <v>1794</v>
      </c>
      <c r="C3391" s="20">
        <v>8.0</v>
      </c>
      <c r="D3391" s="27"/>
    </row>
    <row r="3392">
      <c r="A3392" s="28">
        <v>44812.0</v>
      </c>
      <c r="B3392" s="20" t="s">
        <v>777</v>
      </c>
      <c r="C3392" s="20">
        <v>12.0</v>
      </c>
      <c r="D3392" s="27"/>
    </row>
    <row r="3393">
      <c r="A3393" s="26">
        <v>44812.70637428241</v>
      </c>
      <c r="B3393" s="20" t="s">
        <v>163</v>
      </c>
      <c r="C3393" s="20">
        <v>45.0</v>
      </c>
      <c r="D3393" s="27"/>
    </row>
    <row r="3394">
      <c r="A3394" s="26">
        <v>44812.70723162037</v>
      </c>
      <c r="B3394" s="20" t="s">
        <v>1951</v>
      </c>
      <c r="C3394" s="20">
        <v>1.5</v>
      </c>
      <c r="D3394" s="27"/>
    </row>
    <row r="3395">
      <c r="A3395" s="26">
        <v>44812.71661175926</v>
      </c>
      <c r="B3395" s="20" t="s">
        <v>966</v>
      </c>
      <c r="C3395" s="20">
        <v>19.0</v>
      </c>
      <c r="D3395" s="27"/>
    </row>
    <row r="3396">
      <c r="A3396" s="28">
        <v>44813.0</v>
      </c>
      <c r="B3396" s="20" t="s">
        <v>370</v>
      </c>
      <c r="C3396" s="20">
        <v>8.0</v>
      </c>
      <c r="D3396" s="27"/>
    </row>
    <row r="3397">
      <c r="A3397" s="28">
        <v>44813.0</v>
      </c>
      <c r="B3397" s="20" t="s">
        <v>370</v>
      </c>
      <c r="C3397" s="20">
        <v>3.0</v>
      </c>
      <c r="D3397" s="27"/>
      <c r="E3397" s="20" t="s">
        <v>1929</v>
      </c>
    </row>
    <row r="3398">
      <c r="A3398" s="26">
        <v>44813.695093842594</v>
      </c>
      <c r="B3398" s="20" t="s">
        <v>361</v>
      </c>
      <c r="C3398" s="20">
        <v>20.0</v>
      </c>
      <c r="D3398" s="27"/>
    </row>
    <row r="3399">
      <c r="A3399" s="26">
        <v>44813.69678701389</v>
      </c>
      <c r="B3399" s="20" t="s">
        <v>576</v>
      </c>
      <c r="C3399" s="20">
        <v>12.0</v>
      </c>
      <c r="D3399" s="27"/>
    </row>
    <row r="3400">
      <c r="A3400" s="26">
        <v>44813.69923136574</v>
      </c>
      <c r="B3400" s="20" t="s">
        <v>344</v>
      </c>
      <c r="C3400" s="20">
        <v>20.0</v>
      </c>
      <c r="D3400" s="27"/>
    </row>
    <row r="3401">
      <c r="A3401" s="26">
        <v>44813.69941351852</v>
      </c>
      <c r="B3401" s="20" t="s">
        <v>344</v>
      </c>
      <c r="C3401" s="20">
        <v>18.0</v>
      </c>
      <c r="D3401" s="27"/>
      <c r="E3401" s="20" t="s">
        <v>1929</v>
      </c>
    </row>
    <row r="3402">
      <c r="A3402" s="28">
        <v>44814.0</v>
      </c>
      <c r="B3402" s="20" t="s">
        <v>1913</v>
      </c>
      <c r="C3402" s="20">
        <v>9.0</v>
      </c>
      <c r="D3402" s="27"/>
    </row>
    <row r="3403">
      <c r="A3403" s="28">
        <v>44814.0</v>
      </c>
      <c r="B3403" s="20" t="s">
        <v>300</v>
      </c>
      <c r="C3403" s="20">
        <v>19.0</v>
      </c>
      <c r="D3403" s="27"/>
    </row>
    <row r="3404">
      <c r="A3404" s="28">
        <v>44814.0</v>
      </c>
      <c r="B3404" s="20" t="s">
        <v>300</v>
      </c>
      <c r="C3404" s="20">
        <v>1.0</v>
      </c>
      <c r="D3404" s="27"/>
      <c r="E3404" s="20" t="s">
        <v>1929</v>
      </c>
    </row>
    <row r="3405">
      <c r="A3405" s="28">
        <v>44814.0</v>
      </c>
      <c r="B3405" s="20" t="s">
        <v>1952</v>
      </c>
      <c r="C3405" s="20">
        <v>18.0</v>
      </c>
      <c r="D3405" s="27"/>
    </row>
    <row r="3406">
      <c r="A3406" s="28">
        <v>44814.0</v>
      </c>
      <c r="B3406" s="20" t="s">
        <v>1935</v>
      </c>
      <c r="C3406" s="20">
        <v>20.0</v>
      </c>
      <c r="D3406" s="27"/>
    </row>
    <row r="3407">
      <c r="A3407" s="28">
        <v>44814.0</v>
      </c>
      <c r="B3407" s="20" t="s">
        <v>370</v>
      </c>
      <c r="C3407" s="20">
        <v>6.0</v>
      </c>
      <c r="D3407" s="27"/>
    </row>
    <row r="3408">
      <c r="A3408" s="28">
        <v>44814.0</v>
      </c>
      <c r="B3408" s="20" t="s">
        <v>370</v>
      </c>
      <c r="C3408" s="20">
        <v>8.0</v>
      </c>
      <c r="D3408" s="27"/>
      <c r="E3408" s="20" t="s">
        <v>1929</v>
      </c>
    </row>
    <row r="3409">
      <c r="A3409" s="28">
        <v>44814.0</v>
      </c>
      <c r="B3409" s="20" t="s">
        <v>1835</v>
      </c>
      <c r="C3409" s="20">
        <v>20.0</v>
      </c>
      <c r="D3409" s="27"/>
    </row>
    <row r="3410">
      <c r="A3410" s="28">
        <v>44814.0</v>
      </c>
      <c r="B3410" s="20" t="s">
        <v>1953</v>
      </c>
      <c r="C3410" s="20">
        <v>20.0</v>
      </c>
      <c r="D3410" s="27"/>
    </row>
    <row r="3411">
      <c r="A3411" s="26">
        <v>44814.699322175926</v>
      </c>
      <c r="B3411" s="20" t="s">
        <v>1880</v>
      </c>
      <c r="C3411" s="20">
        <v>12.0</v>
      </c>
      <c r="D3411" s="27"/>
    </row>
    <row r="3412">
      <c r="A3412" s="28">
        <v>44814.0</v>
      </c>
      <c r="B3412" s="20" t="s">
        <v>1880</v>
      </c>
      <c r="C3412" s="20">
        <v>12.0</v>
      </c>
      <c r="D3412" s="27"/>
      <c r="E3412" s="20" t="s">
        <v>1929</v>
      </c>
    </row>
    <row r="3413">
      <c r="A3413" s="26">
        <v>44814.699712430556</v>
      </c>
      <c r="B3413" s="20" t="s">
        <v>126</v>
      </c>
      <c r="C3413" s="20">
        <v>20.0</v>
      </c>
      <c r="D3413" s="27"/>
    </row>
    <row r="3414">
      <c r="A3414" s="26">
        <v>44814.69986840278</v>
      </c>
      <c r="B3414" s="20" t="s">
        <v>126</v>
      </c>
      <c r="C3414" s="20">
        <v>34.0</v>
      </c>
      <c r="D3414" s="27"/>
      <c r="E3414" s="20" t="s">
        <v>1929</v>
      </c>
    </row>
    <row r="3415">
      <c r="A3415" s="26">
        <v>44814.70033204861</v>
      </c>
      <c r="B3415" s="20" t="s">
        <v>1909</v>
      </c>
      <c r="C3415" s="20">
        <v>18.0</v>
      </c>
      <c r="D3415" s="27"/>
    </row>
    <row r="3416">
      <c r="A3416" s="28">
        <v>44814.0</v>
      </c>
      <c r="B3416" s="20" t="s">
        <v>1909</v>
      </c>
      <c r="C3416" s="20">
        <v>3.0</v>
      </c>
      <c r="D3416" s="27"/>
      <c r="E3416" s="20" t="s">
        <v>1954</v>
      </c>
    </row>
    <row r="3417">
      <c r="A3417" s="26">
        <v>44814.70230607639</v>
      </c>
      <c r="B3417" s="20" t="s">
        <v>1914</v>
      </c>
      <c r="C3417" s="20">
        <v>18.0</v>
      </c>
      <c r="D3417" s="27"/>
    </row>
    <row r="3418">
      <c r="A3418" s="28">
        <v>44814.0</v>
      </c>
      <c r="B3418" s="20" t="s">
        <v>1914</v>
      </c>
      <c r="C3418" s="20">
        <v>9.0</v>
      </c>
      <c r="D3418" s="27"/>
      <c r="E3418" s="20" t="s">
        <v>1954</v>
      </c>
    </row>
    <row r="3419">
      <c r="A3419" s="26">
        <v>44814.708589918984</v>
      </c>
      <c r="B3419" s="20" t="s">
        <v>1509</v>
      </c>
      <c r="C3419" s="20">
        <v>14.0</v>
      </c>
      <c r="D3419" s="27"/>
    </row>
    <row r="3420">
      <c r="A3420" s="26">
        <v>44814.70890587963</v>
      </c>
      <c r="B3420" s="20" t="s">
        <v>1955</v>
      </c>
      <c r="C3420" s="20">
        <v>9.0</v>
      </c>
      <c r="D3420" s="27"/>
    </row>
    <row r="3421">
      <c r="A3421" s="26">
        <v>44814.708964502315</v>
      </c>
      <c r="B3421" s="20" t="s">
        <v>1956</v>
      </c>
      <c r="C3421" s="20">
        <v>17.0</v>
      </c>
      <c r="D3421" s="27"/>
    </row>
    <row r="3422">
      <c r="A3422" s="26">
        <v>44814.70897871528</v>
      </c>
      <c r="B3422" s="20" t="s">
        <v>1509</v>
      </c>
      <c r="C3422" s="20">
        <v>1.0</v>
      </c>
      <c r="D3422" s="27"/>
      <c r="E3422" s="20" t="s">
        <v>1929</v>
      </c>
    </row>
    <row r="3423">
      <c r="A3423" s="26">
        <v>44814.70902083333</v>
      </c>
      <c r="B3423" s="20" t="s">
        <v>1518</v>
      </c>
      <c r="C3423" s="20">
        <v>18.0</v>
      </c>
      <c r="D3423" s="27"/>
    </row>
    <row r="3424">
      <c r="A3424" s="28">
        <v>44814.0</v>
      </c>
      <c r="B3424" s="20" t="s">
        <v>1518</v>
      </c>
      <c r="C3424" s="20">
        <v>2.0</v>
      </c>
      <c r="D3424" s="27"/>
      <c r="E3424" s="20" t="s">
        <v>1929</v>
      </c>
    </row>
    <row r="3425">
      <c r="A3425" s="26">
        <v>44814.71118210648</v>
      </c>
      <c r="B3425" s="20" t="s">
        <v>1632</v>
      </c>
      <c r="C3425" s="20">
        <v>17.0</v>
      </c>
      <c r="D3425" s="27"/>
    </row>
    <row r="3426">
      <c r="A3426" s="26">
        <v>44814.72477210648</v>
      </c>
      <c r="B3426" s="20" t="s">
        <v>384</v>
      </c>
      <c r="C3426" s="20">
        <v>16.0</v>
      </c>
      <c r="D3426" s="27"/>
    </row>
    <row r="3427">
      <c r="A3427" s="26">
        <v>44814.72529127315</v>
      </c>
      <c r="B3427" s="20" t="s">
        <v>1756</v>
      </c>
      <c r="C3427" s="20">
        <v>13.0</v>
      </c>
      <c r="D3427" s="27"/>
    </row>
    <row r="3428">
      <c r="A3428" s="26">
        <v>44815.632461284724</v>
      </c>
      <c r="B3428" s="20" t="s">
        <v>637</v>
      </c>
      <c r="C3428" s="20">
        <v>1.0</v>
      </c>
      <c r="D3428" s="27"/>
    </row>
    <row r="3429">
      <c r="A3429" s="26">
        <v>44815.662335706016</v>
      </c>
      <c r="B3429" s="20" t="s">
        <v>1350</v>
      </c>
      <c r="C3429" s="20">
        <v>20.0</v>
      </c>
      <c r="D3429" s="27"/>
    </row>
    <row r="3430">
      <c r="A3430" s="28">
        <v>44815.0</v>
      </c>
      <c r="B3430" s="20" t="s">
        <v>1350</v>
      </c>
      <c r="C3430" s="20">
        <v>26.0</v>
      </c>
      <c r="D3430" s="27"/>
      <c r="E3430" s="20" t="s">
        <v>1929</v>
      </c>
    </row>
    <row r="3431">
      <c r="A3431" s="28">
        <v>44815.0</v>
      </c>
      <c r="B3431" s="20" t="s">
        <v>1818</v>
      </c>
      <c r="C3431" s="20">
        <v>11.0</v>
      </c>
      <c r="D3431" s="27"/>
    </row>
    <row r="3432">
      <c r="A3432" s="28">
        <v>44815.0</v>
      </c>
      <c r="B3432" s="20" t="s">
        <v>1818</v>
      </c>
      <c r="C3432" s="20">
        <v>3.0</v>
      </c>
      <c r="D3432" s="27"/>
      <c r="E3432" s="20" t="s">
        <v>1929</v>
      </c>
    </row>
    <row r="3433">
      <c r="A3433" s="28">
        <v>44815.0</v>
      </c>
      <c r="B3433" s="20" t="s">
        <v>995</v>
      </c>
      <c r="C3433" s="20">
        <v>13.0</v>
      </c>
      <c r="D3433" s="27"/>
    </row>
    <row r="3434">
      <c r="A3434" s="28">
        <v>44815.0</v>
      </c>
      <c r="B3434" s="20" t="s">
        <v>995</v>
      </c>
      <c r="C3434" s="20">
        <v>17.0</v>
      </c>
      <c r="D3434" s="27"/>
      <c r="E3434" s="20" t="s">
        <v>1929</v>
      </c>
    </row>
    <row r="3435">
      <c r="A3435" s="28">
        <v>44815.0</v>
      </c>
      <c r="B3435" s="20" t="s">
        <v>1137</v>
      </c>
      <c r="C3435" s="20">
        <v>18.0</v>
      </c>
      <c r="D3435" s="27"/>
    </row>
    <row r="3436">
      <c r="A3436" s="28">
        <v>44815.0</v>
      </c>
      <c r="B3436" s="20" t="s">
        <v>1137</v>
      </c>
      <c r="C3436" s="20">
        <v>29.0</v>
      </c>
      <c r="D3436" s="27"/>
      <c r="E3436" s="20" t="s">
        <v>1929</v>
      </c>
    </row>
    <row r="3437">
      <c r="A3437" s="28">
        <v>44815.0</v>
      </c>
      <c r="B3437" s="20" t="s">
        <v>1943</v>
      </c>
      <c r="C3437" s="20">
        <v>20.0</v>
      </c>
      <c r="D3437" s="27"/>
    </row>
    <row r="3438">
      <c r="A3438" s="28">
        <v>44815.0</v>
      </c>
      <c r="B3438" s="20" t="s">
        <v>1943</v>
      </c>
      <c r="C3438" s="20">
        <v>20.0</v>
      </c>
      <c r="D3438" s="27"/>
      <c r="E3438" s="20" t="s">
        <v>1929</v>
      </c>
    </row>
    <row r="3439">
      <c r="A3439" s="28">
        <v>44815.0</v>
      </c>
      <c r="B3439" s="20" t="s">
        <v>554</v>
      </c>
      <c r="C3439" s="20">
        <v>20.0</v>
      </c>
      <c r="D3439" s="27"/>
    </row>
    <row r="3440">
      <c r="A3440" s="28">
        <v>44815.0</v>
      </c>
      <c r="B3440" s="20" t="s">
        <v>554</v>
      </c>
      <c r="C3440" s="20">
        <v>3.0</v>
      </c>
      <c r="D3440" s="27"/>
      <c r="E3440" s="20" t="s">
        <v>1929</v>
      </c>
    </row>
    <row r="3441">
      <c r="A3441" s="26">
        <v>44815.67642116898</v>
      </c>
      <c r="B3441" s="20" t="s">
        <v>596</v>
      </c>
      <c r="C3441" s="20">
        <v>4.0</v>
      </c>
      <c r="D3441" s="27"/>
    </row>
    <row r="3442">
      <c r="A3442" s="26">
        <v>44815.676532627316</v>
      </c>
      <c r="B3442" s="20" t="s">
        <v>411</v>
      </c>
      <c r="C3442" s="20">
        <v>11.0</v>
      </c>
      <c r="D3442" s="27"/>
    </row>
    <row r="3443">
      <c r="A3443" s="28">
        <v>44817.0</v>
      </c>
      <c r="B3443" s="20" t="s">
        <v>1905</v>
      </c>
      <c r="C3443" s="20">
        <v>20.0</v>
      </c>
      <c r="D3443" s="27"/>
    </row>
    <row r="3444">
      <c r="A3444" s="28">
        <v>44817.0</v>
      </c>
      <c r="B3444" s="20" t="s">
        <v>1905</v>
      </c>
      <c r="C3444" s="20">
        <v>7.0</v>
      </c>
      <c r="D3444" s="27"/>
      <c r="E3444" s="20" t="s">
        <v>1929</v>
      </c>
    </row>
    <row r="3445">
      <c r="A3445" s="28">
        <v>44817.0</v>
      </c>
      <c r="B3445" s="20" t="s">
        <v>163</v>
      </c>
      <c r="C3445" s="20">
        <v>17.0</v>
      </c>
      <c r="D3445" s="27"/>
    </row>
    <row r="3446">
      <c r="A3446" s="28">
        <v>44817.0</v>
      </c>
      <c r="B3446" s="20" t="s">
        <v>163</v>
      </c>
      <c r="C3446" s="20">
        <v>16.0</v>
      </c>
      <c r="D3446" s="27"/>
      <c r="E3446" s="20" t="s">
        <v>1929</v>
      </c>
    </row>
    <row r="3447">
      <c r="A3447" s="26">
        <v>44817.70306564815</v>
      </c>
      <c r="B3447" s="20" t="s">
        <v>1957</v>
      </c>
      <c r="C3447" s="20">
        <v>18.0</v>
      </c>
      <c r="D3447" s="27"/>
    </row>
    <row r="3448">
      <c r="A3448" s="26">
        <v>44817.70596517361</v>
      </c>
      <c r="B3448" s="20" t="s">
        <v>1947</v>
      </c>
      <c r="C3448" s="20">
        <v>18.0</v>
      </c>
      <c r="D3448" s="27"/>
    </row>
    <row r="3449">
      <c r="A3449" s="26">
        <v>44817.70599</v>
      </c>
      <c r="B3449" s="20" t="s">
        <v>1946</v>
      </c>
      <c r="C3449" s="20">
        <v>13.0</v>
      </c>
      <c r="D3449" s="27"/>
    </row>
    <row r="3450">
      <c r="A3450" s="26">
        <v>44817.70634943287</v>
      </c>
      <c r="B3450" s="20" t="s">
        <v>1946</v>
      </c>
      <c r="C3450" s="20">
        <v>5.0</v>
      </c>
      <c r="D3450" s="27"/>
      <c r="E3450" s="20" t="s">
        <v>1929</v>
      </c>
    </row>
    <row r="3451">
      <c r="A3451" s="26">
        <v>44817.7064097338</v>
      </c>
      <c r="B3451" s="20" t="s">
        <v>1947</v>
      </c>
      <c r="C3451" s="20">
        <v>11.0</v>
      </c>
      <c r="D3451" s="27"/>
      <c r="E3451" s="20" t="s">
        <v>1929</v>
      </c>
    </row>
    <row r="3452">
      <c r="A3452" s="26">
        <v>44817.707914768514</v>
      </c>
      <c r="B3452" s="20" t="s">
        <v>1958</v>
      </c>
      <c r="C3452" s="20">
        <v>15.0</v>
      </c>
      <c r="D3452" s="27"/>
    </row>
    <row r="3453">
      <c r="A3453" s="28">
        <v>44817.0</v>
      </c>
      <c r="B3453" s="20" t="s">
        <v>1958</v>
      </c>
      <c r="C3453" s="20">
        <v>20.0</v>
      </c>
      <c r="D3453" s="27"/>
      <c r="E3453" s="20" t="s">
        <v>1929</v>
      </c>
    </row>
    <row r="3454">
      <c r="A3454" s="26">
        <v>44817.710013275464</v>
      </c>
      <c r="B3454" s="20" t="s">
        <v>528</v>
      </c>
      <c r="C3454" s="20">
        <v>20.0</v>
      </c>
      <c r="D3454" s="27"/>
    </row>
    <row r="3455">
      <c r="A3455" s="26">
        <v>44817.7101565162</v>
      </c>
      <c r="B3455" s="20" t="s">
        <v>1959</v>
      </c>
      <c r="C3455" s="20">
        <v>16.0</v>
      </c>
      <c r="D3455" s="27"/>
    </row>
    <row r="3456">
      <c r="A3456" s="26">
        <v>44817.71020636574</v>
      </c>
      <c r="B3456" s="20" t="s">
        <v>528</v>
      </c>
      <c r="C3456" s="20">
        <v>9.0</v>
      </c>
      <c r="D3456" s="27"/>
      <c r="E3456" s="20" t="s">
        <v>1960</v>
      </c>
    </row>
    <row r="3457">
      <c r="A3457" s="26">
        <v>44817.71155049768</v>
      </c>
      <c r="B3457" s="20" t="s">
        <v>614</v>
      </c>
      <c r="C3457" s="20">
        <v>20.0</v>
      </c>
      <c r="D3457" s="27"/>
    </row>
    <row r="3458">
      <c r="A3458" s="26">
        <v>44817.71177061343</v>
      </c>
      <c r="B3458" s="20" t="s">
        <v>614</v>
      </c>
      <c r="C3458" s="20">
        <v>11.0</v>
      </c>
      <c r="D3458" s="27"/>
      <c r="E3458" s="20" t="s">
        <v>1929</v>
      </c>
    </row>
    <row r="3459">
      <c r="A3459" s="28">
        <v>44818.0</v>
      </c>
      <c r="B3459" s="20" t="s">
        <v>1958</v>
      </c>
      <c r="C3459" s="20">
        <v>19.0</v>
      </c>
      <c r="D3459" s="27"/>
    </row>
    <row r="3460">
      <c r="A3460" s="28">
        <v>44818.0</v>
      </c>
      <c r="B3460" s="20" t="s">
        <v>370</v>
      </c>
      <c r="C3460" s="20">
        <v>13.0</v>
      </c>
      <c r="D3460" s="27"/>
    </row>
    <row r="3461">
      <c r="A3461" s="28">
        <v>44818.0</v>
      </c>
      <c r="B3461" s="20" t="s">
        <v>370</v>
      </c>
      <c r="C3461" s="20">
        <v>34.0</v>
      </c>
      <c r="D3461" s="27"/>
      <c r="E3461" s="20" t="s">
        <v>1929</v>
      </c>
    </row>
    <row r="3462">
      <c r="A3462" s="26">
        <v>44818.61182284722</v>
      </c>
      <c r="B3462" s="20" t="s">
        <v>1961</v>
      </c>
      <c r="C3462" s="20">
        <v>16.0</v>
      </c>
      <c r="D3462" s="27"/>
    </row>
    <row r="3463">
      <c r="A3463" s="26">
        <v>44818.61225755787</v>
      </c>
      <c r="B3463" s="20" t="s">
        <v>1823</v>
      </c>
      <c r="C3463" s="20">
        <v>12.0</v>
      </c>
      <c r="D3463" s="27"/>
    </row>
    <row r="3464">
      <c r="A3464" s="26">
        <v>44818.84018355324</v>
      </c>
      <c r="B3464" s="20" t="s">
        <v>1551</v>
      </c>
      <c r="C3464" s="20">
        <v>10.0</v>
      </c>
      <c r="D3464" s="27"/>
    </row>
    <row r="3465">
      <c r="A3465" s="26">
        <v>44818.840447083334</v>
      </c>
      <c r="B3465" s="20" t="s">
        <v>1713</v>
      </c>
      <c r="C3465" s="20">
        <v>6.0</v>
      </c>
      <c r="D3465" s="27"/>
    </row>
    <row r="3466">
      <c r="A3466" s="26">
        <v>44818.84054697916</v>
      </c>
      <c r="B3466" s="20" t="s">
        <v>1962</v>
      </c>
      <c r="C3466" s="20">
        <v>9.0</v>
      </c>
      <c r="D3466" s="27"/>
    </row>
    <row r="3467">
      <c r="A3467" s="26">
        <v>44818.840566377316</v>
      </c>
      <c r="B3467" s="20" t="s">
        <v>1963</v>
      </c>
      <c r="C3467" s="20">
        <v>20.0</v>
      </c>
      <c r="D3467" s="27"/>
    </row>
    <row r="3468">
      <c r="A3468" s="26">
        <v>44818.84658798611</v>
      </c>
      <c r="B3468" s="20" t="s">
        <v>824</v>
      </c>
      <c r="C3468" s="20">
        <v>20.0</v>
      </c>
      <c r="D3468" s="27"/>
    </row>
    <row r="3469">
      <c r="A3469" s="26">
        <v>44818.846930451386</v>
      </c>
      <c r="B3469" s="20" t="s">
        <v>824</v>
      </c>
      <c r="C3469" s="20">
        <v>15.0</v>
      </c>
      <c r="D3469" s="27"/>
      <c r="E3469" s="20" t="s">
        <v>1929</v>
      </c>
    </row>
    <row r="3470">
      <c r="A3470" s="28">
        <v>44819.0</v>
      </c>
      <c r="B3470" s="20" t="s">
        <v>1001</v>
      </c>
      <c r="C3470" s="20">
        <v>19.0</v>
      </c>
      <c r="D3470" s="27"/>
    </row>
    <row r="3471">
      <c r="A3471" s="28">
        <v>44819.0</v>
      </c>
      <c r="B3471" s="20" t="s">
        <v>1001</v>
      </c>
      <c r="C3471" s="20">
        <v>13.0</v>
      </c>
      <c r="D3471" s="27"/>
      <c r="E3471" s="20" t="s">
        <v>1929</v>
      </c>
    </row>
    <row r="3472">
      <c r="A3472" s="28">
        <v>44819.0</v>
      </c>
      <c r="B3472" s="20" t="s">
        <v>1241</v>
      </c>
      <c r="C3472" s="20">
        <v>20.0</v>
      </c>
      <c r="D3472" s="27"/>
    </row>
    <row r="3473">
      <c r="A3473" s="28">
        <v>44819.0</v>
      </c>
      <c r="B3473" s="20" t="s">
        <v>1241</v>
      </c>
      <c r="C3473" s="20">
        <v>41.0</v>
      </c>
      <c r="D3473" s="27"/>
      <c r="E3473" s="20" t="s">
        <v>1929</v>
      </c>
    </row>
    <row r="3474">
      <c r="A3474" s="26">
        <v>44819.697937731486</v>
      </c>
      <c r="B3474" s="20" t="s">
        <v>1964</v>
      </c>
      <c r="C3474" s="20">
        <v>16.0</v>
      </c>
      <c r="D3474" s="27"/>
    </row>
    <row r="3475">
      <c r="A3475" s="26">
        <v>44819.698156956016</v>
      </c>
      <c r="B3475" s="20" t="s">
        <v>327</v>
      </c>
      <c r="C3475" s="20">
        <v>13.0</v>
      </c>
      <c r="D3475" s="27"/>
    </row>
    <row r="3476">
      <c r="A3476" s="26">
        <v>44819.698779756945</v>
      </c>
      <c r="B3476" s="20" t="s">
        <v>163</v>
      </c>
      <c r="C3476" s="20">
        <v>32.0</v>
      </c>
      <c r="D3476" s="27"/>
    </row>
    <row r="3477">
      <c r="A3477" s="26">
        <v>44819.86643475694</v>
      </c>
      <c r="B3477" s="20" t="s">
        <v>437</v>
      </c>
      <c r="C3477" s="20">
        <v>20.0</v>
      </c>
      <c r="D3477" s="27"/>
    </row>
    <row r="3478">
      <c r="A3478" s="28">
        <v>44820.0</v>
      </c>
      <c r="B3478" s="20" t="s">
        <v>370</v>
      </c>
      <c r="C3478" s="20">
        <v>5.0</v>
      </c>
      <c r="D3478" s="27"/>
    </row>
    <row r="3479">
      <c r="A3479" s="28">
        <v>44820.0</v>
      </c>
      <c r="B3479" s="20" t="s">
        <v>370</v>
      </c>
      <c r="C3479" s="20">
        <v>6.0</v>
      </c>
      <c r="D3479" s="27"/>
      <c r="E3479" s="20" t="s">
        <v>1929</v>
      </c>
    </row>
    <row r="3480">
      <c r="A3480" s="28">
        <v>44820.0</v>
      </c>
      <c r="B3480" s="20" t="s">
        <v>344</v>
      </c>
      <c r="C3480" s="20">
        <v>12.0</v>
      </c>
      <c r="D3480" s="27"/>
    </row>
    <row r="3481">
      <c r="A3481" s="28">
        <v>44820.0</v>
      </c>
      <c r="B3481" s="20" t="s">
        <v>344</v>
      </c>
      <c r="C3481" s="20">
        <v>21.0</v>
      </c>
      <c r="D3481" s="27"/>
      <c r="E3481" s="20" t="s">
        <v>1929</v>
      </c>
    </row>
    <row r="3482">
      <c r="A3482" s="28">
        <v>44820.0</v>
      </c>
      <c r="B3482" s="20" t="s">
        <v>1137</v>
      </c>
      <c r="C3482" s="20">
        <v>9.0</v>
      </c>
      <c r="D3482" s="27"/>
    </row>
    <row r="3483">
      <c r="A3483" s="28">
        <v>44820.0</v>
      </c>
      <c r="B3483" s="20" t="s">
        <v>1137</v>
      </c>
      <c r="C3483" s="20">
        <v>8.0</v>
      </c>
      <c r="D3483" s="27"/>
      <c r="E3483" s="20" t="s">
        <v>1929</v>
      </c>
    </row>
    <row r="3484">
      <c r="A3484" s="26">
        <v>44820.709416956015</v>
      </c>
      <c r="B3484" s="20" t="s">
        <v>591</v>
      </c>
      <c r="C3484" s="20">
        <v>3.0</v>
      </c>
      <c r="D3484" s="27"/>
    </row>
    <row r="3485">
      <c r="A3485" s="26">
        <v>44820.7105474537</v>
      </c>
      <c r="B3485" s="20" t="s">
        <v>576</v>
      </c>
      <c r="C3485" s="20">
        <v>2.0</v>
      </c>
      <c r="D3485" s="27"/>
    </row>
    <row r="3486">
      <c r="A3486" s="28">
        <v>44821.0</v>
      </c>
      <c r="B3486" s="20" t="s">
        <v>91</v>
      </c>
      <c r="C3486" s="20">
        <v>4.0</v>
      </c>
      <c r="D3486" s="27"/>
    </row>
    <row r="3487">
      <c r="A3487" s="28">
        <v>44821.0</v>
      </c>
      <c r="B3487" s="20" t="s">
        <v>1868</v>
      </c>
      <c r="C3487" s="20">
        <v>13.0</v>
      </c>
      <c r="D3487" s="27"/>
    </row>
    <row r="3488">
      <c r="A3488" s="28">
        <v>44821.0</v>
      </c>
      <c r="B3488" s="20" t="s">
        <v>1834</v>
      </c>
      <c r="C3488" s="20">
        <v>20.0</v>
      </c>
      <c r="D3488" s="27"/>
    </row>
    <row r="3489">
      <c r="A3489" s="28">
        <v>44821.0</v>
      </c>
      <c r="B3489" s="20" t="s">
        <v>1241</v>
      </c>
      <c r="C3489" s="20">
        <v>12.0</v>
      </c>
      <c r="D3489" s="27"/>
    </row>
    <row r="3490">
      <c r="A3490" s="28">
        <v>44821.0</v>
      </c>
      <c r="B3490" s="20" t="s">
        <v>1835</v>
      </c>
      <c r="C3490" s="20">
        <v>20.0</v>
      </c>
      <c r="D3490" s="27"/>
    </row>
    <row r="3491">
      <c r="A3491" s="28">
        <v>44821.0</v>
      </c>
      <c r="B3491" s="20" t="s">
        <v>370</v>
      </c>
      <c r="C3491" s="20">
        <v>8.0</v>
      </c>
      <c r="D3491" s="27"/>
      <c r="E3491" s="20" t="s">
        <v>1929</v>
      </c>
    </row>
    <row r="3492">
      <c r="A3492" s="28">
        <v>44821.0</v>
      </c>
      <c r="B3492" s="20" t="s">
        <v>1953</v>
      </c>
      <c r="C3492" s="20">
        <v>14.0</v>
      </c>
      <c r="D3492" s="27"/>
    </row>
    <row r="3493">
      <c r="A3493" s="28">
        <v>44821.0</v>
      </c>
      <c r="B3493" s="20" t="s">
        <v>1908</v>
      </c>
      <c r="C3493" s="20">
        <v>20.0</v>
      </c>
      <c r="D3493" s="27"/>
    </row>
    <row r="3494">
      <c r="A3494" s="28">
        <v>44821.0</v>
      </c>
      <c r="B3494" s="20" t="s">
        <v>1909</v>
      </c>
      <c r="C3494" s="20">
        <v>20.0</v>
      </c>
      <c r="D3494" s="27"/>
    </row>
    <row r="3495">
      <c r="A3495" s="28">
        <v>44821.0</v>
      </c>
      <c r="B3495" s="20" t="s">
        <v>1909</v>
      </c>
      <c r="C3495" s="20">
        <v>4.0</v>
      </c>
      <c r="D3495" s="27"/>
      <c r="E3495" s="20" t="s">
        <v>1929</v>
      </c>
    </row>
    <row r="3496">
      <c r="A3496" s="28">
        <v>44821.0</v>
      </c>
      <c r="B3496" s="20" t="s">
        <v>1965</v>
      </c>
      <c r="C3496" s="20">
        <v>18.0</v>
      </c>
      <c r="D3496" s="27"/>
    </row>
    <row r="3497">
      <c r="A3497" s="28">
        <v>44821.0</v>
      </c>
      <c r="B3497" s="20" t="s">
        <v>1965</v>
      </c>
      <c r="C3497" s="20">
        <v>8.0</v>
      </c>
      <c r="D3497" s="27"/>
      <c r="E3497" s="20" t="s">
        <v>1929</v>
      </c>
    </row>
    <row r="3498">
      <c r="A3498" s="28">
        <v>44821.0</v>
      </c>
      <c r="B3498" s="20" t="s">
        <v>1966</v>
      </c>
      <c r="C3498" s="20">
        <v>31.0</v>
      </c>
      <c r="D3498" s="27"/>
    </row>
    <row r="3499">
      <c r="A3499" s="26">
        <v>44821.686086747686</v>
      </c>
      <c r="B3499" s="20" t="s">
        <v>110</v>
      </c>
      <c r="C3499" s="20">
        <v>30.0</v>
      </c>
      <c r="D3499" s="27"/>
    </row>
    <row r="3500">
      <c r="A3500" s="26">
        <v>44821.705332592595</v>
      </c>
      <c r="B3500" s="20" t="s">
        <v>1667</v>
      </c>
      <c r="C3500" s="20">
        <v>17.0</v>
      </c>
      <c r="D3500" s="27"/>
    </row>
    <row r="3501">
      <c r="A3501" s="26">
        <v>44821.706295254626</v>
      </c>
      <c r="B3501" s="20" t="s">
        <v>1967</v>
      </c>
      <c r="C3501" s="20">
        <v>20.0</v>
      </c>
      <c r="D3501" s="27"/>
    </row>
    <row r="3502">
      <c r="A3502" s="26">
        <v>44821.70750453704</v>
      </c>
      <c r="B3502" s="20" t="s">
        <v>614</v>
      </c>
      <c r="C3502" s="20">
        <v>11.0</v>
      </c>
      <c r="D3502" s="27"/>
    </row>
    <row r="3503">
      <c r="A3503" s="26">
        <v>44821.70803761574</v>
      </c>
      <c r="B3503" s="20" t="s">
        <v>1735</v>
      </c>
      <c r="C3503" s="20">
        <v>11.0</v>
      </c>
      <c r="D3503" s="27"/>
    </row>
    <row r="3504">
      <c r="A3504" s="26">
        <v>44821.70817092592</v>
      </c>
      <c r="B3504" s="20" t="s">
        <v>614</v>
      </c>
      <c r="C3504" s="20">
        <v>2.0</v>
      </c>
      <c r="D3504" s="27"/>
      <c r="E3504" s="20" t="s">
        <v>1960</v>
      </c>
    </row>
    <row r="3505">
      <c r="A3505" s="26">
        <v>44821.70824961805</v>
      </c>
      <c r="B3505" s="20" t="s">
        <v>300</v>
      </c>
      <c r="C3505" s="20">
        <v>18.0</v>
      </c>
      <c r="D3505" s="27"/>
    </row>
    <row r="3506">
      <c r="A3506" s="28">
        <v>44821.0</v>
      </c>
      <c r="B3506" s="20" t="s">
        <v>300</v>
      </c>
      <c r="C3506" s="20">
        <v>1.0</v>
      </c>
      <c r="D3506" s="27"/>
      <c r="E3506" s="20" t="s">
        <v>1929</v>
      </c>
    </row>
    <row r="3507">
      <c r="A3507" s="26">
        <v>44821.70836931713</v>
      </c>
      <c r="B3507" s="20" t="s">
        <v>1968</v>
      </c>
      <c r="C3507" s="20">
        <v>2.0</v>
      </c>
      <c r="D3507" s="27"/>
      <c r="E3507" s="20" t="s">
        <v>1929</v>
      </c>
    </row>
    <row r="3508">
      <c r="A3508" s="26">
        <v>44821.713026990736</v>
      </c>
      <c r="B3508" s="20" t="s">
        <v>1357</v>
      </c>
      <c r="C3508" s="20">
        <v>10.0</v>
      </c>
      <c r="D3508" s="27"/>
    </row>
    <row r="3509">
      <c r="A3509" s="26">
        <v>44821.7133052662</v>
      </c>
      <c r="B3509" s="20" t="s">
        <v>1357</v>
      </c>
      <c r="C3509" s="20">
        <v>9.0</v>
      </c>
      <c r="D3509" s="27"/>
      <c r="E3509" s="20" t="s">
        <v>1960</v>
      </c>
    </row>
    <row r="3510">
      <c r="A3510" s="26">
        <v>44821.71872428241</v>
      </c>
      <c r="B3510" s="20" t="s">
        <v>1253</v>
      </c>
      <c r="C3510" s="20">
        <v>1.0</v>
      </c>
      <c r="D3510" s="27"/>
    </row>
    <row r="3511">
      <c r="A3511" s="28">
        <v>44822.0</v>
      </c>
      <c r="B3511" s="20" t="s">
        <v>1818</v>
      </c>
      <c r="C3511" s="20">
        <v>20.0</v>
      </c>
      <c r="D3511" s="27"/>
    </row>
    <row r="3512">
      <c r="A3512" s="28">
        <v>44822.0</v>
      </c>
      <c r="B3512" s="20" t="s">
        <v>1818</v>
      </c>
      <c r="C3512" s="20">
        <v>4.0</v>
      </c>
      <c r="D3512" s="27"/>
      <c r="E3512" s="20" t="s">
        <v>1929</v>
      </c>
    </row>
    <row r="3513">
      <c r="A3513" s="28">
        <v>44822.0</v>
      </c>
      <c r="B3513" s="20" t="s">
        <v>1137</v>
      </c>
      <c r="C3513" s="20">
        <v>19.0</v>
      </c>
      <c r="D3513" s="27"/>
    </row>
    <row r="3514">
      <c r="A3514" s="28">
        <v>44822.0</v>
      </c>
      <c r="B3514" s="20" t="s">
        <v>1137</v>
      </c>
      <c r="C3514" s="20">
        <v>23.0</v>
      </c>
      <c r="D3514" s="27"/>
      <c r="E3514" s="20" t="s">
        <v>1929</v>
      </c>
    </row>
    <row r="3515">
      <c r="A3515" s="28">
        <v>44822.0</v>
      </c>
      <c r="B3515" s="20" t="s">
        <v>980</v>
      </c>
      <c r="C3515" s="20">
        <v>15.0</v>
      </c>
      <c r="D3515" s="27"/>
    </row>
    <row r="3516">
      <c r="A3516" s="28">
        <v>44822.0</v>
      </c>
      <c r="B3516" s="20" t="s">
        <v>980</v>
      </c>
      <c r="C3516" s="20">
        <v>9.0</v>
      </c>
      <c r="D3516" s="27"/>
      <c r="E3516" s="20" t="s">
        <v>1929</v>
      </c>
    </row>
    <row r="3517">
      <c r="A3517" s="26">
        <v>44822.6511496412</v>
      </c>
      <c r="B3517" s="20" t="s">
        <v>1182</v>
      </c>
      <c r="C3517" s="20">
        <v>20.0</v>
      </c>
      <c r="D3517" s="27"/>
    </row>
    <row r="3518">
      <c r="A3518" s="26">
        <v>44822.66294138889</v>
      </c>
      <c r="B3518" s="20" t="s">
        <v>1969</v>
      </c>
      <c r="C3518" s="20">
        <v>18.0</v>
      </c>
      <c r="D3518" s="27"/>
    </row>
    <row r="3519">
      <c r="A3519" s="26">
        <v>44822.66328069444</v>
      </c>
      <c r="B3519" s="20" t="s">
        <v>1969</v>
      </c>
      <c r="C3519" s="20">
        <v>25.0</v>
      </c>
      <c r="D3519" s="27"/>
      <c r="E3519" s="20" t="s">
        <v>1929</v>
      </c>
    </row>
    <row r="3520">
      <c r="A3520" s="26">
        <v>44822.66543626157</v>
      </c>
      <c r="B3520" s="20" t="s">
        <v>1943</v>
      </c>
      <c r="C3520" s="20">
        <v>20.0</v>
      </c>
      <c r="D3520" s="27"/>
    </row>
    <row r="3521">
      <c r="A3521" s="28">
        <v>44822.0</v>
      </c>
      <c r="B3521" s="20" t="s">
        <v>1943</v>
      </c>
      <c r="C3521" s="20">
        <v>14.0</v>
      </c>
      <c r="D3521" s="27"/>
      <c r="E3521" s="20" t="s">
        <v>1929</v>
      </c>
    </row>
    <row r="3522">
      <c r="A3522" s="26">
        <v>44822.67341038195</v>
      </c>
      <c r="B3522" s="20" t="s">
        <v>596</v>
      </c>
      <c r="C3522" s="20">
        <v>13.0</v>
      </c>
      <c r="D3522" s="27"/>
    </row>
    <row r="3523">
      <c r="A3523" s="26">
        <v>44822.67376943287</v>
      </c>
      <c r="B3523" s="20" t="s">
        <v>411</v>
      </c>
      <c r="C3523" s="20">
        <v>14.0</v>
      </c>
      <c r="D3523" s="27"/>
    </row>
    <row r="3524">
      <c r="A3524" s="26">
        <v>44822.6750106713</v>
      </c>
      <c r="B3524" s="20" t="s">
        <v>193</v>
      </c>
      <c r="C3524" s="20">
        <v>28.0</v>
      </c>
      <c r="D3524" s="27"/>
    </row>
    <row r="3525">
      <c r="A3525" s="26">
        <v>44822.94227454861</v>
      </c>
      <c r="B3525" s="20" t="s">
        <v>193</v>
      </c>
      <c r="C3525" s="20">
        <v>31.0</v>
      </c>
      <c r="D3525" s="27"/>
      <c r="E3525" s="20" t="s">
        <v>1842</v>
      </c>
    </row>
    <row r="3526">
      <c r="A3526" s="28">
        <v>44824.0</v>
      </c>
      <c r="B3526" s="20" t="s">
        <v>1958</v>
      </c>
      <c r="C3526" s="20">
        <v>15.0</v>
      </c>
      <c r="D3526" s="27"/>
    </row>
    <row r="3527">
      <c r="A3527" s="28">
        <v>44824.0</v>
      </c>
      <c r="B3527" s="20" t="s">
        <v>1958</v>
      </c>
      <c r="C3527" s="20">
        <v>1.0</v>
      </c>
      <c r="D3527" s="27"/>
      <c r="E3527" s="20" t="s">
        <v>1929</v>
      </c>
    </row>
    <row r="3528">
      <c r="A3528" s="28">
        <v>44824.0</v>
      </c>
      <c r="B3528" s="20" t="s">
        <v>1905</v>
      </c>
      <c r="C3528" s="20">
        <v>12.0</v>
      </c>
      <c r="D3528" s="27"/>
    </row>
    <row r="3529">
      <c r="A3529" s="28">
        <v>44824.0</v>
      </c>
      <c r="B3529" s="20" t="s">
        <v>1905</v>
      </c>
      <c r="C3529" s="20">
        <v>3.0</v>
      </c>
      <c r="D3529" s="27"/>
      <c r="E3529" s="20" t="s">
        <v>1929</v>
      </c>
    </row>
    <row r="3530">
      <c r="A3530" s="28">
        <v>44824.0</v>
      </c>
      <c r="B3530" s="20" t="s">
        <v>1001</v>
      </c>
      <c r="C3530" s="20">
        <v>20.0</v>
      </c>
      <c r="D3530" s="27"/>
    </row>
    <row r="3531">
      <c r="A3531" s="28">
        <v>44824.0</v>
      </c>
      <c r="B3531" s="20" t="s">
        <v>1001</v>
      </c>
      <c r="C3531" s="20">
        <v>5.0</v>
      </c>
      <c r="D3531" s="27"/>
      <c r="E3531" s="20" t="s">
        <v>1929</v>
      </c>
    </row>
    <row r="3532">
      <c r="A3532" s="28">
        <v>44824.0</v>
      </c>
      <c r="B3532" s="20" t="s">
        <v>980</v>
      </c>
      <c r="C3532" s="20">
        <v>20.0</v>
      </c>
      <c r="D3532" s="27"/>
    </row>
    <row r="3533">
      <c r="A3533" s="28">
        <v>44824.0</v>
      </c>
      <c r="B3533" s="20" t="s">
        <v>980</v>
      </c>
      <c r="C3533" s="20">
        <v>9.0</v>
      </c>
      <c r="D3533" s="27"/>
      <c r="E3533" s="20" t="s">
        <v>1929</v>
      </c>
    </row>
    <row r="3534">
      <c r="A3534" s="26">
        <v>44824.69013449074</v>
      </c>
      <c r="B3534" s="20" t="s">
        <v>1946</v>
      </c>
      <c r="C3534" s="20">
        <v>9.0</v>
      </c>
      <c r="D3534" s="27"/>
    </row>
    <row r="3535">
      <c r="A3535" s="26">
        <v>44824.6917718287</v>
      </c>
      <c r="B3535" s="20" t="s">
        <v>1970</v>
      </c>
      <c r="C3535" s="20">
        <v>13.0</v>
      </c>
      <c r="D3535" s="27"/>
    </row>
    <row r="3536">
      <c r="A3536" s="26">
        <v>44824.69281353009</v>
      </c>
      <c r="B3536" s="20" t="s">
        <v>163</v>
      </c>
      <c r="C3536" s="20">
        <v>14.0</v>
      </c>
      <c r="D3536" s="27"/>
    </row>
    <row r="3537">
      <c r="A3537" s="26">
        <v>44824.693256886574</v>
      </c>
      <c r="B3537" s="20" t="s">
        <v>1971</v>
      </c>
      <c r="C3537" s="20">
        <v>5.0</v>
      </c>
      <c r="D3537" s="27"/>
    </row>
    <row r="3538">
      <c r="A3538" s="26">
        <v>44824.69355393518</v>
      </c>
      <c r="B3538" s="20" t="s">
        <v>995</v>
      </c>
      <c r="C3538" s="20">
        <v>20.0</v>
      </c>
      <c r="D3538" s="27"/>
    </row>
    <row r="3539">
      <c r="A3539" s="26">
        <v>44824.693935717594</v>
      </c>
      <c r="B3539" s="20" t="s">
        <v>1391</v>
      </c>
      <c r="C3539" s="20">
        <v>9.0</v>
      </c>
      <c r="D3539" s="27"/>
    </row>
    <row r="3540">
      <c r="A3540" s="26">
        <v>44824.696112314814</v>
      </c>
      <c r="B3540" s="20" t="s">
        <v>614</v>
      </c>
      <c r="C3540" s="20">
        <v>17.0</v>
      </c>
      <c r="D3540" s="27"/>
    </row>
    <row r="3541">
      <c r="A3541" s="26">
        <v>44824.69637133102</v>
      </c>
      <c r="B3541" s="20" t="s">
        <v>614</v>
      </c>
      <c r="C3541" s="20">
        <v>10.0</v>
      </c>
      <c r="D3541" s="27"/>
      <c r="E3541" s="20" t="s">
        <v>1954</v>
      </c>
    </row>
    <row r="3542">
      <c r="A3542" s="26">
        <v>44824.69689628472</v>
      </c>
      <c r="B3542" s="20" t="s">
        <v>163</v>
      </c>
      <c r="C3542" s="20">
        <v>3.0</v>
      </c>
      <c r="D3542" s="27"/>
    </row>
    <row r="3543">
      <c r="A3543" s="26">
        <v>44824.7114191088</v>
      </c>
      <c r="B3543" s="20" t="s">
        <v>163</v>
      </c>
      <c r="C3543" s="20">
        <v>4.0</v>
      </c>
      <c r="D3543" s="27"/>
    </row>
    <row r="3544">
      <c r="A3544" s="28">
        <v>44825.0</v>
      </c>
      <c r="B3544" s="20" t="s">
        <v>370</v>
      </c>
      <c r="C3544" s="20">
        <v>15.0</v>
      </c>
      <c r="D3544" s="27"/>
    </row>
    <row r="3545">
      <c r="A3545" s="28">
        <v>44825.0</v>
      </c>
      <c r="B3545" s="20" t="s">
        <v>370</v>
      </c>
      <c r="C3545" s="20">
        <v>25.0</v>
      </c>
      <c r="D3545" s="27"/>
      <c r="E3545" s="20" t="s">
        <v>1954</v>
      </c>
    </row>
    <row r="3546">
      <c r="A3546" s="28">
        <v>44825.0</v>
      </c>
      <c r="B3546" s="20" t="s">
        <v>1958</v>
      </c>
      <c r="C3546" s="20">
        <v>15.0</v>
      </c>
      <c r="D3546" s="27"/>
    </row>
    <row r="3547">
      <c r="A3547" s="28">
        <v>44825.0</v>
      </c>
      <c r="B3547" s="20" t="s">
        <v>1958</v>
      </c>
      <c r="C3547" s="20">
        <v>4.0</v>
      </c>
      <c r="D3547" s="27"/>
      <c r="E3547" s="20" t="s">
        <v>1929</v>
      </c>
    </row>
    <row r="3548">
      <c r="A3548" s="28">
        <v>44825.0</v>
      </c>
      <c r="B3548" s="20" t="s">
        <v>1803</v>
      </c>
      <c r="C3548" s="20">
        <v>17.0</v>
      </c>
      <c r="D3548" s="27"/>
    </row>
    <row r="3549">
      <c r="A3549" s="28">
        <v>44825.0</v>
      </c>
      <c r="B3549" s="20" t="s">
        <v>1803</v>
      </c>
      <c r="C3549" s="20">
        <v>1.0</v>
      </c>
      <c r="D3549" s="27"/>
      <c r="E3549" s="20" t="s">
        <v>1929</v>
      </c>
    </row>
    <row r="3550">
      <c r="A3550" s="28">
        <v>44825.0</v>
      </c>
      <c r="B3550" s="20" t="s">
        <v>1890</v>
      </c>
      <c r="C3550" s="20">
        <v>18.0</v>
      </c>
      <c r="D3550" s="27"/>
    </row>
    <row r="3551">
      <c r="A3551" s="28">
        <v>44825.0</v>
      </c>
      <c r="B3551" s="20" t="s">
        <v>1890</v>
      </c>
      <c r="C3551" s="20">
        <v>18.0</v>
      </c>
      <c r="D3551" s="27"/>
      <c r="E3551" s="20" t="s">
        <v>1929</v>
      </c>
    </row>
    <row r="3552">
      <c r="A3552" s="28">
        <v>44825.0</v>
      </c>
      <c r="B3552" s="20" t="s">
        <v>1972</v>
      </c>
      <c r="C3552" s="20">
        <v>20.0</v>
      </c>
      <c r="D3552" s="27"/>
    </row>
    <row r="3553">
      <c r="A3553" s="28">
        <v>44825.0</v>
      </c>
      <c r="B3553" s="20" t="s">
        <v>1972</v>
      </c>
      <c r="C3553" s="20">
        <v>1.0</v>
      </c>
      <c r="D3553" s="27"/>
      <c r="E3553" s="20" t="s">
        <v>1929</v>
      </c>
    </row>
    <row r="3554">
      <c r="A3554" s="28">
        <v>44825.0</v>
      </c>
      <c r="B3554" s="20" t="s">
        <v>842</v>
      </c>
      <c r="C3554" s="20">
        <v>19.0</v>
      </c>
      <c r="D3554" s="27"/>
    </row>
    <row r="3555">
      <c r="A3555" s="28">
        <v>44825.0</v>
      </c>
      <c r="B3555" s="20" t="s">
        <v>842</v>
      </c>
      <c r="C3555" s="20">
        <v>5.0</v>
      </c>
      <c r="D3555" s="27"/>
      <c r="E3555" s="20" t="s">
        <v>1929</v>
      </c>
    </row>
    <row r="3556">
      <c r="A3556" s="28">
        <v>44825.0</v>
      </c>
      <c r="B3556" s="20" t="s">
        <v>1973</v>
      </c>
      <c r="C3556" s="20">
        <v>18.0</v>
      </c>
      <c r="D3556" s="27"/>
    </row>
    <row r="3557">
      <c r="A3557" s="28">
        <v>44825.0</v>
      </c>
      <c r="B3557" s="20" t="s">
        <v>1974</v>
      </c>
      <c r="C3557" s="20">
        <v>7.0</v>
      </c>
      <c r="D3557" s="27"/>
      <c r="E3557" s="20" t="s">
        <v>1929</v>
      </c>
    </row>
    <row r="3558">
      <c r="A3558" s="26">
        <v>44825.59412230324</v>
      </c>
      <c r="B3558" s="20" t="s">
        <v>1975</v>
      </c>
      <c r="C3558" s="20">
        <v>19.0</v>
      </c>
      <c r="D3558" s="27"/>
    </row>
    <row r="3559">
      <c r="A3559" s="26">
        <v>44825.59530350694</v>
      </c>
      <c r="B3559" s="20" t="s">
        <v>1976</v>
      </c>
      <c r="C3559" s="20">
        <v>6.0</v>
      </c>
      <c r="D3559" s="27"/>
    </row>
    <row r="3560">
      <c r="A3560" s="26">
        <v>44825.70884575231</v>
      </c>
      <c r="B3560" s="20" t="s">
        <v>760</v>
      </c>
      <c r="C3560" s="20">
        <v>20.0</v>
      </c>
      <c r="D3560" s="27"/>
    </row>
    <row r="3561">
      <c r="A3561" s="26">
        <v>44825.70947857639</v>
      </c>
      <c r="B3561" s="20" t="s">
        <v>1791</v>
      </c>
      <c r="C3561" s="20">
        <v>21.0</v>
      </c>
      <c r="D3561" s="27"/>
      <c r="E3561" s="20" t="s">
        <v>1929</v>
      </c>
    </row>
    <row r="3562">
      <c r="A3562" s="28">
        <v>44826.0</v>
      </c>
      <c r="B3562" s="20" t="s">
        <v>163</v>
      </c>
      <c r="C3562" s="20">
        <v>19.0</v>
      </c>
      <c r="D3562" s="27"/>
    </row>
    <row r="3563">
      <c r="A3563" s="28">
        <v>44826.0</v>
      </c>
      <c r="B3563" s="20" t="s">
        <v>163</v>
      </c>
      <c r="C3563" s="20">
        <v>10.0</v>
      </c>
      <c r="D3563" s="27"/>
      <c r="E3563" s="20" t="s">
        <v>1929</v>
      </c>
    </row>
    <row r="3564">
      <c r="A3564" s="28">
        <v>44826.0</v>
      </c>
      <c r="B3564" s="20" t="s">
        <v>1241</v>
      </c>
      <c r="C3564" s="20">
        <v>15.0</v>
      </c>
      <c r="D3564" s="27"/>
    </row>
    <row r="3565">
      <c r="A3565" s="28">
        <v>44826.0</v>
      </c>
      <c r="B3565" s="20" t="s">
        <v>1241</v>
      </c>
      <c r="C3565" s="20">
        <v>2.0</v>
      </c>
      <c r="D3565" s="27"/>
      <c r="E3565" s="20" t="s">
        <v>1929</v>
      </c>
    </row>
    <row r="3566">
      <c r="A3566" s="28">
        <v>44826.0</v>
      </c>
      <c r="B3566" s="20" t="s">
        <v>1001</v>
      </c>
      <c r="C3566" s="20">
        <v>20.0</v>
      </c>
      <c r="D3566" s="27"/>
    </row>
    <row r="3567">
      <c r="A3567" s="28">
        <v>44826.0</v>
      </c>
      <c r="B3567" s="20" t="s">
        <v>1001</v>
      </c>
      <c r="C3567" s="20">
        <v>26.0</v>
      </c>
      <c r="D3567" s="27"/>
      <c r="E3567" s="20" t="s">
        <v>1929</v>
      </c>
    </row>
    <row r="3568">
      <c r="A3568" s="28">
        <v>44826.0</v>
      </c>
      <c r="B3568" s="20" t="s">
        <v>1794</v>
      </c>
      <c r="C3568" s="20">
        <v>19.0</v>
      </c>
      <c r="D3568" s="27"/>
    </row>
    <row r="3569">
      <c r="A3569" s="28">
        <v>44826.0</v>
      </c>
      <c r="B3569" s="20" t="s">
        <v>1794</v>
      </c>
      <c r="C3569" s="20">
        <v>11.0</v>
      </c>
      <c r="D3569" s="20" t="s">
        <v>404</v>
      </c>
      <c r="E3569" s="20" t="s">
        <v>1977</v>
      </c>
    </row>
    <row r="3570">
      <c r="A3570" s="28">
        <v>44826.0</v>
      </c>
      <c r="B3570" s="20" t="s">
        <v>777</v>
      </c>
      <c r="C3570" s="20">
        <v>19.0</v>
      </c>
      <c r="D3570" s="27"/>
    </row>
    <row r="3571">
      <c r="A3571" s="28">
        <v>44826.0</v>
      </c>
      <c r="B3571" s="20" t="s">
        <v>777</v>
      </c>
      <c r="C3571" s="20">
        <v>15.0</v>
      </c>
      <c r="D3571" s="27"/>
      <c r="E3571" s="20" t="s">
        <v>1929</v>
      </c>
    </row>
    <row r="3572">
      <c r="A3572" s="28">
        <v>44826.0</v>
      </c>
      <c r="B3572" s="20" t="s">
        <v>1871</v>
      </c>
      <c r="C3572" s="20">
        <v>18.0</v>
      </c>
      <c r="D3572" s="27"/>
    </row>
    <row r="3573">
      <c r="A3573" s="28">
        <v>44826.0</v>
      </c>
      <c r="B3573" s="20" t="s">
        <v>1871</v>
      </c>
      <c r="C3573" s="20">
        <v>20.0</v>
      </c>
      <c r="D3573" s="27"/>
      <c r="E3573" s="20" t="s">
        <v>1929</v>
      </c>
    </row>
    <row r="3574">
      <c r="A3574" s="28">
        <v>44826.0</v>
      </c>
      <c r="B3574" s="20" t="s">
        <v>1888</v>
      </c>
      <c r="C3574" s="20">
        <v>19.0</v>
      </c>
      <c r="D3574" s="27"/>
    </row>
    <row r="3575">
      <c r="A3575" s="28">
        <v>44826.0</v>
      </c>
      <c r="B3575" s="20" t="s">
        <v>1888</v>
      </c>
      <c r="C3575" s="20">
        <v>21.0</v>
      </c>
      <c r="D3575" s="27"/>
      <c r="E3575" s="20" t="s">
        <v>1929</v>
      </c>
    </row>
    <row r="3576">
      <c r="A3576" s="28">
        <v>44826.0</v>
      </c>
      <c r="B3576" s="20" t="s">
        <v>167</v>
      </c>
      <c r="C3576" s="20">
        <v>20.0</v>
      </c>
      <c r="D3576" s="27"/>
    </row>
    <row r="3577">
      <c r="A3577" s="28">
        <v>44826.0</v>
      </c>
      <c r="B3577" s="20" t="s">
        <v>1924</v>
      </c>
      <c r="C3577" s="20">
        <v>19.0</v>
      </c>
      <c r="D3577" s="27"/>
    </row>
    <row r="3578">
      <c r="A3578" s="28">
        <v>44826.0</v>
      </c>
      <c r="B3578" s="20" t="s">
        <v>1924</v>
      </c>
      <c r="C3578" s="20">
        <v>5.0</v>
      </c>
      <c r="D3578" s="27"/>
      <c r="E3578" s="20" t="s">
        <v>1929</v>
      </c>
    </row>
    <row r="3579">
      <c r="A3579" s="26">
        <v>44826.72032952546</v>
      </c>
      <c r="B3579" s="20" t="s">
        <v>327</v>
      </c>
      <c r="C3579" s="20">
        <v>20.0</v>
      </c>
      <c r="D3579" s="27"/>
    </row>
    <row r="3580">
      <c r="A3580" s="28">
        <v>44827.0</v>
      </c>
      <c r="B3580" s="20" t="s">
        <v>370</v>
      </c>
      <c r="C3580" s="20">
        <v>17.0</v>
      </c>
      <c r="D3580" s="27"/>
    </row>
    <row r="3581">
      <c r="A3581" s="28">
        <v>44827.0</v>
      </c>
      <c r="B3581" s="20" t="s">
        <v>370</v>
      </c>
      <c r="C3581" s="20">
        <v>21.0</v>
      </c>
      <c r="D3581" s="27"/>
      <c r="E3581" s="20" t="s">
        <v>1929</v>
      </c>
    </row>
    <row r="3582">
      <c r="A3582" s="26">
        <v>44827.70112246528</v>
      </c>
      <c r="B3582" s="20" t="s">
        <v>344</v>
      </c>
      <c r="C3582" s="20">
        <v>17.0</v>
      </c>
      <c r="D3582" s="27"/>
    </row>
    <row r="3583">
      <c r="A3583" s="26">
        <v>44827.701378206024</v>
      </c>
      <c r="B3583" s="20" t="s">
        <v>344</v>
      </c>
      <c r="C3583" s="20">
        <v>15.0</v>
      </c>
      <c r="D3583" s="27"/>
      <c r="E3583" s="20" t="s">
        <v>1929</v>
      </c>
    </row>
    <row r="3584">
      <c r="A3584" s="26">
        <v>44827.715202164356</v>
      </c>
      <c r="B3584" s="20" t="s">
        <v>191</v>
      </c>
      <c r="C3584" s="20">
        <v>24.0</v>
      </c>
      <c r="D3584" s="27"/>
    </row>
    <row r="3585">
      <c r="A3585" s="26">
        <v>44827.715688067125</v>
      </c>
      <c r="B3585" s="20" t="s">
        <v>193</v>
      </c>
      <c r="C3585" s="20">
        <v>16.0</v>
      </c>
      <c r="D3585" s="27"/>
      <c r="E3585" s="20" t="s">
        <v>1929</v>
      </c>
    </row>
    <row r="3586">
      <c r="A3586" s="28">
        <v>44828.0</v>
      </c>
      <c r="B3586" s="20" t="s">
        <v>1978</v>
      </c>
      <c r="C3586" s="20">
        <v>11.0</v>
      </c>
      <c r="D3586" s="27"/>
    </row>
    <row r="3587">
      <c r="A3587" s="28">
        <v>44828.0</v>
      </c>
      <c r="B3587" s="20" t="s">
        <v>1978</v>
      </c>
      <c r="C3587" s="20">
        <v>14.0</v>
      </c>
      <c r="D3587" s="27"/>
      <c r="E3587" s="20" t="s">
        <v>1929</v>
      </c>
    </row>
    <row r="3588">
      <c r="A3588" s="28">
        <v>44828.0</v>
      </c>
      <c r="B3588" s="20" t="s">
        <v>1908</v>
      </c>
      <c r="C3588" s="20">
        <v>15.0</v>
      </c>
      <c r="D3588" s="27"/>
    </row>
    <row r="3589">
      <c r="A3589" s="28">
        <v>44828.0</v>
      </c>
      <c r="B3589" s="20" t="s">
        <v>1908</v>
      </c>
      <c r="C3589" s="20">
        <v>1.0</v>
      </c>
      <c r="D3589" s="27"/>
      <c r="E3589" s="20" t="s">
        <v>1929</v>
      </c>
    </row>
    <row r="3590">
      <c r="A3590" s="28">
        <v>44828.0</v>
      </c>
      <c r="B3590" s="20" t="s">
        <v>1909</v>
      </c>
      <c r="C3590" s="20">
        <v>20.0</v>
      </c>
      <c r="D3590" s="27"/>
    </row>
    <row r="3591">
      <c r="A3591" s="28">
        <v>44828.0</v>
      </c>
      <c r="B3591" s="20" t="s">
        <v>1909</v>
      </c>
      <c r="C3591" s="20">
        <v>2.0</v>
      </c>
      <c r="D3591" s="27"/>
      <c r="E3591" s="20" t="s">
        <v>1929</v>
      </c>
    </row>
    <row r="3592">
      <c r="A3592" s="28">
        <v>44828.0</v>
      </c>
      <c r="B3592" s="20" t="s">
        <v>1241</v>
      </c>
      <c r="C3592" s="20">
        <v>10.0</v>
      </c>
      <c r="D3592" s="27"/>
    </row>
    <row r="3593">
      <c r="A3593" s="26">
        <v>44828.68994460648</v>
      </c>
      <c r="B3593" s="20" t="s">
        <v>1979</v>
      </c>
      <c r="C3593" s="20">
        <v>8.0</v>
      </c>
      <c r="D3593" s="27"/>
    </row>
    <row r="3594">
      <c r="A3594" s="26">
        <v>44828.695426446764</v>
      </c>
      <c r="B3594" s="20" t="s">
        <v>1518</v>
      </c>
      <c r="C3594" s="20">
        <v>10.0</v>
      </c>
      <c r="D3594" s="27"/>
    </row>
    <row r="3595">
      <c r="A3595" s="26">
        <v>44828.69679890046</v>
      </c>
      <c r="B3595" s="20" t="s">
        <v>1980</v>
      </c>
      <c r="C3595" s="20">
        <v>14.0</v>
      </c>
      <c r="D3595" s="27"/>
    </row>
    <row r="3596">
      <c r="A3596" s="26">
        <v>44828.69696630787</v>
      </c>
      <c r="B3596" s="20" t="s">
        <v>1980</v>
      </c>
      <c r="C3596" s="20">
        <v>4.0</v>
      </c>
      <c r="D3596" s="27"/>
      <c r="E3596" s="20" t="s">
        <v>1929</v>
      </c>
    </row>
    <row r="3597">
      <c r="A3597" s="26">
        <v>44828.697155</v>
      </c>
      <c r="B3597" s="20" t="s">
        <v>1981</v>
      </c>
      <c r="C3597" s="20">
        <v>17.0</v>
      </c>
      <c r="D3597" s="27"/>
    </row>
    <row r="3598">
      <c r="A3598" s="28">
        <v>44828.0</v>
      </c>
      <c r="B3598" s="20" t="s">
        <v>1981</v>
      </c>
      <c r="C3598" s="20">
        <v>1.0</v>
      </c>
      <c r="D3598" s="27"/>
      <c r="E3598" s="20" t="s">
        <v>1929</v>
      </c>
    </row>
    <row r="3599">
      <c r="A3599" s="26">
        <v>44828.697974421295</v>
      </c>
      <c r="B3599" s="20" t="s">
        <v>1982</v>
      </c>
      <c r="C3599" s="20">
        <v>14.0</v>
      </c>
      <c r="D3599" s="27"/>
    </row>
    <row r="3600">
      <c r="A3600" s="26">
        <v>44828.698131666664</v>
      </c>
      <c r="B3600" s="20" t="s">
        <v>1983</v>
      </c>
      <c r="C3600" s="20">
        <v>18.0</v>
      </c>
      <c r="D3600" s="27"/>
      <c r="E3600" s="20" t="s">
        <v>1929</v>
      </c>
    </row>
    <row r="3601">
      <c r="A3601" s="26">
        <v>44828.69952098379</v>
      </c>
      <c r="B3601" s="20" t="s">
        <v>1984</v>
      </c>
      <c r="C3601" s="20">
        <v>6.0</v>
      </c>
      <c r="D3601" s="27"/>
    </row>
    <row r="3602">
      <c r="A3602" s="26">
        <v>44828.69980935185</v>
      </c>
      <c r="B3602" s="20" t="s">
        <v>1984</v>
      </c>
      <c r="C3602" s="20">
        <v>7.0</v>
      </c>
      <c r="D3602" s="27"/>
      <c r="E3602" s="20" t="s">
        <v>1960</v>
      </c>
    </row>
    <row r="3603">
      <c r="A3603" s="26">
        <v>44828.70092787037</v>
      </c>
      <c r="B3603" s="20" t="s">
        <v>1632</v>
      </c>
      <c r="C3603" s="20">
        <v>17.0</v>
      </c>
      <c r="D3603" s="27"/>
    </row>
    <row r="3604">
      <c r="A3604" s="26">
        <v>44828.70132662037</v>
      </c>
      <c r="B3604" s="20" t="s">
        <v>1985</v>
      </c>
      <c r="C3604" s="20">
        <v>13.0</v>
      </c>
      <c r="D3604" s="27"/>
    </row>
    <row r="3605">
      <c r="A3605" s="28">
        <v>44828.0</v>
      </c>
      <c r="B3605" s="20" t="s">
        <v>1985</v>
      </c>
      <c r="C3605" s="20">
        <v>8.0</v>
      </c>
      <c r="D3605" s="27"/>
      <c r="E3605" s="20" t="s">
        <v>1929</v>
      </c>
    </row>
    <row r="3606">
      <c r="A3606" s="26">
        <v>44828.70168179398</v>
      </c>
      <c r="B3606" s="20" t="s">
        <v>1735</v>
      </c>
      <c r="C3606" s="20">
        <v>17.0</v>
      </c>
      <c r="D3606" s="27"/>
    </row>
    <row r="3607">
      <c r="A3607" s="26">
        <v>44828.70418048611</v>
      </c>
      <c r="B3607" s="20" t="s">
        <v>1920</v>
      </c>
      <c r="C3607" s="20">
        <v>18.0</v>
      </c>
      <c r="D3607" s="27"/>
    </row>
    <row r="3608">
      <c r="A3608" s="26">
        <v>44828.71723841435</v>
      </c>
      <c r="B3608" s="20" t="s">
        <v>614</v>
      </c>
      <c r="C3608" s="20">
        <v>11.0</v>
      </c>
      <c r="D3608" s="27"/>
    </row>
    <row r="3609">
      <c r="A3609" s="26">
        <v>44828.717440381944</v>
      </c>
      <c r="B3609" s="20" t="s">
        <v>614</v>
      </c>
      <c r="C3609" s="20">
        <v>38.0</v>
      </c>
      <c r="D3609" s="27"/>
      <c r="E3609" s="20" t="s">
        <v>1929</v>
      </c>
    </row>
    <row r="3610">
      <c r="A3610" s="26">
        <v>44828.728867928236</v>
      </c>
      <c r="B3610" s="20" t="s">
        <v>384</v>
      </c>
      <c r="C3610" s="20">
        <v>23.0</v>
      </c>
      <c r="D3610" s="27"/>
    </row>
    <row r="3611">
      <c r="A3611" s="26">
        <v>44828.72915175926</v>
      </c>
      <c r="B3611" s="20" t="s">
        <v>551</v>
      </c>
      <c r="C3611" s="20">
        <v>10.0</v>
      </c>
      <c r="D3611" s="27"/>
      <c r="E3611" s="20" t="s">
        <v>1929</v>
      </c>
    </row>
    <row r="3612">
      <c r="A3612" s="26">
        <v>44828.729379247685</v>
      </c>
      <c r="B3612" s="20" t="s">
        <v>1170</v>
      </c>
      <c r="C3612" s="20">
        <v>10.0</v>
      </c>
      <c r="D3612" s="27"/>
      <c r="E3612" s="20" t="s">
        <v>1929</v>
      </c>
    </row>
    <row r="3613">
      <c r="A3613" s="28">
        <v>44829.0</v>
      </c>
      <c r="B3613" s="20" t="s">
        <v>1137</v>
      </c>
      <c r="C3613" s="20">
        <v>14.0</v>
      </c>
      <c r="D3613" s="27"/>
    </row>
    <row r="3614">
      <c r="A3614" s="28">
        <v>44829.0</v>
      </c>
      <c r="B3614" s="20" t="s">
        <v>1137</v>
      </c>
      <c r="C3614" s="20">
        <v>32.0</v>
      </c>
      <c r="D3614" s="27"/>
      <c r="E3614" s="20" t="s">
        <v>1929</v>
      </c>
    </row>
    <row r="3615">
      <c r="A3615" s="28">
        <v>44829.0</v>
      </c>
      <c r="B3615" s="20" t="s">
        <v>1350</v>
      </c>
      <c r="C3615" s="20">
        <v>20.0</v>
      </c>
      <c r="D3615" s="27"/>
    </row>
    <row r="3616">
      <c r="A3616" s="28">
        <v>44829.0</v>
      </c>
      <c r="B3616" s="20" t="s">
        <v>1350</v>
      </c>
      <c r="C3616" s="20">
        <v>36.0</v>
      </c>
      <c r="D3616" s="27"/>
      <c r="E3616" s="20" t="s">
        <v>1929</v>
      </c>
    </row>
    <row r="3617">
      <c r="A3617" s="28">
        <v>44829.0</v>
      </c>
      <c r="B3617" s="20" t="s">
        <v>631</v>
      </c>
      <c r="C3617" s="20">
        <v>18.0</v>
      </c>
      <c r="D3617" s="27"/>
    </row>
    <row r="3618">
      <c r="A3618" s="26">
        <v>44829.62116400463</v>
      </c>
      <c r="B3618" s="20" t="s">
        <v>1986</v>
      </c>
      <c r="C3618" s="20">
        <v>23.0</v>
      </c>
      <c r="D3618" s="27"/>
    </row>
    <row r="3619">
      <c r="A3619" s="26">
        <v>44829.66235616898</v>
      </c>
      <c r="B3619" s="20" t="s">
        <v>191</v>
      </c>
      <c r="C3619" s="20">
        <v>29.0</v>
      </c>
      <c r="D3619" s="27"/>
      <c r="E3619" s="20" t="s">
        <v>1929</v>
      </c>
    </row>
    <row r="3620">
      <c r="A3620" s="26">
        <v>44829.66304597222</v>
      </c>
      <c r="B3620" s="20" t="s">
        <v>411</v>
      </c>
      <c r="C3620" s="20">
        <v>20.0</v>
      </c>
      <c r="D3620" s="27"/>
    </row>
    <row r="3621">
      <c r="A3621" s="26">
        <v>44829.6632419213</v>
      </c>
      <c r="B3621" s="20" t="s">
        <v>596</v>
      </c>
      <c r="C3621" s="20">
        <v>17.0</v>
      </c>
      <c r="D3621" s="27"/>
    </row>
    <row r="3622">
      <c r="A3622" s="26">
        <v>44829.66804267361</v>
      </c>
      <c r="B3622" s="20" t="s">
        <v>528</v>
      </c>
      <c r="C3622" s="20">
        <v>17.0</v>
      </c>
      <c r="D3622" s="27"/>
    </row>
    <row r="3623">
      <c r="A3623" s="26">
        <v>44829.66831010417</v>
      </c>
      <c r="B3623" s="20" t="s">
        <v>528</v>
      </c>
      <c r="C3623" s="20">
        <v>23.0</v>
      </c>
      <c r="D3623" s="27"/>
      <c r="E3623" s="20" t="s">
        <v>1929</v>
      </c>
    </row>
    <row r="3624">
      <c r="A3624" s="28">
        <v>44831.0</v>
      </c>
      <c r="B3624" s="20" t="s">
        <v>1137</v>
      </c>
      <c r="C3624" s="20">
        <v>16.0</v>
      </c>
      <c r="D3624" s="27"/>
    </row>
    <row r="3625">
      <c r="A3625" s="28">
        <v>44831.0</v>
      </c>
      <c r="B3625" s="20" t="s">
        <v>1137</v>
      </c>
      <c r="C3625" s="20">
        <v>23.0</v>
      </c>
      <c r="D3625" s="27"/>
      <c r="E3625" s="20" t="s">
        <v>1929</v>
      </c>
    </row>
    <row r="3626">
      <c r="A3626" s="26">
        <v>44831.69919613426</v>
      </c>
      <c r="B3626" s="20" t="s">
        <v>1970</v>
      </c>
      <c r="C3626" s="20">
        <v>18.0</v>
      </c>
      <c r="D3626" s="27"/>
    </row>
    <row r="3627">
      <c r="A3627" s="26">
        <v>44831.69920293981</v>
      </c>
      <c r="B3627" s="20" t="s">
        <v>614</v>
      </c>
      <c r="C3627" s="20">
        <v>19.0</v>
      </c>
      <c r="D3627" s="27"/>
    </row>
    <row r="3628">
      <c r="A3628" s="26">
        <v>44831.699549895835</v>
      </c>
      <c r="B3628" s="20" t="s">
        <v>614</v>
      </c>
      <c r="C3628" s="20">
        <v>11.0</v>
      </c>
      <c r="D3628" s="27"/>
      <c r="E3628" s="20" t="s">
        <v>1929</v>
      </c>
    </row>
    <row r="3629">
      <c r="A3629" s="26">
        <v>44831.69986822917</v>
      </c>
      <c r="B3629" s="20" t="s">
        <v>1970</v>
      </c>
      <c r="C3629" s="20">
        <v>8.0</v>
      </c>
      <c r="D3629" s="27"/>
      <c r="E3629" s="20" t="s">
        <v>1929</v>
      </c>
    </row>
    <row r="3630">
      <c r="A3630" s="26">
        <v>44831.69991517361</v>
      </c>
      <c r="B3630" s="20" t="s">
        <v>528</v>
      </c>
      <c r="C3630" s="20">
        <v>20.0</v>
      </c>
      <c r="D3630" s="27"/>
    </row>
    <row r="3631">
      <c r="A3631" s="26">
        <v>44831.70023422454</v>
      </c>
      <c r="B3631" s="20" t="s">
        <v>995</v>
      </c>
      <c r="C3631" s="20">
        <v>15.0</v>
      </c>
      <c r="D3631" s="27"/>
      <c r="E3631" s="20" t="s">
        <v>1929</v>
      </c>
    </row>
    <row r="3632">
      <c r="A3632" s="26">
        <v>44831.704799432875</v>
      </c>
      <c r="B3632" s="20" t="s">
        <v>1987</v>
      </c>
      <c r="C3632" s="20">
        <v>20.0</v>
      </c>
      <c r="D3632" s="27"/>
    </row>
    <row r="3633">
      <c r="A3633" s="26">
        <v>44831.70510561342</v>
      </c>
      <c r="B3633" s="20" t="s">
        <v>1987</v>
      </c>
      <c r="C3633" s="20">
        <v>23.0</v>
      </c>
      <c r="D3633" s="27"/>
      <c r="E3633" s="20" t="s">
        <v>1929</v>
      </c>
    </row>
    <row r="3634">
      <c r="A3634" s="26">
        <v>44831.707283344906</v>
      </c>
      <c r="B3634" s="20" t="s">
        <v>163</v>
      </c>
      <c r="C3634" s="20">
        <v>10.0</v>
      </c>
      <c r="D3634" s="27"/>
    </row>
    <row r="3635">
      <c r="A3635" s="26">
        <v>44831.70755730324</v>
      </c>
      <c r="B3635" s="20" t="s">
        <v>163</v>
      </c>
      <c r="C3635" s="20">
        <v>26.0</v>
      </c>
      <c r="D3635" s="27"/>
      <c r="E3635" s="20" t="s">
        <v>1929</v>
      </c>
    </row>
    <row r="3636">
      <c r="A3636" s="28">
        <v>44832.0</v>
      </c>
      <c r="B3636" s="20" t="s">
        <v>370</v>
      </c>
      <c r="C3636" s="20">
        <v>22.0</v>
      </c>
      <c r="D3636" s="27"/>
    </row>
    <row r="3637">
      <c r="A3637" s="28">
        <v>44832.0</v>
      </c>
      <c r="B3637" s="20" t="s">
        <v>370</v>
      </c>
      <c r="C3637" s="20">
        <v>8.0</v>
      </c>
      <c r="D3637" s="27"/>
      <c r="E3637" s="20" t="s">
        <v>1929</v>
      </c>
    </row>
    <row r="3638">
      <c r="A3638" s="28">
        <v>44832.0</v>
      </c>
      <c r="B3638" s="20" t="s">
        <v>1958</v>
      </c>
      <c r="C3638" s="20">
        <v>18.0</v>
      </c>
      <c r="D3638" s="27"/>
    </row>
    <row r="3639">
      <c r="A3639" s="28">
        <v>44832.0</v>
      </c>
      <c r="B3639" s="20" t="s">
        <v>1857</v>
      </c>
      <c r="C3639" s="20">
        <v>19.0</v>
      </c>
      <c r="D3639" s="27"/>
    </row>
    <row r="3640">
      <c r="A3640" s="28">
        <v>44832.0</v>
      </c>
      <c r="B3640" s="20" t="s">
        <v>1857</v>
      </c>
      <c r="C3640" s="20">
        <v>12.0</v>
      </c>
      <c r="D3640" s="27"/>
      <c r="E3640" s="20" t="s">
        <v>1929</v>
      </c>
    </row>
    <row r="3641">
      <c r="A3641" s="26">
        <v>44832.303085625</v>
      </c>
      <c r="B3641" s="20" t="s">
        <v>193</v>
      </c>
      <c r="C3641" s="20">
        <v>17.0</v>
      </c>
      <c r="D3641" s="27"/>
    </row>
    <row r="3642">
      <c r="A3642" s="26">
        <v>44832.573393252314</v>
      </c>
      <c r="B3642" s="20" t="s">
        <v>1988</v>
      </c>
      <c r="C3642" s="20">
        <v>15.0</v>
      </c>
      <c r="D3642" s="27"/>
    </row>
    <row r="3643">
      <c r="A3643" s="26">
        <v>44832.57373659722</v>
      </c>
      <c r="B3643" s="20" t="s">
        <v>1823</v>
      </c>
      <c r="C3643" s="20">
        <v>3.0</v>
      </c>
      <c r="D3643" s="27"/>
    </row>
    <row r="3644">
      <c r="A3644" s="28">
        <v>44833.0</v>
      </c>
      <c r="B3644" s="20" t="s">
        <v>1001</v>
      </c>
      <c r="C3644" s="20">
        <v>20.0</v>
      </c>
      <c r="D3644" s="27"/>
    </row>
    <row r="3645">
      <c r="A3645" s="28">
        <v>44833.0</v>
      </c>
      <c r="B3645" s="20" t="s">
        <v>1001</v>
      </c>
      <c r="C3645" s="20">
        <v>30.0</v>
      </c>
      <c r="D3645" s="27"/>
      <c r="E3645" s="20" t="s">
        <v>1929</v>
      </c>
    </row>
    <row r="3646">
      <c r="A3646" s="28">
        <v>44833.0</v>
      </c>
      <c r="B3646" s="20" t="s">
        <v>326</v>
      </c>
      <c r="C3646" s="20">
        <v>23.0</v>
      </c>
      <c r="D3646" s="27"/>
    </row>
    <row r="3647">
      <c r="A3647" s="28">
        <v>44833.0</v>
      </c>
      <c r="B3647" s="20" t="s">
        <v>326</v>
      </c>
      <c r="C3647" s="20">
        <v>6.0</v>
      </c>
      <c r="D3647" s="27"/>
      <c r="E3647" s="20" t="s">
        <v>1929</v>
      </c>
    </row>
    <row r="3648">
      <c r="A3648" s="28">
        <v>44833.0</v>
      </c>
      <c r="B3648" s="20" t="s">
        <v>777</v>
      </c>
      <c r="C3648" s="20">
        <v>18.0</v>
      </c>
      <c r="D3648" s="27"/>
    </row>
    <row r="3649">
      <c r="A3649" s="28">
        <v>44833.0</v>
      </c>
      <c r="B3649" s="20" t="s">
        <v>1794</v>
      </c>
      <c r="C3649" s="20">
        <v>20.0</v>
      </c>
      <c r="D3649" s="27"/>
    </row>
    <row r="3650">
      <c r="A3650" s="26">
        <v>44833.70717868056</v>
      </c>
      <c r="B3650" s="20" t="s">
        <v>1989</v>
      </c>
      <c r="C3650" s="20">
        <v>19.0</v>
      </c>
      <c r="D3650" s="27"/>
    </row>
    <row r="3651">
      <c r="A3651" s="26">
        <v>44833.70772730324</v>
      </c>
      <c r="B3651" s="20" t="s">
        <v>1944</v>
      </c>
      <c r="C3651" s="20">
        <v>2.0</v>
      </c>
      <c r="D3651" s="27"/>
      <c r="E3651" s="20" t="s">
        <v>1929</v>
      </c>
    </row>
    <row r="3652">
      <c r="A3652" s="26">
        <v>44833.71306017361</v>
      </c>
      <c r="B3652" s="20" t="s">
        <v>163</v>
      </c>
      <c r="C3652" s="20">
        <v>11.0</v>
      </c>
      <c r="D3652" s="27"/>
    </row>
    <row r="3653">
      <c r="A3653" s="26">
        <v>44833.7133828588</v>
      </c>
      <c r="B3653" s="20" t="s">
        <v>163</v>
      </c>
      <c r="C3653" s="20">
        <v>6.0</v>
      </c>
      <c r="D3653" s="39" t="s">
        <v>1990</v>
      </c>
      <c r="E3653" s="20"/>
    </row>
    <row r="3654">
      <c r="A3654" s="26">
        <v>44833.85886715278</v>
      </c>
      <c r="B3654" s="20" t="s">
        <v>437</v>
      </c>
      <c r="C3654" s="20">
        <v>19.0</v>
      </c>
      <c r="D3654" s="27"/>
    </row>
    <row r="3655">
      <c r="A3655" s="28">
        <v>44834.0</v>
      </c>
      <c r="B3655" s="20" t="s">
        <v>370</v>
      </c>
      <c r="C3655" s="20">
        <v>9.0</v>
      </c>
      <c r="D3655" s="27"/>
    </row>
    <row r="3656">
      <c r="A3656" s="26">
        <v>44834.647149236116</v>
      </c>
      <c r="B3656" s="20" t="s">
        <v>576</v>
      </c>
      <c r="C3656" s="20">
        <v>5.0</v>
      </c>
      <c r="D3656" s="27"/>
    </row>
    <row r="3657">
      <c r="A3657" s="26">
        <v>44834.70629458333</v>
      </c>
      <c r="B3657" s="20" t="s">
        <v>344</v>
      </c>
      <c r="C3657" s="20">
        <v>12.0</v>
      </c>
      <c r="D3657" s="27"/>
    </row>
    <row r="3658">
      <c r="A3658" s="26">
        <v>44834.70647484953</v>
      </c>
      <c r="B3658" s="20" t="s">
        <v>344</v>
      </c>
      <c r="C3658" s="20">
        <v>11.0</v>
      </c>
      <c r="D3658" s="39" t="s">
        <v>1990</v>
      </c>
      <c r="E3658" s="20"/>
    </row>
    <row r="3659">
      <c r="A3659" s="28">
        <v>44835.0</v>
      </c>
      <c r="B3659" s="20" t="s">
        <v>370</v>
      </c>
      <c r="C3659" s="20">
        <v>8.0</v>
      </c>
      <c r="D3659" s="27"/>
    </row>
    <row r="3660">
      <c r="A3660" s="28">
        <v>44835.0</v>
      </c>
      <c r="B3660" s="20" t="s">
        <v>370</v>
      </c>
      <c r="C3660" s="20">
        <v>4.0</v>
      </c>
      <c r="D3660" s="39" t="s">
        <v>1990</v>
      </c>
      <c r="E3660" s="20"/>
    </row>
    <row r="3661">
      <c r="A3661" s="28">
        <v>44835.0</v>
      </c>
      <c r="B3661" s="20" t="s">
        <v>1913</v>
      </c>
      <c r="C3661" s="20">
        <v>20.0</v>
      </c>
      <c r="D3661" s="27"/>
    </row>
    <row r="3662">
      <c r="A3662" s="28">
        <v>44835.0</v>
      </c>
      <c r="B3662" s="20" t="s">
        <v>1913</v>
      </c>
      <c r="C3662" s="20">
        <v>16.0</v>
      </c>
      <c r="D3662" s="39" t="s">
        <v>1990</v>
      </c>
      <c r="E3662" s="20"/>
    </row>
    <row r="3663">
      <c r="A3663" s="26">
        <v>44835.69507696759</v>
      </c>
      <c r="B3663" s="20" t="s">
        <v>1942</v>
      </c>
      <c r="C3663" s="20">
        <v>19.0</v>
      </c>
      <c r="D3663" s="27"/>
    </row>
    <row r="3664">
      <c r="A3664" s="28">
        <v>44835.0</v>
      </c>
      <c r="B3664" s="20" t="s">
        <v>1942</v>
      </c>
      <c r="C3664" s="20">
        <v>2.0</v>
      </c>
      <c r="D3664" s="39" t="s">
        <v>1990</v>
      </c>
      <c r="E3664" s="20"/>
    </row>
    <row r="3665">
      <c r="A3665" s="26">
        <v>44835.699418275464</v>
      </c>
      <c r="B3665" s="20" t="s">
        <v>1259</v>
      </c>
      <c r="C3665" s="20">
        <v>16.0</v>
      </c>
      <c r="D3665" s="27"/>
    </row>
    <row r="3666">
      <c r="A3666" s="28">
        <v>44835.0</v>
      </c>
      <c r="B3666" s="20" t="s">
        <v>1259</v>
      </c>
      <c r="C3666" s="20">
        <v>5.0</v>
      </c>
      <c r="D3666" s="39" t="s">
        <v>1990</v>
      </c>
      <c r="E3666" s="20"/>
    </row>
    <row r="3667">
      <c r="A3667" s="26">
        <v>44835.70247091435</v>
      </c>
      <c r="B3667" s="20" t="s">
        <v>91</v>
      </c>
      <c r="C3667" s="20">
        <v>19.0</v>
      </c>
      <c r="D3667" s="27"/>
    </row>
    <row r="3668">
      <c r="A3668" s="26">
        <v>44835.706811979166</v>
      </c>
      <c r="B3668" s="20" t="s">
        <v>1667</v>
      </c>
      <c r="C3668" s="20">
        <v>19.0</v>
      </c>
      <c r="D3668" s="27"/>
    </row>
    <row r="3669">
      <c r="A3669" s="26">
        <v>44835.70742759259</v>
      </c>
      <c r="B3669" s="20" t="s">
        <v>1633</v>
      </c>
      <c r="C3669" s="20">
        <v>18.0</v>
      </c>
      <c r="D3669" s="27"/>
    </row>
    <row r="3670">
      <c r="A3670" s="26">
        <v>44835.70788271991</v>
      </c>
      <c r="B3670" s="20" t="s">
        <v>300</v>
      </c>
      <c r="C3670" s="20">
        <v>19.0</v>
      </c>
      <c r="D3670" s="27"/>
    </row>
    <row r="3671">
      <c r="A3671" s="28">
        <v>44835.0</v>
      </c>
      <c r="B3671" s="20" t="s">
        <v>300</v>
      </c>
      <c r="C3671" s="20">
        <v>4.0</v>
      </c>
      <c r="D3671" s="39" t="s">
        <v>1990</v>
      </c>
      <c r="E3671" s="20"/>
    </row>
    <row r="3672">
      <c r="A3672" s="26">
        <v>44835.70902559027</v>
      </c>
      <c r="B3672" s="20" t="s">
        <v>1632</v>
      </c>
      <c r="C3672" s="20">
        <v>20.0</v>
      </c>
      <c r="D3672" s="27"/>
    </row>
    <row r="3673">
      <c r="A3673" s="26">
        <v>44835.71761628472</v>
      </c>
      <c r="B3673" s="20" t="s">
        <v>552</v>
      </c>
      <c r="C3673" s="20">
        <v>35.0</v>
      </c>
      <c r="D3673" s="27"/>
    </row>
    <row r="3674">
      <c r="A3674" s="28">
        <v>44835.0</v>
      </c>
      <c r="B3674" s="20" t="s">
        <v>1357</v>
      </c>
      <c r="C3674" s="20">
        <v>7.0</v>
      </c>
      <c r="D3674" s="39" t="s">
        <v>1990</v>
      </c>
      <c r="E3674" s="20"/>
    </row>
    <row r="3675">
      <c r="A3675" s="26">
        <v>44835.72000739584</v>
      </c>
      <c r="B3675" s="20" t="s">
        <v>614</v>
      </c>
      <c r="C3675" s="20">
        <v>20.0</v>
      </c>
      <c r="D3675" s="27"/>
    </row>
    <row r="3676">
      <c r="A3676" s="26">
        <v>44835.72012539352</v>
      </c>
      <c r="B3676" s="20" t="s">
        <v>614</v>
      </c>
      <c r="C3676" s="20">
        <v>2.0</v>
      </c>
      <c r="D3676" s="27"/>
    </row>
    <row r="3677">
      <c r="A3677" s="26">
        <v>44836.67036538194</v>
      </c>
      <c r="B3677" s="20" t="s">
        <v>528</v>
      </c>
      <c r="C3677" s="20">
        <v>20.0</v>
      </c>
      <c r="D3677" s="27"/>
    </row>
    <row r="3678">
      <c r="A3678" s="26">
        <v>44836.6705240625</v>
      </c>
      <c r="B3678" s="20" t="s">
        <v>1943</v>
      </c>
      <c r="C3678" s="20">
        <v>20.0</v>
      </c>
      <c r="D3678" s="27"/>
    </row>
    <row r="3679">
      <c r="A3679" s="28">
        <v>44836.0</v>
      </c>
      <c r="B3679" s="20" t="s">
        <v>1943</v>
      </c>
      <c r="C3679" s="20">
        <v>27.0</v>
      </c>
      <c r="D3679" s="39" t="s">
        <v>1990</v>
      </c>
      <c r="E3679" s="20"/>
    </row>
    <row r="3680">
      <c r="A3680" s="26">
        <v>44836.670649328706</v>
      </c>
      <c r="B3680" s="20" t="s">
        <v>528</v>
      </c>
      <c r="C3680" s="20">
        <v>33.0</v>
      </c>
      <c r="D3680" s="39" t="s">
        <v>1990</v>
      </c>
      <c r="E3680" s="20"/>
    </row>
    <row r="3681">
      <c r="A3681" s="28">
        <v>44836.0</v>
      </c>
      <c r="B3681" s="20" t="s">
        <v>1818</v>
      </c>
      <c r="C3681" s="20">
        <v>20.0</v>
      </c>
      <c r="D3681" s="27"/>
    </row>
    <row r="3682">
      <c r="A3682" s="28">
        <v>44836.0</v>
      </c>
      <c r="B3682" s="20" t="s">
        <v>1818</v>
      </c>
      <c r="C3682" s="20">
        <v>3.0</v>
      </c>
      <c r="D3682" s="20" t="s">
        <v>1990</v>
      </c>
      <c r="E3682" s="20"/>
    </row>
    <row r="3683">
      <c r="A3683" s="26">
        <v>44836.674072696755</v>
      </c>
      <c r="B3683" s="20" t="s">
        <v>596</v>
      </c>
      <c r="C3683" s="20">
        <v>15.0</v>
      </c>
      <c r="D3683" s="27"/>
    </row>
    <row r="3684">
      <c r="A3684" s="26">
        <v>44836.68028458333</v>
      </c>
      <c r="B3684" s="20" t="s">
        <v>411</v>
      </c>
      <c r="C3684" s="20">
        <v>17.0</v>
      </c>
      <c r="D3684" s="27"/>
    </row>
    <row r="3685">
      <c r="A3685" s="26">
        <v>44838.68197872685</v>
      </c>
      <c r="B3685" s="20" t="s">
        <v>163</v>
      </c>
      <c r="C3685" s="20">
        <v>13.0</v>
      </c>
      <c r="D3685" s="20" t="s">
        <v>1991</v>
      </c>
    </row>
    <row r="3686">
      <c r="A3686" s="26">
        <v>44838.682190949075</v>
      </c>
      <c r="B3686" s="20" t="s">
        <v>163</v>
      </c>
      <c r="C3686" s="20">
        <v>35.0</v>
      </c>
      <c r="D3686" s="20" t="s">
        <v>1990</v>
      </c>
    </row>
    <row r="3687">
      <c r="A3687" s="28">
        <v>44838.0</v>
      </c>
      <c r="B3687" s="20" t="s">
        <v>1137</v>
      </c>
      <c r="C3687" s="20">
        <v>20.0</v>
      </c>
      <c r="D3687" s="20" t="s">
        <v>1991</v>
      </c>
    </row>
    <row r="3688">
      <c r="A3688" s="28">
        <v>44838.0</v>
      </c>
      <c r="B3688" s="20" t="s">
        <v>1137</v>
      </c>
      <c r="C3688" s="20">
        <v>36.0</v>
      </c>
      <c r="D3688" s="20" t="s">
        <v>1990</v>
      </c>
    </row>
    <row r="3689">
      <c r="A3689" s="26">
        <v>44838.686615115745</v>
      </c>
      <c r="B3689" s="20" t="s">
        <v>1946</v>
      </c>
      <c r="C3689" s="20">
        <v>18.0</v>
      </c>
    </row>
    <row r="3690">
      <c r="A3690" s="26">
        <v>44838.68722082176</v>
      </c>
      <c r="B3690" s="20" t="s">
        <v>1947</v>
      </c>
      <c r="C3690" s="20">
        <v>11.0</v>
      </c>
      <c r="D3690" s="20" t="s">
        <v>1990</v>
      </c>
    </row>
    <row r="3691">
      <c r="A3691" s="28">
        <v>44838.0</v>
      </c>
      <c r="B3691" s="20" t="s">
        <v>1947</v>
      </c>
      <c r="C3691" s="20">
        <v>19.0</v>
      </c>
      <c r="D3691" s="20" t="s">
        <v>1991</v>
      </c>
    </row>
    <row r="3692">
      <c r="A3692" s="26">
        <v>44838.689873298616</v>
      </c>
      <c r="B3692" s="20" t="s">
        <v>614</v>
      </c>
      <c r="C3692" s="20">
        <v>20.0</v>
      </c>
      <c r="D3692" s="20" t="s">
        <v>1991</v>
      </c>
    </row>
    <row r="3693">
      <c r="A3693" s="26">
        <v>44838.69010015046</v>
      </c>
      <c r="B3693" s="20" t="s">
        <v>614</v>
      </c>
      <c r="C3693" s="20">
        <v>42.0</v>
      </c>
      <c r="D3693" s="20" t="s">
        <v>1990</v>
      </c>
    </row>
    <row r="3694">
      <c r="A3694" s="26">
        <v>44839.56568274305</v>
      </c>
      <c r="B3694" s="20" t="s">
        <v>1992</v>
      </c>
      <c r="C3694" s="20">
        <v>13.0</v>
      </c>
      <c r="D3694" s="20" t="s">
        <v>1991</v>
      </c>
    </row>
    <row r="3695">
      <c r="A3695" s="26">
        <v>44839.56631699074</v>
      </c>
      <c r="B3695" s="20" t="s">
        <v>1823</v>
      </c>
      <c r="C3695" s="20">
        <v>5.0</v>
      </c>
      <c r="D3695" s="20" t="s">
        <v>1991</v>
      </c>
    </row>
    <row r="3696">
      <c r="A3696" s="26">
        <v>44839.70958728009</v>
      </c>
      <c r="B3696" s="20" t="s">
        <v>370</v>
      </c>
      <c r="C3696" s="20">
        <v>10.0</v>
      </c>
      <c r="D3696" s="20" t="s">
        <v>1991</v>
      </c>
    </row>
    <row r="3697">
      <c r="A3697" s="26">
        <v>44839.71269829861</v>
      </c>
      <c r="B3697" s="20" t="s">
        <v>366</v>
      </c>
      <c r="C3697" s="20">
        <v>3.0</v>
      </c>
      <c r="D3697" s="20" t="s">
        <v>1990</v>
      </c>
    </row>
    <row r="3698">
      <c r="A3698" s="28">
        <v>44839.0</v>
      </c>
      <c r="B3698" s="20" t="s">
        <v>1803</v>
      </c>
      <c r="C3698" s="20">
        <v>20.0</v>
      </c>
      <c r="D3698" s="20" t="s">
        <v>1991</v>
      </c>
    </row>
    <row r="3699">
      <c r="A3699" s="28">
        <v>44839.0</v>
      </c>
      <c r="B3699" s="20" t="s">
        <v>842</v>
      </c>
      <c r="C3699" s="20">
        <v>20.0</v>
      </c>
      <c r="D3699" s="20" t="s">
        <v>1991</v>
      </c>
    </row>
    <row r="3700">
      <c r="A3700" s="28">
        <v>44839.0</v>
      </c>
      <c r="B3700" s="20" t="s">
        <v>1969</v>
      </c>
      <c r="C3700" s="20">
        <v>20.0</v>
      </c>
      <c r="D3700" s="20" t="s">
        <v>1991</v>
      </c>
    </row>
    <row r="3701">
      <c r="A3701" s="28">
        <v>44839.0</v>
      </c>
      <c r="B3701" s="20" t="s">
        <v>1969</v>
      </c>
      <c r="C3701" s="20">
        <v>12.0</v>
      </c>
      <c r="D3701" s="20" t="s">
        <v>1990</v>
      </c>
    </row>
    <row r="3702">
      <c r="A3702" s="26">
        <v>44839.84382106482</v>
      </c>
      <c r="B3702" s="20" t="s">
        <v>1551</v>
      </c>
      <c r="C3702" s="20">
        <v>14.0</v>
      </c>
      <c r="D3702" s="20" t="s">
        <v>1991</v>
      </c>
    </row>
    <row r="3703">
      <c r="A3703" s="26">
        <v>44839.85150824074</v>
      </c>
      <c r="B3703" s="20" t="s">
        <v>818</v>
      </c>
      <c r="C3703" s="20">
        <v>16.0</v>
      </c>
      <c r="D3703" s="20" t="s">
        <v>1991</v>
      </c>
    </row>
    <row r="3704">
      <c r="A3704" s="26">
        <v>44839.85227783565</v>
      </c>
      <c r="B3704" s="20" t="s">
        <v>384</v>
      </c>
      <c r="C3704" s="20">
        <v>7.0</v>
      </c>
      <c r="D3704" s="20" t="s">
        <v>1990</v>
      </c>
    </row>
    <row r="3705">
      <c r="A3705" s="26">
        <v>44839.85495796296</v>
      </c>
      <c r="B3705" s="20" t="s">
        <v>760</v>
      </c>
      <c r="C3705" s="20">
        <v>20.0</v>
      </c>
      <c r="D3705" s="20" t="s">
        <v>1991</v>
      </c>
    </row>
    <row r="3706">
      <c r="A3706" s="26">
        <v>44839.85531331018</v>
      </c>
      <c r="B3706" s="20" t="s">
        <v>824</v>
      </c>
      <c r="C3706" s="20">
        <v>28.0</v>
      </c>
      <c r="D3706" s="20" t="s">
        <v>1990</v>
      </c>
    </row>
    <row r="3707">
      <c r="A3707" s="26">
        <v>44840.586791932874</v>
      </c>
      <c r="B3707" s="20" t="s">
        <v>110</v>
      </c>
      <c r="C3707" s="20">
        <v>33.0</v>
      </c>
      <c r="D3707" s="20" t="s">
        <v>1991</v>
      </c>
    </row>
    <row r="3708">
      <c r="A3708" s="28">
        <v>44840.0</v>
      </c>
      <c r="B3708" s="20" t="s">
        <v>1905</v>
      </c>
      <c r="C3708" s="20">
        <v>9.0</v>
      </c>
      <c r="D3708" s="20" t="s">
        <v>1991</v>
      </c>
    </row>
    <row r="3709">
      <c r="A3709" s="28">
        <v>44840.0</v>
      </c>
      <c r="B3709" s="20" t="s">
        <v>1905</v>
      </c>
      <c r="C3709" s="20">
        <v>3.0</v>
      </c>
      <c r="D3709" s="20" t="s">
        <v>1990</v>
      </c>
    </row>
    <row r="3710">
      <c r="A3710" s="28">
        <v>44840.0</v>
      </c>
      <c r="B3710" s="20" t="s">
        <v>1993</v>
      </c>
      <c r="C3710" s="20">
        <v>12.0</v>
      </c>
      <c r="D3710" s="20" t="s">
        <v>1991</v>
      </c>
    </row>
    <row r="3711">
      <c r="A3711" s="28">
        <v>44840.0</v>
      </c>
      <c r="B3711" s="20" t="s">
        <v>1993</v>
      </c>
      <c r="C3711" s="20">
        <v>6.0</v>
      </c>
      <c r="D3711" s="20" t="s">
        <v>1990</v>
      </c>
    </row>
    <row r="3712">
      <c r="A3712" s="28">
        <v>44840.0</v>
      </c>
      <c r="B3712" s="20" t="s">
        <v>1001</v>
      </c>
      <c r="C3712" s="20">
        <v>20.0</v>
      </c>
      <c r="D3712" s="20" t="s">
        <v>1991</v>
      </c>
    </row>
    <row r="3713">
      <c r="A3713" s="28">
        <v>44840.0</v>
      </c>
      <c r="B3713" s="20" t="s">
        <v>1001</v>
      </c>
      <c r="C3713" s="20">
        <v>18.0</v>
      </c>
      <c r="D3713" s="20" t="s">
        <v>1990</v>
      </c>
    </row>
    <row r="3714">
      <c r="A3714" s="28">
        <v>44840.0</v>
      </c>
      <c r="B3714" s="20" t="s">
        <v>1924</v>
      </c>
      <c r="C3714" s="20">
        <v>20.0</v>
      </c>
      <c r="D3714" s="20" t="s">
        <v>1991</v>
      </c>
    </row>
    <row r="3715">
      <c r="A3715" s="26">
        <v>44840.706398298615</v>
      </c>
      <c r="B3715" s="20" t="s">
        <v>163</v>
      </c>
      <c r="C3715" s="20">
        <v>23.0</v>
      </c>
      <c r="D3715" s="20" t="s">
        <v>1991</v>
      </c>
    </row>
    <row r="3716">
      <c r="A3716" s="26">
        <v>44840.71281298611</v>
      </c>
      <c r="B3716" s="20" t="s">
        <v>327</v>
      </c>
      <c r="C3716" s="20">
        <v>16.0</v>
      </c>
      <c r="D3716" s="20" t="s">
        <v>1991</v>
      </c>
    </row>
    <row r="3717">
      <c r="A3717" s="26">
        <v>44840.71319231481</v>
      </c>
      <c r="B3717" s="20" t="s">
        <v>327</v>
      </c>
      <c r="C3717" s="20">
        <v>9.0</v>
      </c>
      <c r="D3717" s="20" t="s">
        <v>1990</v>
      </c>
    </row>
    <row r="3718">
      <c r="A3718" s="26">
        <v>44840.72128752315</v>
      </c>
      <c r="B3718" s="20" t="s">
        <v>327</v>
      </c>
      <c r="C3718" s="20">
        <v>16.0</v>
      </c>
      <c r="D3718" s="20" t="s">
        <v>1990</v>
      </c>
    </row>
    <row r="3719">
      <c r="A3719" s="26">
        <v>44840.87479318287</v>
      </c>
      <c r="B3719" s="20" t="s">
        <v>1325</v>
      </c>
      <c r="C3719" s="20">
        <v>20.0</v>
      </c>
      <c r="D3719" s="20" t="s">
        <v>1991</v>
      </c>
    </row>
    <row r="3720">
      <c r="A3720" s="28">
        <v>44840.0</v>
      </c>
      <c r="B3720" s="20" t="s">
        <v>1914</v>
      </c>
      <c r="C3720" s="20">
        <v>2.0</v>
      </c>
      <c r="D3720" s="20" t="s">
        <v>1990</v>
      </c>
    </row>
    <row r="3721">
      <c r="A3721" s="26">
        <v>44840.87498305556</v>
      </c>
      <c r="B3721" s="20" t="s">
        <v>1914</v>
      </c>
      <c r="C3721" s="20">
        <v>19.0</v>
      </c>
      <c r="D3721" s="20" t="s">
        <v>1991</v>
      </c>
    </row>
    <row r="3722">
      <c r="A3722" s="28">
        <v>44841.0</v>
      </c>
      <c r="B3722" s="20" t="s">
        <v>1965</v>
      </c>
      <c r="C3722" s="20">
        <v>14.0</v>
      </c>
      <c r="D3722" s="20" t="s">
        <v>1991</v>
      </c>
    </row>
    <row r="3723">
      <c r="A3723" s="28">
        <v>44841.0</v>
      </c>
      <c r="B3723" s="20" t="s">
        <v>370</v>
      </c>
      <c r="C3723" s="20">
        <v>8.0</v>
      </c>
      <c r="D3723" s="20" t="s">
        <v>1990</v>
      </c>
    </row>
    <row r="3724">
      <c r="A3724" s="26">
        <v>44841.65973728009</v>
      </c>
      <c r="B3724" s="20" t="s">
        <v>1994</v>
      </c>
      <c r="C3724" s="20">
        <v>2.0</v>
      </c>
      <c r="D3724" s="20" t="s">
        <v>1990</v>
      </c>
    </row>
    <row r="3725">
      <c r="A3725" s="26">
        <v>44841.659977118055</v>
      </c>
      <c r="B3725" s="20" t="s">
        <v>637</v>
      </c>
      <c r="C3725" s="20">
        <v>11.0</v>
      </c>
      <c r="D3725" s="20" t="s">
        <v>1991</v>
      </c>
    </row>
    <row r="3726">
      <c r="A3726" s="26">
        <v>44841.699136006944</v>
      </c>
      <c r="B3726" s="20" t="s">
        <v>344</v>
      </c>
      <c r="C3726" s="20">
        <v>12.0</v>
      </c>
      <c r="D3726" s="20" t="s">
        <v>1991</v>
      </c>
    </row>
    <row r="3727">
      <c r="A3727" s="26">
        <v>44841.69929885417</v>
      </c>
      <c r="B3727" s="20" t="s">
        <v>344</v>
      </c>
      <c r="C3727" s="20">
        <v>7.0</v>
      </c>
      <c r="D3727" s="20" t="s">
        <v>1990</v>
      </c>
    </row>
    <row r="3728">
      <c r="A3728" s="26">
        <v>44841.70566290509</v>
      </c>
      <c r="B3728" s="20" t="s">
        <v>193</v>
      </c>
      <c r="C3728" s="20">
        <v>17.0</v>
      </c>
      <c r="D3728" s="20" t="s">
        <v>1991</v>
      </c>
    </row>
    <row r="3729">
      <c r="A3729" s="26">
        <v>44841.706101331016</v>
      </c>
      <c r="B3729" s="20" t="s">
        <v>191</v>
      </c>
      <c r="C3729" s="20">
        <v>18.0</v>
      </c>
      <c r="D3729" s="20" t="s">
        <v>1990</v>
      </c>
    </row>
    <row r="3730">
      <c r="A3730" s="28">
        <v>44842.0</v>
      </c>
      <c r="B3730" s="20" t="s">
        <v>644</v>
      </c>
      <c r="C3730" s="20">
        <v>37.0</v>
      </c>
      <c r="D3730" s="20" t="s">
        <v>1990</v>
      </c>
    </row>
    <row r="3731">
      <c r="A3731" s="28">
        <v>44842.0</v>
      </c>
      <c r="B3731" s="20" t="s">
        <v>1834</v>
      </c>
      <c r="C3731" s="20">
        <v>20.0</v>
      </c>
      <c r="D3731" s="20" t="s">
        <v>1991</v>
      </c>
    </row>
    <row r="3732">
      <c r="A3732" s="28">
        <v>44842.0</v>
      </c>
      <c r="B3732" s="20" t="s">
        <v>1834</v>
      </c>
      <c r="C3732" s="20">
        <v>25.0</v>
      </c>
      <c r="D3732" s="20" t="s">
        <v>1990</v>
      </c>
    </row>
    <row r="3733">
      <c r="A3733" s="28">
        <v>44842.0</v>
      </c>
      <c r="B3733" s="20" t="s">
        <v>370</v>
      </c>
      <c r="C3733" s="20">
        <v>10.0</v>
      </c>
      <c r="D3733" s="20" t="s">
        <v>1991</v>
      </c>
    </row>
    <row r="3734">
      <c r="A3734" s="28">
        <v>44842.0</v>
      </c>
      <c r="B3734" s="20" t="s">
        <v>1995</v>
      </c>
      <c r="C3734" s="20">
        <v>2.0</v>
      </c>
      <c r="D3734" s="20" t="s">
        <v>1991</v>
      </c>
    </row>
    <row r="3735">
      <c r="A3735" s="28">
        <v>44842.0</v>
      </c>
      <c r="B3735" s="20" t="s">
        <v>1241</v>
      </c>
      <c r="C3735" s="20">
        <v>15.0</v>
      </c>
      <c r="D3735" s="20" t="s">
        <v>1991</v>
      </c>
    </row>
    <row r="3736">
      <c r="A3736" s="28">
        <v>44842.0</v>
      </c>
      <c r="B3736" s="20" t="s">
        <v>1908</v>
      </c>
      <c r="C3736" s="20">
        <v>19.0</v>
      </c>
      <c r="D3736" s="20" t="s">
        <v>1991</v>
      </c>
    </row>
    <row r="3737">
      <c r="A3737" s="26">
        <v>44842.68434994213</v>
      </c>
      <c r="B3737" s="20" t="s">
        <v>1996</v>
      </c>
      <c r="C3737" s="20">
        <v>20.0</v>
      </c>
      <c r="D3737" s="20" t="s">
        <v>1991</v>
      </c>
    </row>
    <row r="3738">
      <c r="A3738" s="26">
        <v>44842.68493974537</v>
      </c>
      <c r="B3738" s="20" t="s">
        <v>91</v>
      </c>
      <c r="C3738" s="20">
        <v>7.0</v>
      </c>
      <c r="D3738" s="20" t="s">
        <v>1991</v>
      </c>
    </row>
    <row r="3739">
      <c r="A3739" s="26">
        <v>44842.68889627315</v>
      </c>
      <c r="B3739" s="20" t="s">
        <v>1909</v>
      </c>
      <c r="C3739" s="20">
        <v>19.0</v>
      </c>
      <c r="D3739" s="20" t="s">
        <v>1991</v>
      </c>
    </row>
    <row r="3740">
      <c r="A3740" s="26">
        <v>44842.69217465278</v>
      </c>
      <c r="B3740" s="20" t="s">
        <v>1806</v>
      </c>
      <c r="C3740" s="20">
        <v>16.0</v>
      </c>
      <c r="D3740" s="20" t="s">
        <v>1991</v>
      </c>
    </row>
    <row r="3741">
      <c r="A3741" s="26">
        <v>44842.69384142361</v>
      </c>
      <c r="B3741" s="20" t="s">
        <v>1632</v>
      </c>
      <c r="C3741" s="20">
        <v>17.0</v>
      </c>
      <c r="D3741" s="20" t="s">
        <v>1991</v>
      </c>
    </row>
    <row r="3742">
      <c r="A3742" s="26">
        <v>44842.69414251157</v>
      </c>
      <c r="B3742" s="20" t="s">
        <v>1735</v>
      </c>
      <c r="C3742" s="20">
        <v>20.0</v>
      </c>
      <c r="D3742" s="20" t="s">
        <v>1991</v>
      </c>
    </row>
    <row r="3743">
      <c r="A3743" s="26">
        <v>44842.69679135417</v>
      </c>
      <c r="B3743" s="20" t="s">
        <v>300</v>
      </c>
      <c r="C3743" s="20">
        <v>17.0</v>
      </c>
      <c r="D3743" s="20" t="s">
        <v>1991</v>
      </c>
    </row>
    <row r="3744">
      <c r="A3744" s="26">
        <v>44842.6974028125</v>
      </c>
      <c r="B3744" s="20" t="s">
        <v>614</v>
      </c>
      <c r="C3744" s="20">
        <v>16.0</v>
      </c>
      <c r="D3744" s="20" t="s">
        <v>1991</v>
      </c>
    </row>
    <row r="3745">
      <c r="A3745" s="26">
        <v>44842.69755660879</v>
      </c>
      <c r="B3745" s="20" t="s">
        <v>614</v>
      </c>
      <c r="C3745" s="20">
        <v>45.0</v>
      </c>
      <c r="D3745" s="20" t="s">
        <v>1990</v>
      </c>
    </row>
    <row r="3746">
      <c r="A3746" s="26">
        <v>44843.66831528935</v>
      </c>
      <c r="B3746" s="20" t="s">
        <v>631</v>
      </c>
      <c r="C3746" s="20">
        <v>17.0</v>
      </c>
      <c r="D3746" s="20" t="s">
        <v>1991</v>
      </c>
    </row>
    <row r="3747">
      <c r="A3747" s="26">
        <v>44843.66841604166</v>
      </c>
      <c r="B3747" s="20" t="s">
        <v>631</v>
      </c>
      <c r="C3747" s="20">
        <v>1.0</v>
      </c>
      <c r="D3747" s="20" t="s">
        <v>1990</v>
      </c>
    </row>
    <row r="3748">
      <c r="A3748" s="26">
        <v>44843.67509741898</v>
      </c>
      <c r="B3748" s="20" t="s">
        <v>528</v>
      </c>
      <c r="C3748" s="20">
        <v>20.0</v>
      </c>
      <c r="D3748" s="20" t="s">
        <v>1991</v>
      </c>
    </row>
    <row r="3749">
      <c r="A3749" s="26">
        <v>44843.67519707176</v>
      </c>
      <c r="B3749" s="20" t="s">
        <v>193</v>
      </c>
      <c r="C3749" s="20">
        <v>22.0</v>
      </c>
      <c r="D3749" s="20" t="s">
        <v>1991</v>
      </c>
    </row>
    <row r="3750">
      <c r="A3750" s="26">
        <v>44843.675284826386</v>
      </c>
      <c r="B3750" s="20" t="s">
        <v>1997</v>
      </c>
      <c r="C3750" s="20">
        <v>18.0</v>
      </c>
      <c r="D3750" s="20" t="s">
        <v>1991</v>
      </c>
    </row>
    <row r="3751">
      <c r="A3751" s="26">
        <v>44843.67533398148</v>
      </c>
      <c r="B3751" s="20" t="s">
        <v>193</v>
      </c>
      <c r="C3751" s="20">
        <v>29.0</v>
      </c>
      <c r="D3751" s="20" t="s">
        <v>1990</v>
      </c>
    </row>
    <row r="3752">
      <c r="A3752" s="26">
        <v>44843.675351157406</v>
      </c>
      <c r="B3752" s="20" t="s">
        <v>528</v>
      </c>
      <c r="C3752" s="20">
        <v>23.0</v>
      </c>
      <c r="D3752" s="20" t="s">
        <v>1990</v>
      </c>
    </row>
    <row r="3753">
      <c r="A3753" s="26">
        <v>44843.675445381945</v>
      </c>
      <c r="B3753" s="20" t="s">
        <v>1997</v>
      </c>
      <c r="C3753" s="20">
        <v>15.0</v>
      </c>
      <c r="D3753" s="20" t="s">
        <v>1990</v>
      </c>
    </row>
    <row r="3754">
      <c r="A3754" s="26">
        <v>44843.677802997685</v>
      </c>
      <c r="B3754" s="20" t="s">
        <v>1943</v>
      </c>
      <c r="C3754" s="20">
        <v>20.0</v>
      </c>
      <c r="D3754" s="20" t="s">
        <v>1991</v>
      </c>
    </row>
    <row r="3755">
      <c r="A3755" s="26">
        <v>44843.67798925926</v>
      </c>
      <c r="B3755" s="20" t="s">
        <v>1943</v>
      </c>
      <c r="C3755" s="20">
        <v>25.0</v>
      </c>
      <c r="D3755" s="20" t="s">
        <v>1990</v>
      </c>
    </row>
    <row r="3756">
      <c r="A3756" s="28">
        <v>44845.0</v>
      </c>
      <c r="B3756" s="20" t="s">
        <v>1001</v>
      </c>
      <c r="C3756" s="20">
        <v>19.0</v>
      </c>
      <c r="D3756" s="20" t="s">
        <v>1991</v>
      </c>
    </row>
    <row r="3757">
      <c r="A3757" s="28">
        <v>44845.0</v>
      </c>
      <c r="B3757" s="20" t="s">
        <v>1001</v>
      </c>
      <c r="C3757" s="20">
        <v>14.0</v>
      </c>
      <c r="D3757" s="20" t="s">
        <v>1990</v>
      </c>
    </row>
    <row r="3758">
      <c r="A3758" s="26">
        <v>44845.662215034725</v>
      </c>
      <c r="B3758" s="20" t="s">
        <v>1998</v>
      </c>
      <c r="C3758" s="20">
        <v>17.0</v>
      </c>
      <c r="D3758" s="20" t="s">
        <v>1991</v>
      </c>
    </row>
    <row r="3759">
      <c r="A3759" s="26">
        <v>44845.66273027778</v>
      </c>
      <c r="B3759" s="20" t="s">
        <v>1970</v>
      </c>
      <c r="C3759" s="20">
        <v>2.0</v>
      </c>
      <c r="D3759" s="20" t="s">
        <v>1990</v>
      </c>
    </row>
    <row r="3760">
      <c r="A3760" s="26">
        <v>44845.663097094905</v>
      </c>
      <c r="B3760" s="20" t="s">
        <v>1946</v>
      </c>
      <c r="C3760" s="20">
        <v>14.0</v>
      </c>
      <c r="D3760" s="20" t="s">
        <v>1991</v>
      </c>
    </row>
    <row r="3761">
      <c r="A3761" s="26">
        <v>44845.66345028935</v>
      </c>
      <c r="B3761" s="20" t="s">
        <v>1946</v>
      </c>
      <c r="C3761" s="20">
        <v>5.0</v>
      </c>
      <c r="D3761" s="20" t="s">
        <v>1990</v>
      </c>
    </row>
    <row r="3762">
      <c r="A3762" s="26">
        <v>44845.66403636574</v>
      </c>
      <c r="B3762" s="20" t="s">
        <v>995</v>
      </c>
      <c r="C3762" s="20">
        <v>20.0</v>
      </c>
      <c r="D3762" s="20" t="s">
        <v>1991</v>
      </c>
    </row>
    <row r="3763">
      <c r="A3763" s="26">
        <v>44845.66424935185</v>
      </c>
      <c r="B3763" s="20" t="s">
        <v>528</v>
      </c>
      <c r="C3763" s="20">
        <v>11.0</v>
      </c>
      <c r="D3763" s="20" t="s">
        <v>1990</v>
      </c>
    </row>
    <row r="3764">
      <c r="A3764" s="26">
        <v>44845.66509525463</v>
      </c>
      <c r="B3764" s="20" t="s">
        <v>1996</v>
      </c>
      <c r="C3764" s="20">
        <v>4.0</v>
      </c>
      <c r="D3764" s="20" t="s">
        <v>1990</v>
      </c>
    </row>
    <row r="3765">
      <c r="A3765" s="26">
        <v>44845.66709797454</v>
      </c>
      <c r="B3765" s="20" t="s">
        <v>614</v>
      </c>
      <c r="C3765" s="20">
        <v>19.0</v>
      </c>
      <c r="D3765" s="20" t="s">
        <v>1991</v>
      </c>
    </row>
    <row r="3766">
      <c r="A3766" s="26">
        <v>44845.66724199074</v>
      </c>
      <c r="B3766" s="20" t="s">
        <v>614</v>
      </c>
      <c r="C3766" s="20">
        <v>10.0</v>
      </c>
      <c r="D3766" s="20" t="s">
        <v>1990</v>
      </c>
    </row>
    <row r="3767">
      <c r="A3767" s="26">
        <v>44845.66760583333</v>
      </c>
      <c r="B3767" s="20" t="s">
        <v>163</v>
      </c>
      <c r="C3767" s="20">
        <v>14.0</v>
      </c>
      <c r="D3767" s="20" t="s">
        <v>1991</v>
      </c>
    </row>
    <row r="3768">
      <c r="A3768" s="26">
        <v>44845.66807349537</v>
      </c>
      <c r="B3768" s="20" t="s">
        <v>163</v>
      </c>
      <c r="C3768" s="20">
        <v>7.0</v>
      </c>
      <c r="D3768" s="20" t="s">
        <v>1990</v>
      </c>
    </row>
    <row r="3769">
      <c r="A3769" s="26">
        <v>44845.66845681713</v>
      </c>
      <c r="B3769" s="20" t="s">
        <v>1996</v>
      </c>
      <c r="C3769" s="20">
        <v>18.0</v>
      </c>
      <c r="D3769" s="20" t="s">
        <v>1991</v>
      </c>
    </row>
    <row r="3770">
      <c r="A3770" s="26">
        <v>44846.569894479166</v>
      </c>
      <c r="B3770" s="20" t="s">
        <v>1999</v>
      </c>
      <c r="C3770" s="20">
        <v>9.0</v>
      </c>
      <c r="D3770" s="20" t="s">
        <v>1991</v>
      </c>
    </row>
    <row r="3771">
      <c r="A3771" s="28">
        <v>44846.0</v>
      </c>
      <c r="B3771" s="20" t="s">
        <v>1958</v>
      </c>
      <c r="C3771" s="20">
        <v>17.0</v>
      </c>
      <c r="D3771" s="20" t="s">
        <v>1991</v>
      </c>
    </row>
    <row r="3772">
      <c r="A3772" s="28">
        <v>44846.0</v>
      </c>
      <c r="B3772" s="20" t="s">
        <v>1958</v>
      </c>
      <c r="C3772" s="20">
        <v>9.0</v>
      </c>
      <c r="D3772" s="20" t="s">
        <v>1990</v>
      </c>
    </row>
    <row r="3773">
      <c r="A3773" s="28">
        <v>44846.0</v>
      </c>
      <c r="B3773" s="20" t="s">
        <v>1847</v>
      </c>
      <c r="C3773" s="20">
        <v>13.0</v>
      </c>
      <c r="D3773" s="20" t="s">
        <v>1991</v>
      </c>
    </row>
    <row r="3774">
      <c r="A3774" s="28">
        <v>44846.0</v>
      </c>
      <c r="B3774" s="20" t="s">
        <v>1847</v>
      </c>
      <c r="C3774" s="20">
        <v>4.0</v>
      </c>
      <c r="D3774" s="20" t="s">
        <v>1990</v>
      </c>
    </row>
    <row r="3775">
      <c r="A3775" s="26">
        <v>44846.70847859954</v>
      </c>
      <c r="B3775" s="20" t="s">
        <v>366</v>
      </c>
      <c r="C3775" s="20">
        <v>16.0</v>
      </c>
      <c r="D3775" s="20" t="s">
        <v>1991</v>
      </c>
    </row>
    <row r="3776">
      <c r="A3776" s="26">
        <v>44846.708971099535</v>
      </c>
      <c r="B3776" s="20" t="s">
        <v>366</v>
      </c>
      <c r="C3776" s="20">
        <v>9.0</v>
      </c>
      <c r="D3776" s="20" t="s">
        <v>1990</v>
      </c>
    </row>
    <row r="3777">
      <c r="A3777" s="26">
        <v>44846.73305964121</v>
      </c>
      <c r="B3777" s="20" t="s">
        <v>366</v>
      </c>
      <c r="C3777" s="20">
        <v>11.0</v>
      </c>
      <c r="D3777" s="20" t="s">
        <v>1990</v>
      </c>
    </row>
    <row r="3778">
      <c r="A3778" s="26">
        <v>44846.79261186343</v>
      </c>
      <c r="B3778" s="20" t="s">
        <v>637</v>
      </c>
      <c r="C3778" s="20">
        <v>2.0</v>
      </c>
      <c r="D3778" s="20" t="s">
        <v>1990</v>
      </c>
    </row>
    <row r="3779">
      <c r="A3779" s="26">
        <v>44846.7931297801</v>
      </c>
      <c r="B3779" s="20" t="s">
        <v>384</v>
      </c>
      <c r="C3779" s="20">
        <v>5.0</v>
      </c>
      <c r="D3779" s="20" t="s">
        <v>1991</v>
      </c>
    </row>
    <row r="3780">
      <c r="A3780" s="26">
        <v>44846.854726122685</v>
      </c>
      <c r="B3780" s="20" t="s">
        <v>1551</v>
      </c>
      <c r="C3780" s="20">
        <v>19.0</v>
      </c>
      <c r="D3780" s="20" t="s">
        <v>1991</v>
      </c>
    </row>
    <row r="3781">
      <c r="A3781" s="26">
        <v>44846.86142377315</v>
      </c>
      <c r="B3781" s="20" t="s">
        <v>760</v>
      </c>
      <c r="C3781" s="20">
        <v>20.0</v>
      </c>
      <c r="D3781" s="20" t="s">
        <v>1991</v>
      </c>
    </row>
    <row r="3782">
      <c r="A3782" s="26">
        <v>44846.86349905093</v>
      </c>
      <c r="B3782" s="20" t="s">
        <v>2000</v>
      </c>
      <c r="C3782" s="20">
        <v>20.0</v>
      </c>
      <c r="D3782" s="20" t="s">
        <v>1991</v>
      </c>
    </row>
    <row r="3783">
      <c r="A3783" s="26">
        <v>44846.86383216435</v>
      </c>
      <c r="B3783" s="20" t="s">
        <v>2001</v>
      </c>
      <c r="C3783" s="20">
        <v>15.0</v>
      </c>
      <c r="D3783" s="20" t="s">
        <v>1990</v>
      </c>
    </row>
    <row r="3784">
      <c r="A3784" s="26">
        <v>44846.872638773144</v>
      </c>
      <c r="B3784" s="20" t="s">
        <v>824</v>
      </c>
      <c r="C3784" s="20">
        <v>10.0</v>
      </c>
      <c r="D3784" s="20" t="s">
        <v>1990</v>
      </c>
    </row>
    <row r="3785">
      <c r="A3785" s="28">
        <v>44846.0</v>
      </c>
      <c r="B3785" s="20" t="s">
        <v>1905</v>
      </c>
      <c r="C3785" s="20">
        <v>12.0</v>
      </c>
      <c r="D3785" s="20" t="s">
        <v>1991</v>
      </c>
    </row>
    <row r="3786">
      <c r="A3786" s="28">
        <v>44846.0</v>
      </c>
      <c r="B3786" s="20" t="s">
        <v>163</v>
      </c>
      <c r="C3786" s="20">
        <v>14.0</v>
      </c>
      <c r="D3786" s="20" t="s">
        <v>1991</v>
      </c>
    </row>
    <row r="3787">
      <c r="A3787" s="28">
        <v>44846.0</v>
      </c>
      <c r="B3787" s="20" t="s">
        <v>163</v>
      </c>
      <c r="C3787" s="20">
        <v>14.0</v>
      </c>
      <c r="D3787" s="20" t="s">
        <v>1991</v>
      </c>
    </row>
    <row r="3788">
      <c r="A3788" s="28">
        <v>44846.0</v>
      </c>
      <c r="B3788" s="20" t="s">
        <v>1001</v>
      </c>
      <c r="C3788" s="20">
        <v>17.0</v>
      </c>
      <c r="D3788" s="20" t="s">
        <v>1991</v>
      </c>
    </row>
    <row r="3789">
      <c r="A3789" s="28">
        <v>44846.0</v>
      </c>
      <c r="B3789" s="20" t="s">
        <v>1001</v>
      </c>
      <c r="C3789" s="20">
        <v>23.0</v>
      </c>
      <c r="D3789" s="20" t="s">
        <v>1990</v>
      </c>
    </row>
    <row r="3790">
      <c r="A3790" s="26">
        <v>44847.6929562963</v>
      </c>
      <c r="B3790" s="20" t="s">
        <v>679</v>
      </c>
      <c r="C3790" s="20">
        <v>10.0</v>
      </c>
      <c r="D3790" s="20" t="s">
        <v>1991</v>
      </c>
    </row>
    <row r="3791">
      <c r="A3791" s="26">
        <v>44847.69345210648</v>
      </c>
      <c r="B3791" s="20" t="s">
        <v>679</v>
      </c>
      <c r="C3791" s="20">
        <v>4.0</v>
      </c>
      <c r="D3791" s="20" t="s">
        <v>1990</v>
      </c>
    </row>
    <row r="3792">
      <c r="A3792" s="26">
        <v>44847.69435827546</v>
      </c>
      <c r="B3792" s="20" t="s">
        <v>327</v>
      </c>
      <c r="C3792" s="20">
        <v>17.0</v>
      </c>
      <c r="D3792" s="20" t="s">
        <v>1991</v>
      </c>
    </row>
    <row r="3793">
      <c r="A3793" s="26">
        <v>44847.694678125</v>
      </c>
      <c r="B3793" s="20" t="s">
        <v>327</v>
      </c>
      <c r="C3793" s="20">
        <v>4.0</v>
      </c>
      <c r="D3793" s="20" t="s">
        <v>1990</v>
      </c>
    </row>
    <row r="3794">
      <c r="A3794" s="28">
        <v>44847.0</v>
      </c>
      <c r="B3794" s="20" t="s">
        <v>1871</v>
      </c>
      <c r="C3794" s="20">
        <v>20.0</v>
      </c>
      <c r="D3794" s="20" t="s">
        <v>1991</v>
      </c>
    </row>
    <row r="3795">
      <c r="A3795" s="28">
        <v>44847.0</v>
      </c>
      <c r="B3795" s="20" t="s">
        <v>1871</v>
      </c>
      <c r="C3795" s="20">
        <v>20.0</v>
      </c>
      <c r="D3795" s="20" t="s">
        <v>1990</v>
      </c>
    </row>
    <row r="3796">
      <c r="A3796" s="28">
        <v>44846.0</v>
      </c>
      <c r="B3796" s="20" t="s">
        <v>1888</v>
      </c>
      <c r="C3796" s="20">
        <v>20.0</v>
      </c>
      <c r="D3796" s="20" t="s">
        <v>1991</v>
      </c>
    </row>
    <row r="3797">
      <c r="A3797" s="28">
        <v>44846.0</v>
      </c>
      <c r="B3797" s="20" t="s">
        <v>1888</v>
      </c>
      <c r="C3797" s="20">
        <v>7.0</v>
      </c>
      <c r="D3797" s="20" t="s">
        <v>1990</v>
      </c>
    </row>
    <row r="3798">
      <c r="A3798" s="28">
        <v>44847.0</v>
      </c>
      <c r="B3798" s="20" t="s">
        <v>777</v>
      </c>
      <c r="C3798" s="20">
        <v>19.0</v>
      </c>
      <c r="D3798" s="20" t="s">
        <v>1991</v>
      </c>
    </row>
    <row r="3799">
      <c r="A3799" s="28">
        <v>44847.0</v>
      </c>
      <c r="B3799" s="20" t="s">
        <v>777</v>
      </c>
      <c r="C3799" s="20">
        <v>5.0</v>
      </c>
      <c r="D3799" s="20" t="s">
        <v>1990</v>
      </c>
    </row>
    <row r="3800">
      <c r="A3800" s="26">
        <v>44847.83851945602</v>
      </c>
      <c r="B3800" s="20" t="s">
        <v>1672</v>
      </c>
      <c r="C3800" s="20">
        <v>20.0</v>
      </c>
      <c r="D3800" s="20" t="s">
        <v>1991</v>
      </c>
    </row>
    <row r="3801">
      <c r="A3801" s="26">
        <v>44847.83867498842</v>
      </c>
      <c r="B3801" s="20" t="s">
        <v>1325</v>
      </c>
      <c r="C3801" s="20">
        <v>3.0</v>
      </c>
      <c r="D3801" s="20" t="s">
        <v>1990</v>
      </c>
    </row>
    <row r="3802">
      <c r="A3802" s="26">
        <v>44847.84021746527</v>
      </c>
      <c r="B3802" s="20" t="s">
        <v>437</v>
      </c>
      <c r="C3802" s="20">
        <v>19.0</v>
      </c>
      <c r="D3802" s="20" t="s">
        <v>1991</v>
      </c>
    </row>
    <row r="3803">
      <c r="A3803" s="26">
        <v>44847.84032633102</v>
      </c>
      <c r="B3803" s="20" t="s">
        <v>437</v>
      </c>
      <c r="C3803" s="20">
        <v>4.0</v>
      </c>
      <c r="D3803" s="20" t="s">
        <v>1990</v>
      </c>
    </row>
    <row r="3804">
      <c r="A3804" s="28">
        <v>44848.0</v>
      </c>
      <c r="B3804" s="20" t="s">
        <v>1965</v>
      </c>
      <c r="C3804" s="20">
        <v>20.0</v>
      </c>
      <c r="D3804" s="20" t="s">
        <v>1991</v>
      </c>
    </row>
    <row r="3805">
      <c r="A3805" s="28">
        <v>44848.0</v>
      </c>
      <c r="B3805" s="20" t="s">
        <v>1965</v>
      </c>
      <c r="C3805" s="20">
        <v>8.0</v>
      </c>
      <c r="D3805" s="20" t="s">
        <v>1990</v>
      </c>
    </row>
    <row r="3806">
      <c r="A3806" s="26">
        <v>44848.703199930555</v>
      </c>
      <c r="B3806" s="20" t="s">
        <v>576</v>
      </c>
      <c r="C3806" s="20">
        <v>5.0</v>
      </c>
      <c r="D3806" s="20" t="s">
        <v>1991</v>
      </c>
    </row>
    <row r="3807">
      <c r="A3807" s="26">
        <v>44848.70708361111</v>
      </c>
      <c r="B3807" s="20" t="s">
        <v>344</v>
      </c>
      <c r="C3807" s="20">
        <v>8.0</v>
      </c>
      <c r="D3807" s="20" t="s">
        <v>1991</v>
      </c>
    </row>
    <row r="3808">
      <c r="A3808" s="26">
        <v>44848.70723965278</v>
      </c>
      <c r="B3808" s="20" t="s">
        <v>344</v>
      </c>
      <c r="C3808" s="20">
        <v>12.0</v>
      </c>
      <c r="D3808" s="20" t="s">
        <v>1990</v>
      </c>
    </row>
    <row r="3809">
      <c r="A3809" s="26">
        <v>44848.70936296297</v>
      </c>
      <c r="B3809" s="20" t="s">
        <v>366</v>
      </c>
      <c r="C3809" s="20">
        <v>21.0</v>
      </c>
      <c r="D3809" s="20" t="s">
        <v>1991</v>
      </c>
    </row>
    <row r="3810">
      <c r="A3810" s="26">
        <v>44848.70965431713</v>
      </c>
      <c r="B3810" s="20" t="s">
        <v>366</v>
      </c>
      <c r="C3810" s="20">
        <v>5.0</v>
      </c>
      <c r="D3810" s="20" t="s">
        <v>1990</v>
      </c>
    </row>
    <row r="3811">
      <c r="A3811" s="26">
        <v>44849.68951615741</v>
      </c>
      <c r="B3811" s="20" t="s">
        <v>2002</v>
      </c>
      <c r="C3811" s="20">
        <v>20.0</v>
      </c>
      <c r="D3811" s="20" t="s">
        <v>1991</v>
      </c>
    </row>
    <row r="3812">
      <c r="A3812" s="26">
        <v>44849.69089521991</v>
      </c>
      <c r="B3812" s="20" t="s">
        <v>91</v>
      </c>
      <c r="C3812" s="20">
        <v>4.0</v>
      </c>
      <c r="D3812" s="20" t="s">
        <v>1991</v>
      </c>
    </row>
    <row r="3813">
      <c r="A3813" s="26">
        <v>44849.69105440972</v>
      </c>
      <c r="B3813" s="20" t="s">
        <v>91</v>
      </c>
      <c r="C3813" s="20">
        <v>2.0</v>
      </c>
      <c r="D3813" s="20" t="s">
        <v>1990</v>
      </c>
    </row>
    <row r="3814">
      <c r="A3814" s="26">
        <v>44849.69133190972</v>
      </c>
      <c r="B3814" s="20" t="s">
        <v>614</v>
      </c>
      <c r="C3814" s="20">
        <v>10.0</v>
      </c>
      <c r="D3814" s="20" t="s">
        <v>1991</v>
      </c>
    </row>
    <row r="3815">
      <c r="A3815" s="26">
        <v>44849.69145324074</v>
      </c>
      <c r="B3815" s="20" t="s">
        <v>614</v>
      </c>
      <c r="C3815" s="20">
        <v>3.0</v>
      </c>
      <c r="D3815" s="20" t="s">
        <v>1990</v>
      </c>
    </row>
    <row r="3816">
      <c r="A3816" s="26">
        <v>44849.69154005787</v>
      </c>
      <c r="B3816" s="20" t="s">
        <v>2002</v>
      </c>
      <c r="C3816" s="20">
        <v>6.0</v>
      </c>
      <c r="D3816" s="20" t="s">
        <v>1990</v>
      </c>
    </row>
    <row r="3817">
      <c r="A3817" s="26">
        <v>44849.70429355324</v>
      </c>
      <c r="B3817" s="20" t="s">
        <v>366</v>
      </c>
      <c r="C3817" s="20">
        <v>6.0</v>
      </c>
      <c r="D3817" s="20" t="s">
        <v>1991</v>
      </c>
    </row>
    <row r="3818">
      <c r="A3818" s="26">
        <v>44850.61951962963</v>
      </c>
      <c r="B3818" s="20" t="s">
        <v>1182</v>
      </c>
      <c r="C3818" s="20">
        <v>14.0</v>
      </c>
      <c r="D3818" s="20" t="s">
        <v>1991</v>
      </c>
    </row>
    <row r="3819">
      <c r="A3819" s="26">
        <v>44850.653840520834</v>
      </c>
      <c r="B3819" s="20" t="s">
        <v>191</v>
      </c>
      <c r="C3819" s="20">
        <v>32.0</v>
      </c>
      <c r="D3819" s="20" t="s">
        <v>1990</v>
      </c>
    </row>
    <row r="3820">
      <c r="A3820" s="28">
        <v>44850.0</v>
      </c>
      <c r="B3820" s="20" t="s">
        <v>191</v>
      </c>
      <c r="C3820" s="20">
        <v>17.0</v>
      </c>
      <c r="D3820" s="20" t="s">
        <v>1991</v>
      </c>
    </row>
    <row r="3821">
      <c r="A3821" s="26">
        <v>44850.67151299768</v>
      </c>
      <c r="B3821" s="20" t="s">
        <v>1943</v>
      </c>
      <c r="C3821" s="20">
        <v>20.0</v>
      </c>
      <c r="D3821" s="20" t="s">
        <v>1991</v>
      </c>
    </row>
    <row r="3822">
      <c r="A3822" s="26">
        <v>44850.672194976854</v>
      </c>
      <c r="B3822" s="20" t="s">
        <v>2003</v>
      </c>
      <c r="C3822" s="20">
        <v>28.0</v>
      </c>
      <c r="D3822" s="20" t="s">
        <v>1990</v>
      </c>
    </row>
    <row r="3823">
      <c r="A3823" s="26">
        <v>44850.672247951385</v>
      </c>
      <c r="B3823" s="20" t="s">
        <v>1969</v>
      </c>
      <c r="C3823" s="20">
        <v>17.0</v>
      </c>
      <c r="D3823" s="20" t="s">
        <v>1991</v>
      </c>
    </row>
    <row r="3824">
      <c r="A3824" s="26">
        <v>44850.6739112963</v>
      </c>
      <c r="B3824" s="20" t="s">
        <v>1969</v>
      </c>
      <c r="C3824" s="20">
        <v>22.0</v>
      </c>
      <c r="D3824" s="20" t="s">
        <v>1990</v>
      </c>
    </row>
    <row r="3825">
      <c r="A3825" s="26">
        <v>44850.68023508102</v>
      </c>
      <c r="B3825" s="20" t="s">
        <v>683</v>
      </c>
      <c r="C3825" s="20">
        <v>6.0</v>
      </c>
      <c r="D3825" s="20" t="s">
        <v>1991</v>
      </c>
    </row>
    <row r="3826">
      <c r="A3826" s="26">
        <v>44850.68075998843</v>
      </c>
      <c r="B3826" s="20" t="s">
        <v>411</v>
      </c>
      <c r="C3826" s="20">
        <v>17.0</v>
      </c>
      <c r="D3826" s="20" t="s">
        <v>1991</v>
      </c>
    </row>
    <row r="3827">
      <c r="A3827" s="28">
        <v>44852.0</v>
      </c>
      <c r="B3827" s="20" t="s">
        <v>1001</v>
      </c>
      <c r="C3827" s="20">
        <v>20.0</v>
      </c>
      <c r="D3827" s="20" t="s">
        <v>1991</v>
      </c>
    </row>
    <row r="3828">
      <c r="A3828" s="28">
        <v>44852.0</v>
      </c>
      <c r="B3828" s="20" t="s">
        <v>1001</v>
      </c>
      <c r="C3828" s="20">
        <v>9.0</v>
      </c>
      <c r="D3828" s="20" t="s">
        <v>1990</v>
      </c>
    </row>
    <row r="3829">
      <c r="A3829" s="28">
        <v>44852.0</v>
      </c>
      <c r="B3829" s="20" t="s">
        <v>1137</v>
      </c>
      <c r="C3829" s="20">
        <v>18.0</v>
      </c>
      <c r="D3829" s="20" t="s">
        <v>1991</v>
      </c>
    </row>
    <row r="3830">
      <c r="A3830" s="28">
        <v>44852.0</v>
      </c>
      <c r="B3830" s="20" t="s">
        <v>1137</v>
      </c>
      <c r="C3830" s="20">
        <v>52.0</v>
      </c>
      <c r="D3830" s="20" t="s">
        <v>1990</v>
      </c>
    </row>
    <row r="3831">
      <c r="A3831" s="26">
        <v>44852.70148350694</v>
      </c>
      <c r="B3831" s="20" t="s">
        <v>1946</v>
      </c>
      <c r="C3831" s="20">
        <v>15.0</v>
      </c>
      <c r="D3831" s="20" t="s">
        <v>1991</v>
      </c>
    </row>
    <row r="3832">
      <c r="A3832" s="26">
        <v>44852.70173565972</v>
      </c>
      <c r="B3832" s="20" t="s">
        <v>1946</v>
      </c>
      <c r="C3832" s="20">
        <v>3.0</v>
      </c>
      <c r="D3832" s="20" t="s">
        <v>1990</v>
      </c>
    </row>
    <row r="3833">
      <c r="A3833" s="26">
        <v>44852.70750379629</v>
      </c>
      <c r="B3833" s="20" t="s">
        <v>1996</v>
      </c>
      <c r="C3833" s="20">
        <v>20.0</v>
      </c>
      <c r="D3833" s="20" t="s">
        <v>1991</v>
      </c>
    </row>
    <row r="3834">
      <c r="A3834" s="26">
        <v>44852.70763524306</v>
      </c>
      <c r="B3834" s="20" t="s">
        <v>1996</v>
      </c>
      <c r="C3834" s="20">
        <v>12.0</v>
      </c>
      <c r="D3834" s="20" t="s">
        <v>1990</v>
      </c>
    </row>
    <row r="3835">
      <c r="A3835" s="26">
        <v>44852.707771851856</v>
      </c>
      <c r="B3835" s="20" t="s">
        <v>193</v>
      </c>
      <c r="C3835" s="20">
        <v>14.0</v>
      </c>
      <c r="D3835" s="20" t="s">
        <v>1991</v>
      </c>
    </row>
    <row r="3836">
      <c r="A3836" s="26">
        <v>44852.70791971065</v>
      </c>
      <c r="B3836" s="20" t="s">
        <v>193</v>
      </c>
      <c r="C3836" s="20">
        <v>18.0</v>
      </c>
      <c r="D3836" s="20" t="s">
        <v>1990</v>
      </c>
    </row>
    <row r="3837">
      <c r="A3837" s="26">
        <v>44852.70816274306</v>
      </c>
      <c r="B3837" s="20" t="s">
        <v>528</v>
      </c>
      <c r="C3837" s="20">
        <v>20.0</v>
      </c>
      <c r="D3837" s="20" t="s">
        <v>1991</v>
      </c>
    </row>
    <row r="3838">
      <c r="A3838" s="26">
        <v>44852.708335787036</v>
      </c>
      <c r="B3838" s="20" t="s">
        <v>995</v>
      </c>
      <c r="C3838" s="20">
        <v>17.0</v>
      </c>
      <c r="D3838" s="20" t="s">
        <v>1990</v>
      </c>
    </row>
    <row r="3839">
      <c r="A3839" s="26">
        <v>44852.70950915509</v>
      </c>
      <c r="B3839" s="20" t="s">
        <v>614</v>
      </c>
      <c r="C3839" s="20">
        <v>18.0</v>
      </c>
      <c r="D3839" s="20" t="s">
        <v>1991</v>
      </c>
    </row>
    <row r="3840">
      <c r="A3840" s="26">
        <v>44852.70968515046</v>
      </c>
      <c r="B3840" s="20" t="s">
        <v>614</v>
      </c>
      <c r="C3840" s="20">
        <v>26.0</v>
      </c>
      <c r="D3840" s="20" t="s">
        <v>1990</v>
      </c>
    </row>
    <row r="3841">
      <c r="A3841" s="26">
        <v>44852.711289733794</v>
      </c>
      <c r="B3841" s="20" t="s">
        <v>1970</v>
      </c>
      <c r="C3841" s="20">
        <v>13.0</v>
      </c>
      <c r="D3841" s="20" t="s">
        <v>1991</v>
      </c>
    </row>
    <row r="3842">
      <c r="A3842" s="26">
        <v>44852.712363287035</v>
      </c>
      <c r="B3842" s="20" t="s">
        <v>1998</v>
      </c>
      <c r="C3842" s="20">
        <v>6.0</v>
      </c>
      <c r="D3842" s="20" t="s">
        <v>1990</v>
      </c>
    </row>
    <row r="3843">
      <c r="A3843" s="26">
        <v>44852.71623857639</v>
      </c>
      <c r="B3843" s="20" t="s">
        <v>163</v>
      </c>
      <c r="C3843" s="20">
        <v>15.0</v>
      </c>
      <c r="D3843" s="20" t="s">
        <v>1991</v>
      </c>
    </row>
    <row r="3844">
      <c r="A3844" s="26">
        <v>44852.7165230324</v>
      </c>
      <c r="B3844" s="20" t="s">
        <v>163</v>
      </c>
      <c r="C3844" s="20">
        <v>28.0</v>
      </c>
      <c r="D3844" s="20" t="s">
        <v>1990</v>
      </c>
    </row>
    <row r="3845">
      <c r="A3845" s="28">
        <v>44853.0</v>
      </c>
      <c r="B3845" s="20" t="s">
        <v>505</v>
      </c>
      <c r="C3845" s="20">
        <v>20.0</v>
      </c>
      <c r="D3845" s="20" t="s">
        <v>1991</v>
      </c>
    </row>
    <row r="3846">
      <c r="A3846" s="28">
        <v>44853.0</v>
      </c>
      <c r="B3846" s="20" t="s">
        <v>505</v>
      </c>
      <c r="C3846" s="20">
        <v>17.0</v>
      </c>
      <c r="D3846" s="20" t="s">
        <v>1990</v>
      </c>
    </row>
    <row r="3847">
      <c r="A3847" s="28">
        <v>44853.0</v>
      </c>
      <c r="B3847" s="20" t="s">
        <v>2004</v>
      </c>
      <c r="C3847" s="20">
        <v>16.0</v>
      </c>
      <c r="D3847" s="20" t="s">
        <v>1991</v>
      </c>
    </row>
    <row r="3848">
      <c r="A3848" s="28">
        <v>44853.0</v>
      </c>
      <c r="B3848" s="20" t="s">
        <v>2004</v>
      </c>
      <c r="C3848" s="20">
        <v>2.0</v>
      </c>
      <c r="D3848" s="20" t="s">
        <v>1990</v>
      </c>
    </row>
    <row r="3849">
      <c r="A3849" s="28">
        <v>44853.0</v>
      </c>
      <c r="B3849" s="20" t="s">
        <v>2005</v>
      </c>
      <c r="C3849" s="20">
        <v>18.0</v>
      </c>
      <c r="D3849" s="20" t="s">
        <v>1991</v>
      </c>
    </row>
    <row r="3850">
      <c r="A3850" s="28">
        <v>44853.0</v>
      </c>
      <c r="B3850" s="20" t="s">
        <v>2005</v>
      </c>
      <c r="C3850" s="20">
        <v>2.0</v>
      </c>
      <c r="D3850" s="20" t="s">
        <v>1990</v>
      </c>
    </row>
    <row r="3851">
      <c r="A3851" s="26">
        <v>44853.58478452546</v>
      </c>
      <c r="B3851" s="20" t="s">
        <v>2006</v>
      </c>
      <c r="C3851" s="20">
        <v>11.0</v>
      </c>
      <c r="D3851" s="20" t="s">
        <v>1991</v>
      </c>
    </row>
    <row r="3852">
      <c r="A3852" s="26">
        <v>44853.58498135417</v>
      </c>
      <c r="B3852" s="20" t="s">
        <v>1823</v>
      </c>
      <c r="C3852" s="20">
        <v>1.0</v>
      </c>
      <c r="D3852" s="20" t="s">
        <v>1991</v>
      </c>
    </row>
    <row r="3853">
      <c r="A3853" s="26">
        <v>44853.58894361111</v>
      </c>
      <c r="B3853" s="20" t="s">
        <v>1811</v>
      </c>
      <c r="C3853" s="20">
        <v>21.0</v>
      </c>
      <c r="D3853" s="20" t="s">
        <v>1990</v>
      </c>
    </row>
    <row r="3854">
      <c r="A3854" s="26">
        <v>44853.727750439815</v>
      </c>
      <c r="B3854" s="20" t="s">
        <v>824</v>
      </c>
      <c r="C3854" s="20">
        <v>20.0</v>
      </c>
      <c r="D3854" s="20" t="s">
        <v>1991</v>
      </c>
    </row>
    <row r="3855">
      <c r="A3855" s="26">
        <v>44853.727903321764</v>
      </c>
      <c r="B3855" s="20" t="s">
        <v>760</v>
      </c>
      <c r="C3855" s="20">
        <v>18.0</v>
      </c>
      <c r="D3855" s="20" t="s">
        <v>1990</v>
      </c>
    </row>
    <row r="3856">
      <c r="A3856" s="26">
        <v>44853.76404372686</v>
      </c>
      <c r="B3856" s="20" t="s">
        <v>177</v>
      </c>
      <c r="C3856" s="20">
        <v>17.0</v>
      </c>
      <c r="D3856" s="20" t="s">
        <v>1991</v>
      </c>
    </row>
    <row r="3857">
      <c r="A3857" s="26">
        <v>44853.7641746875</v>
      </c>
      <c r="B3857" s="20" t="s">
        <v>177</v>
      </c>
      <c r="C3857" s="20">
        <v>18.0</v>
      </c>
      <c r="D3857" s="20" t="s">
        <v>1990</v>
      </c>
    </row>
    <row r="3858">
      <c r="A3858" s="26">
        <v>44853.7726085301</v>
      </c>
      <c r="B3858" s="20" t="s">
        <v>366</v>
      </c>
      <c r="C3858" s="20">
        <v>19.0</v>
      </c>
      <c r="D3858" s="20" t="s">
        <v>1991</v>
      </c>
    </row>
    <row r="3859">
      <c r="A3859" s="26">
        <v>44853.77288049769</v>
      </c>
      <c r="B3859" s="20" t="s">
        <v>366</v>
      </c>
      <c r="C3859" s="20">
        <v>14.0</v>
      </c>
      <c r="D3859" s="20" t="s">
        <v>1990</v>
      </c>
    </row>
    <row r="3860">
      <c r="A3860" s="26">
        <v>44853.83761520834</v>
      </c>
      <c r="B3860" s="20" t="s">
        <v>147</v>
      </c>
      <c r="C3860" s="20">
        <v>21.0</v>
      </c>
      <c r="D3860" s="20" t="s">
        <v>1991</v>
      </c>
    </row>
    <row r="3861">
      <c r="A3861" s="26">
        <v>44853.83785393518</v>
      </c>
      <c r="B3861" s="20" t="s">
        <v>637</v>
      </c>
      <c r="C3861" s="20">
        <v>13.0</v>
      </c>
      <c r="D3861" s="20" t="s">
        <v>1990</v>
      </c>
    </row>
    <row r="3862">
      <c r="A3862" s="28">
        <v>44854.0</v>
      </c>
      <c r="B3862" s="20" t="s">
        <v>1905</v>
      </c>
      <c r="C3862" s="20">
        <v>12.0</v>
      </c>
      <c r="D3862" s="20" t="s">
        <v>1991</v>
      </c>
    </row>
    <row r="3863">
      <c r="A3863" s="28">
        <v>44854.0</v>
      </c>
      <c r="B3863" s="20" t="s">
        <v>1905</v>
      </c>
      <c r="C3863" s="20">
        <v>3.0</v>
      </c>
      <c r="D3863" s="20" t="s">
        <v>1990</v>
      </c>
    </row>
    <row r="3864">
      <c r="A3864" s="28">
        <v>44854.0</v>
      </c>
      <c r="B3864" s="20" t="s">
        <v>1001</v>
      </c>
      <c r="C3864" s="20">
        <v>20.0</v>
      </c>
      <c r="D3864" s="20" t="s">
        <v>1991</v>
      </c>
    </row>
    <row r="3865">
      <c r="A3865" s="28">
        <v>44854.0</v>
      </c>
      <c r="B3865" s="20" t="s">
        <v>1001</v>
      </c>
      <c r="C3865" s="20">
        <v>8.0</v>
      </c>
      <c r="D3865" s="20" t="s">
        <v>1990</v>
      </c>
    </row>
    <row r="3866">
      <c r="A3866" s="28">
        <v>44854.0</v>
      </c>
      <c r="B3866" s="20" t="s">
        <v>327</v>
      </c>
      <c r="C3866" s="20">
        <v>20.0</v>
      </c>
      <c r="D3866" s="20" t="s">
        <v>1991</v>
      </c>
    </row>
    <row r="3867">
      <c r="A3867" s="28">
        <v>44854.0</v>
      </c>
      <c r="B3867" s="20" t="s">
        <v>327</v>
      </c>
      <c r="C3867" s="20">
        <v>3.0</v>
      </c>
      <c r="D3867" s="20" t="s">
        <v>1990</v>
      </c>
    </row>
    <row r="3868">
      <c r="A3868" s="26">
        <v>44854.71394835648</v>
      </c>
      <c r="B3868" s="20" t="s">
        <v>1751</v>
      </c>
      <c r="C3868" s="20">
        <v>42.0</v>
      </c>
      <c r="D3868" s="20" t="s">
        <v>1991</v>
      </c>
    </row>
    <row r="3869">
      <c r="A3869" s="28">
        <v>44854.0</v>
      </c>
      <c r="B3869" s="20" t="s">
        <v>777</v>
      </c>
      <c r="C3869" s="20">
        <v>20.0</v>
      </c>
      <c r="D3869" s="20" t="s">
        <v>1991</v>
      </c>
    </row>
    <row r="3870">
      <c r="A3870" s="28">
        <v>44854.0</v>
      </c>
      <c r="B3870" s="20" t="s">
        <v>1888</v>
      </c>
      <c r="C3870" s="20">
        <v>20.0</v>
      </c>
      <c r="D3870" s="20" t="s">
        <v>1991</v>
      </c>
    </row>
    <row r="3871">
      <c r="A3871" s="28">
        <v>44854.0</v>
      </c>
      <c r="B3871" s="20" t="s">
        <v>1888</v>
      </c>
      <c r="C3871" s="20">
        <v>4.0</v>
      </c>
      <c r="D3871" s="20" t="s">
        <v>1990</v>
      </c>
    </row>
    <row r="3872">
      <c r="A3872" s="26">
        <v>44854.90228903935</v>
      </c>
      <c r="B3872" s="20" t="s">
        <v>1325</v>
      </c>
      <c r="C3872" s="20">
        <v>11.0</v>
      </c>
      <c r="D3872" s="20" t="s">
        <v>1991</v>
      </c>
    </row>
    <row r="3873">
      <c r="A3873" s="26">
        <v>44854.902382002314</v>
      </c>
      <c r="B3873" s="20" t="s">
        <v>2007</v>
      </c>
      <c r="C3873" s="20">
        <v>10.0</v>
      </c>
      <c r="D3873" s="20" t="s">
        <v>1990</v>
      </c>
    </row>
    <row r="3874">
      <c r="A3874" s="26">
        <v>44854.90500899305</v>
      </c>
      <c r="B3874" s="20" t="s">
        <v>2008</v>
      </c>
      <c r="C3874" s="20">
        <v>20.0</v>
      </c>
      <c r="D3874" s="20" t="s">
        <v>1991</v>
      </c>
    </row>
    <row r="3875">
      <c r="A3875" s="26">
        <v>44854.905673587964</v>
      </c>
      <c r="B3875" s="20" t="s">
        <v>599</v>
      </c>
      <c r="C3875" s="20">
        <v>17.0</v>
      </c>
      <c r="D3875" s="20" t="s">
        <v>1991</v>
      </c>
    </row>
    <row r="3876">
      <c r="A3876" s="26">
        <v>44854.90578101852</v>
      </c>
      <c r="B3876" s="20" t="s">
        <v>437</v>
      </c>
      <c r="C3876" s="20">
        <v>6.0</v>
      </c>
      <c r="D3876" s="20" t="s">
        <v>1990</v>
      </c>
    </row>
    <row r="3877">
      <c r="A3877" s="28">
        <v>44855.0</v>
      </c>
      <c r="B3877" s="20" t="s">
        <v>1170</v>
      </c>
      <c r="C3877" s="20">
        <v>6.0</v>
      </c>
      <c r="D3877" s="20" t="s">
        <v>1991</v>
      </c>
    </row>
    <row r="3878">
      <c r="A3878" s="28">
        <v>44855.0</v>
      </c>
      <c r="B3878" s="20" t="s">
        <v>1170</v>
      </c>
      <c r="C3878" s="20">
        <v>3.0</v>
      </c>
      <c r="D3878" s="20" t="s">
        <v>1990</v>
      </c>
    </row>
    <row r="3879">
      <c r="A3879" s="28">
        <v>44855.0</v>
      </c>
      <c r="B3879" s="20" t="s">
        <v>1965</v>
      </c>
      <c r="C3879" s="20">
        <v>20.0</v>
      </c>
      <c r="D3879" s="20" t="s">
        <v>1991</v>
      </c>
    </row>
    <row r="3880">
      <c r="A3880" s="28">
        <v>44855.0</v>
      </c>
      <c r="B3880" s="20" t="s">
        <v>1965</v>
      </c>
      <c r="C3880" s="20">
        <v>8.0</v>
      </c>
      <c r="D3880" s="20" t="s">
        <v>1990</v>
      </c>
    </row>
    <row r="3881">
      <c r="A3881" s="26">
        <v>44855.700169375</v>
      </c>
      <c r="B3881" s="20" t="s">
        <v>576</v>
      </c>
      <c r="C3881" s="20">
        <v>2.0</v>
      </c>
      <c r="D3881" s="20" t="s">
        <v>1991</v>
      </c>
    </row>
    <row r="3882">
      <c r="A3882" s="26">
        <v>44855.70162381945</v>
      </c>
      <c r="B3882" s="20" t="s">
        <v>2009</v>
      </c>
      <c r="C3882" s="20">
        <v>4.0</v>
      </c>
      <c r="D3882" s="20" t="s">
        <v>1991</v>
      </c>
    </row>
    <row r="3883">
      <c r="A3883" s="26">
        <v>44855.701694131945</v>
      </c>
      <c r="B3883" s="20" t="s">
        <v>2010</v>
      </c>
      <c r="C3883" s="20">
        <v>7.0</v>
      </c>
      <c r="D3883" s="20" t="s">
        <v>1991</v>
      </c>
    </row>
    <row r="3884">
      <c r="A3884" s="26">
        <v>44855.701788425926</v>
      </c>
      <c r="B3884" s="20" t="s">
        <v>2010</v>
      </c>
      <c r="C3884" s="20">
        <v>2.0</v>
      </c>
      <c r="D3884" s="20" t="s">
        <v>1990</v>
      </c>
    </row>
    <row r="3885">
      <c r="A3885" s="26">
        <v>44855.702288252316</v>
      </c>
      <c r="B3885" s="20" t="s">
        <v>344</v>
      </c>
      <c r="C3885" s="20">
        <v>18.0</v>
      </c>
      <c r="D3885" s="20" t="s">
        <v>1991</v>
      </c>
    </row>
    <row r="3886">
      <c r="A3886" s="26">
        <v>44855.70253769676</v>
      </c>
      <c r="B3886" s="20" t="s">
        <v>344</v>
      </c>
      <c r="C3886" s="20">
        <v>12.0</v>
      </c>
      <c r="D3886" s="20" t="s">
        <v>1990</v>
      </c>
    </row>
    <row r="3887">
      <c r="A3887" s="26">
        <v>44855.70748256944</v>
      </c>
      <c r="B3887" s="20" t="s">
        <v>1350</v>
      </c>
      <c r="C3887" s="20">
        <v>20.0</v>
      </c>
      <c r="D3887" s="20" t="s">
        <v>1991</v>
      </c>
    </row>
    <row r="3888">
      <c r="A3888" s="28">
        <v>44855.0</v>
      </c>
      <c r="B3888" s="20" t="s">
        <v>1350</v>
      </c>
      <c r="C3888" s="20">
        <v>9.0</v>
      </c>
      <c r="D3888" s="20" t="s">
        <v>1990</v>
      </c>
    </row>
    <row r="3889">
      <c r="A3889" s="26">
        <v>44855.711697060186</v>
      </c>
      <c r="B3889" s="20" t="s">
        <v>366</v>
      </c>
      <c r="C3889" s="20">
        <v>6.0</v>
      </c>
      <c r="D3889" s="20" t="s">
        <v>1991</v>
      </c>
    </row>
    <row r="3890">
      <c r="A3890" s="26">
        <v>44855.712057847224</v>
      </c>
      <c r="B3890" s="20" t="s">
        <v>366</v>
      </c>
      <c r="C3890" s="20">
        <v>3.0</v>
      </c>
      <c r="D3890" s="20" t="s">
        <v>1990</v>
      </c>
    </row>
    <row r="3891">
      <c r="A3891" s="28">
        <v>44856.0</v>
      </c>
      <c r="B3891" s="20" t="s">
        <v>1834</v>
      </c>
      <c r="C3891" s="20">
        <v>19.0</v>
      </c>
      <c r="D3891" s="20" t="s">
        <v>1991</v>
      </c>
    </row>
    <row r="3892">
      <c r="A3892" s="28">
        <v>44856.0</v>
      </c>
      <c r="B3892" s="20" t="s">
        <v>1834</v>
      </c>
      <c r="C3892" s="20">
        <v>3.0</v>
      </c>
      <c r="D3892" s="20" t="s">
        <v>1990</v>
      </c>
    </row>
    <row r="3893">
      <c r="A3893" s="28">
        <v>44856.0</v>
      </c>
      <c r="B3893" s="20" t="s">
        <v>1868</v>
      </c>
      <c r="C3893" s="20">
        <v>4.0</v>
      </c>
      <c r="D3893" s="20" t="s">
        <v>1991</v>
      </c>
    </row>
    <row r="3894">
      <c r="A3894" s="28">
        <v>44856.0</v>
      </c>
      <c r="B3894" s="20" t="s">
        <v>2011</v>
      </c>
      <c r="C3894" s="20">
        <v>20.0</v>
      </c>
      <c r="D3894" s="20" t="s">
        <v>1991</v>
      </c>
    </row>
    <row r="3895">
      <c r="A3895" s="28">
        <v>44856.0</v>
      </c>
      <c r="B3895" s="20" t="s">
        <v>2011</v>
      </c>
      <c r="C3895" s="20">
        <v>3.0</v>
      </c>
      <c r="D3895" s="20" t="s">
        <v>1990</v>
      </c>
    </row>
    <row r="3896">
      <c r="A3896" s="28">
        <v>44856.0</v>
      </c>
      <c r="B3896" s="20" t="s">
        <v>1170</v>
      </c>
      <c r="C3896" s="20">
        <v>9.0</v>
      </c>
      <c r="D3896" s="20" t="s">
        <v>1991</v>
      </c>
    </row>
    <row r="3897">
      <c r="A3897" s="28">
        <v>44856.0</v>
      </c>
      <c r="B3897" s="20" t="s">
        <v>1835</v>
      </c>
      <c r="C3897" s="20">
        <v>19.0</v>
      </c>
      <c r="D3897" s="20" t="s">
        <v>1991</v>
      </c>
    </row>
    <row r="3898">
      <c r="A3898" s="28">
        <v>44856.0</v>
      </c>
      <c r="B3898" s="20" t="s">
        <v>1835</v>
      </c>
      <c r="C3898" s="20">
        <v>4.0</v>
      </c>
      <c r="D3898" s="20" t="s">
        <v>1990</v>
      </c>
    </row>
    <row r="3899">
      <c r="A3899" s="28">
        <v>44856.0</v>
      </c>
      <c r="B3899" s="20" t="s">
        <v>1908</v>
      </c>
      <c r="C3899" s="20">
        <v>19.0</v>
      </c>
      <c r="D3899" s="20" t="s">
        <v>1991</v>
      </c>
    </row>
    <row r="3900">
      <c r="A3900" s="28">
        <v>44856.0</v>
      </c>
      <c r="B3900" s="20" t="s">
        <v>1909</v>
      </c>
      <c r="C3900" s="20">
        <v>18.0</v>
      </c>
      <c r="D3900" s="20" t="s">
        <v>1991</v>
      </c>
    </row>
    <row r="3901">
      <c r="A3901" s="28">
        <v>44856.0</v>
      </c>
      <c r="B3901" s="20" t="s">
        <v>1909</v>
      </c>
      <c r="C3901" s="20">
        <v>2.0</v>
      </c>
      <c r="D3901" s="20" t="s">
        <v>1990</v>
      </c>
    </row>
    <row r="3902">
      <c r="A3902" s="26">
        <v>44856.50922537037</v>
      </c>
      <c r="B3902" s="20" t="s">
        <v>861</v>
      </c>
      <c r="C3902" s="20">
        <v>25.0</v>
      </c>
      <c r="D3902" s="20" t="s">
        <v>1991</v>
      </c>
    </row>
    <row r="3903">
      <c r="A3903" s="26">
        <v>44856.70237752315</v>
      </c>
      <c r="B3903" s="20" t="s">
        <v>2012</v>
      </c>
      <c r="C3903" s="20">
        <v>2.0</v>
      </c>
      <c r="D3903" s="20" t="s">
        <v>1991</v>
      </c>
    </row>
    <row r="3904">
      <c r="A3904" s="26">
        <v>44856.70483253472</v>
      </c>
      <c r="B3904" s="20" t="s">
        <v>2013</v>
      </c>
      <c r="C3904" s="20">
        <v>6.0</v>
      </c>
      <c r="D3904" s="20" t="s">
        <v>1991</v>
      </c>
    </row>
    <row r="3905">
      <c r="A3905" s="26">
        <v>44856.70677266204</v>
      </c>
      <c r="B3905" s="20" t="s">
        <v>2014</v>
      </c>
      <c r="C3905" s="20">
        <v>8.0</v>
      </c>
      <c r="D3905" s="20" t="s">
        <v>1991</v>
      </c>
    </row>
    <row r="3906">
      <c r="A3906" s="26">
        <v>44856.70699597222</v>
      </c>
      <c r="B3906" s="20" t="s">
        <v>2014</v>
      </c>
      <c r="C3906" s="20">
        <v>1.0</v>
      </c>
      <c r="D3906" s="20" t="s">
        <v>1990</v>
      </c>
    </row>
    <row r="3907">
      <c r="A3907" s="26">
        <v>44856.707160555554</v>
      </c>
      <c r="B3907" s="20" t="s">
        <v>1517</v>
      </c>
      <c r="C3907" s="20">
        <v>15.0</v>
      </c>
      <c r="D3907" s="20" t="s">
        <v>1991</v>
      </c>
    </row>
    <row r="3908">
      <c r="A3908" s="26">
        <v>44856.7097566088</v>
      </c>
      <c r="B3908" s="20" t="s">
        <v>2015</v>
      </c>
      <c r="C3908" s="20">
        <v>4.0</v>
      </c>
      <c r="D3908" s="20" t="s">
        <v>1991</v>
      </c>
    </row>
    <row r="3909">
      <c r="A3909" s="26">
        <v>44856.71135802083</v>
      </c>
      <c r="B3909" s="20" t="s">
        <v>2016</v>
      </c>
      <c r="C3909" s="20">
        <v>10.0</v>
      </c>
      <c r="D3909" s="20" t="s">
        <v>1991</v>
      </c>
    </row>
    <row r="3910">
      <c r="A3910" s="26">
        <v>44856.71717403935</v>
      </c>
      <c r="B3910" s="20" t="s">
        <v>300</v>
      </c>
      <c r="C3910" s="20">
        <v>20.0</v>
      </c>
      <c r="D3910" s="20" t="s">
        <v>1991</v>
      </c>
    </row>
    <row r="3911">
      <c r="A3911" s="26">
        <v>44856.71725898148</v>
      </c>
      <c r="B3911" s="20" t="s">
        <v>300</v>
      </c>
      <c r="C3911" s="20">
        <v>3.0</v>
      </c>
      <c r="D3911" s="20" t="s">
        <v>1990</v>
      </c>
    </row>
    <row r="3912">
      <c r="A3912" s="28">
        <v>44857.0</v>
      </c>
      <c r="B3912" s="20" t="s">
        <v>1969</v>
      </c>
      <c r="C3912" s="20">
        <v>20.0</v>
      </c>
      <c r="D3912" s="20" t="s">
        <v>1991</v>
      </c>
    </row>
    <row r="3913">
      <c r="A3913" s="28">
        <v>44857.0</v>
      </c>
      <c r="B3913" s="20" t="s">
        <v>1969</v>
      </c>
      <c r="C3913" s="20">
        <v>15.0</v>
      </c>
      <c r="D3913" s="20" t="s">
        <v>1990</v>
      </c>
    </row>
    <row r="3914">
      <c r="A3914" s="26">
        <v>44857.63083916667</v>
      </c>
      <c r="B3914" s="20" t="s">
        <v>1182</v>
      </c>
      <c r="C3914" s="20">
        <v>8.0</v>
      </c>
      <c r="D3914" s="20" t="s">
        <v>1991</v>
      </c>
    </row>
    <row r="3915">
      <c r="A3915" s="26">
        <v>44857.63106356481</v>
      </c>
      <c r="B3915" s="20" t="s">
        <v>1182</v>
      </c>
      <c r="C3915" s="20">
        <v>9.0</v>
      </c>
      <c r="D3915" s="20" t="s">
        <v>1990</v>
      </c>
    </row>
    <row r="3916">
      <c r="A3916" s="26">
        <v>44857.654627083335</v>
      </c>
      <c r="B3916" s="20" t="s">
        <v>553</v>
      </c>
      <c r="C3916" s="20">
        <v>20.0</v>
      </c>
      <c r="D3916" s="20" t="s">
        <v>1991</v>
      </c>
    </row>
    <row r="3917">
      <c r="A3917" s="26">
        <v>44857.654895844906</v>
      </c>
      <c r="B3917" s="20" t="s">
        <v>553</v>
      </c>
      <c r="C3917" s="20">
        <v>5.0</v>
      </c>
      <c r="D3917" s="20" t="s">
        <v>1990</v>
      </c>
    </row>
    <row r="3918">
      <c r="A3918" s="26">
        <v>44857.65818116898</v>
      </c>
      <c r="B3918" s="20" t="s">
        <v>552</v>
      </c>
      <c r="C3918" s="20">
        <v>11.0</v>
      </c>
      <c r="D3918" s="20" t="s">
        <v>1990</v>
      </c>
    </row>
    <row r="3919">
      <c r="A3919" s="26">
        <v>44857.65934384259</v>
      </c>
      <c r="B3919" s="20" t="s">
        <v>528</v>
      </c>
      <c r="C3919" s="20">
        <v>20.0</v>
      </c>
      <c r="D3919" s="20" t="s">
        <v>1991</v>
      </c>
    </row>
    <row r="3920">
      <c r="A3920" s="26">
        <v>44857.659818761575</v>
      </c>
      <c r="B3920" s="20" t="s">
        <v>528</v>
      </c>
      <c r="C3920" s="20">
        <v>15.0</v>
      </c>
      <c r="D3920" s="20" t="s">
        <v>1990</v>
      </c>
    </row>
    <row r="3921">
      <c r="A3921" s="26">
        <v>44857.66227857639</v>
      </c>
      <c r="B3921" s="20" t="s">
        <v>2017</v>
      </c>
      <c r="C3921" s="20">
        <v>17.0</v>
      </c>
      <c r="D3921" s="20" t="s">
        <v>1991</v>
      </c>
    </row>
    <row r="3922">
      <c r="A3922" s="26">
        <v>44857.662737280094</v>
      </c>
      <c r="B3922" s="20" t="s">
        <v>552</v>
      </c>
      <c r="C3922" s="20">
        <v>5.0</v>
      </c>
      <c r="D3922" s="20" t="s">
        <v>1991</v>
      </c>
    </row>
    <row r="3923">
      <c r="A3923" s="26">
        <v>44857.664132881946</v>
      </c>
      <c r="B3923" s="20" t="s">
        <v>2018</v>
      </c>
      <c r="C3923" s="20">
        <v>15.0</v>
      </c>
      <c r="D3923" s="20" t="s">
        <v>1991</v>
      </c>
    </row>
    <row r="3924">
      <c r="A3924" s="28">
        <v>44859.0</v>
      </c>
      <c r="B3924" s="20" t="s">
        <v>1001</v>
      </c>
      <c r="C3924" s="20">
        <v>19.0</v>
      </c>
      <c r="D3924" s="20" t="s">
        <v>1991</v>
      </c>
    </row>
    <row r="3925">
      <c r="A3925" s="28">
        <v>44859.0</v>
      </c>
      <c r="B3925" s="20" t="s">
        <v>1001</v>
      </c>
      <c r="C3925" s="20">
        <v>15.0</v>
      </c>
      <c r="D3925" s="20" t="s">
        <v>1990</v>
      </c>
    </row>
    <row r="3926">
      <c r="A3926" s="26">
        <v>44859.66201526621</v>
      </c>
      <c r="B3926" s="20" t="s">
        <v>528</v>
      </c>
      <c r="C3926" s="20">
        <v>20.0</v>
      </c>
      <c r="D3926" s="20" t="s">
        <v>1991</v>
      </c>
    </row>
    <row r="3927">
      <c r="A3927" s="26">
        <v>44859.66232697917</v>
      </c>
      <c r="B3927" s="20" t="s">
        <v>528</v>
      </c>
      <c r="C3927" s="20">
        <v>5.0</v>
      </c>
      <c r="D3927" s="20" t="s">
        <v>1990</v>
      </c>
    </row>
    <row r="3928">
      <c r="A3928" s="26">
        <v>44859.66320293982</v>
      </c>
      <c r="B3928" s="20" t="s">
        <v>1970</v>
      </c>
      <c r="C3928" s="20">
        <v>14.0</v>
      </c>
      <c r="D3928" s="20" t="s">
        <v>1991</v>
      </c>
    </row>
    <row r="3929">
      <c r="A3929" s="26">
        <v>44859.66339944444</v>
      </c>
      <c r="B3929" s="20" t="s">
        <v>1970</v>
      </c>
      <c r="C3929" s="20">
        <v>3.0</v>
      </c>
      <c r="D3929" s="20" t="s">
        <v>1990</v>
      </c>
    </row>
    <row r="3930">
      <c r="A3930" s="26">
        <v>44859.66360546296</v>
      </c>
      <c r="B3930" s="20" t="s">
        <v>1946</v>
      </c>
      <c r="C3930" s="20">
        <v>17.0</v>
      </c>
      <c r="D3930" s="20" t="s">
        <v>1991</v>
      </c>
    </row>
    <row r="3931">
      <c r="A3931" s="26">
        <v>44859.6638608912</v>
      </c>
      <c r="B3931" s="20" t="s">
        <v>614</v>
      </c>
      <c r="C3931" s="20">
        <v>12.0</v>
      </c>
      <c r="D3931" s="20" t="s">
        <v>1991</v>
      </c>
    </row>
    <row r="3932">
      <c r="A3932" s="26">
        <v>44859.66386688658</v>
      </c>
      <c r="B3932" s="20" t="s">
        <v>1946</v>
      </c>
      <c r="C3932" s="20">
        <v>6.0</v>
      </c>
      <c r="D3932" s="20" t="s">
        <v>1990</v>
      </c>
    </row>
    <row r="3933">
      <c r="A3933" s="26">
        <v>44859.66402833333</v>
      </c>
      <c r="B3933" s="20" t="s">
        <v>614</v>
      </c>
      <c r="C3933" s="20">
        <v>5.0</v>
      </c>
      <c r="D3933" s="20" t="s">
        <v>1990</v>
      </c>
    </row>
    <row r="3934">
      <c r="A3934" s="26">
        <v>44859.664416388885</v>
      </c>
      <c r="B3934" s="20" t="s">
        <v>1996</v>
      </c>
      <c r="C3934" s="20">
        <v>20.0</v>
      </c>
      <c r="D3934" s="20" t="s">
        <v>1991</v>
      </c>
    </row>
    <row r="3935">
      <c r="A3935" s="26">
        <v>44859.66453675926</v>
      </c>
      <c r="B3935" s="20" t="s">
        <v>1996</v>
      </c>
      <c r="C3935" s="20">
        <v>8.0</v>
      </c>
      <c r="D3935" s="20" t="s">
        <v>1990</v>
      </c>
    </row>
    <row r="3936">
      <c r="A3936" s="26">
        <v>44859.667482881945</v>
      </c>
      <c r="B3936" s="20" t="s">
        <v>163</v>
      </c>
      <c r="C3936" s="20">
        <v>30.0</v>
      </c>
      <c r="D3936" s="20" t="s">
        <v>1991</v>
      </c>
    </row>
    <row r="3937">
      <c r="A3937" s="26">
        <v>44859.667711435184</v>
      </c>
      <c r="B3937" s="20" t="s">
        <v>163</v>
      </c>
      <c r="C3937" s="20">
        <v>2.0</v>
      </c>
      <c r="D3937" s="20" t="s">
        <v>1990</v>
      </c>
    </row>
    <row r="3938">
      <c r="A3938" s="28">
        <v>44860.0</v>
      </c>
      <c r="B3938" s="20" t="s">
        <v>366</v>
      </c>
      <c r="C3938" s="20">
        <v>12.0</v>
      </c>
      <c r="D3938" s="20" t="s">
        <v>1991</v>
      </c>
    </row>
    <row r="3939">
      <c r="A3939" s="28">
        <v>44863.0</v>
      </c>
      <c r="B3939" s="20" t="s">
        <v>366</v>
      </c>
      <c r="C3939" s="20">
        <v>17.0</v>
      </c>
      <c r="D3939" s="20" t="s">
        <v>1990</v>
      </c>
    </row>
    <row r="3940">
      <c r="A3940" s="28">
        <v>44863.0</v>
      </c>
      <c r="B3940" s="20" t="s">
        <v>1958</v>
      </c>
      <c r="C3940" s="20">
        <v>19.0</v>
      </c>
      <c r="D3940" s="20" t="s">
        <v>1991</v>
      </c>
    </row>
    <row r="3941">
      <c r="A3941" s="28">
        <v>44863.0</v>
      </c>
      <c r="B3941" s="20" t="s">
        <v>1958</v>
      </c>
      <c r="C3941" s="20">
        <v>2.0</v>
      </c>
      <c r="D3941" s="20" t="s">
        <v>1990</v>
      </c>
    </row>
    <row r="3942">
      <c r="A3942" s="28">
        <v>44863.0</v>
      </c>
      <c r="B3942" s="20" t="s">
        <v>2004</v>
      </c>
      <c r="C3942" s="20">
        <v>13.0</v>
      </c>
      <c r="D3942" s="20" t="s">
        <v>1991</v>
      </c>
    </row>
    <row r="3943">
      <c r="A3943" s="28">
        <v>44863.0</v>
      </c>
      <c r="B3943" s="20" t="s">
        <v>2004</v>
      </c>
      <c r="C3943" s="20">
        <v>22.0</v>
      </c>
      <c r="D3943" s="20" t="s">
        <v>1990</v>
      </c>
    </row>
    <row r="3944">
      <c r="A3944" s="26">
        <v>44860.58950973379</v>
      </c>
      <c r="B3944" s="20" t="s">
        <v>2019</v>
      </c>
      <c r="C3944" s="20">
        <v>13.0</v>
      </c>
      <c r="D3944" s="20" t="s">
        <v>1991</v>
      </c>
    </row>
    <row r="3945">
      <c r="A3945" s="26">
        <v>44860.58969165509</v>
      </c>
      <c r="B3945" s="20" t="s">
        <v>1823</v>
      </c>
      <c r="C3945" s="20">
        <v>2.0</v>
      </c>
      <c r="D3945" s="20" t="s">
        <v>1991</v>
      </c>
    </row>
    <row r="3946">
      <c r="A3946" s="26">
        <v>44860.70508341435</v>
      </c>
      <c r="B3946" s="20" t="s">
        <v>760</v>
      </c>
      <c r="C3946" s="20">
        <v>16.0</v>
      </c>
      <c r="D3946" s="20" t="s">
        <v>1991</v>
      </c>
    </row>
    <row r="3947">
      <c r="A3947" s="26">
        <v>44860.705220578704</v>
      </c>
      <c r="B3947" s="20" t="s">
        <v>824</v>
      </c>
      <c r="C3947" s="20">
        <v>20.0</v>
      </c>
      <c r="D3947" s="20" t="s">
        <v>1990</v>
      </c>
    </row>
    <row r="3948">
      <c r="A3948" s="26">
        <v>44860.79221194444</v>
      </c>
      <c r="B3948" s="20" t="s">
        <v>384</v>
      </c>
      <c r="C3948" s="20">
        <v>5.0</v>
      </c>
      <c r="D3948" s="20" t="s">
        <v>1990</v>
      </c>
    </row>
    <row r="3949">
      <c r="A3949" s="26">
        <v>44860.792454062495</v>
      </c>
      <c r="B3949" s="20" t="s">
        <v>552</v>
      </c>
      <c r="C3949" s="20">
        <v>2.0</v>
      </c>
      <c r="D3949" s="20" t="s">
        <v>1991</v>
      </c>
    </row>
    <row r="3950">
      <c r="A3950" s="26">
        <v>44860.851449525464</v>
      </c>
      <c r="B3950" s="20" t="s">
        <v>1551</v>
      </c>
      <c r="C3950" s="20">
        <v>8.0</v>
      </c>
      <c r="D3950" s="20" t="s">
        <v>1991</v>
      </c>
    </row>
    <row r="3951">
      <c r="A3951" s="26">
        <v>44861.69799335648</v>
      </c>
      <c r="B3951" s="20" t="s">
        <v>163</v>
      </c>
      <c r="C3951" s="20">
        <v>15.0</v>
      </c>
      <c r="D3951" s="20" t="s">
        <v>1991</v>
      </c>
    </row>
    <row r="3952">
      <c r="A3952" s="26">
        <v>44861.69829796297</v>
      </c>
      <c r="B3952" s="20" t="s">
        <v>163</v>
      </c>
      <c r="C3952" s="20">
        <v>13.0</v>
      </c>
      <c r="D3952" s="20" t="s">
        <v>1990</v>
      </c>
    </row>
    <row r="3953">
      <c r="A3953" s="26">
        <v>44861.70131012732</v>
      </c>
      <c r="B3953" s="20" t="s">
        <v>1944</v>
      </c>
      <c r="C3953" s="20">
        <v>13.0</v>
      </c>
      <c r="D3953" s="20" t="s">
        <v>1991</v>
      </c>
    </row>
    <row r="3954">
      <c r="A3954" s="26">
        <v>44861.70158792824</v>
      </c>
      <c r="B3954" s="20" t="s">
        <v>1944</v>
      </c>
      <c r="C3954" s="20">
        <v>4.0</v>
      </c>
      <c r="D3954" s="20" t="s">
        <v>1990</v>
      </c>
    </row>
    <row r="3955">
      <c r="A3955" s="26">
        <v>44861.70667888889</v>
      </c>
      <c r="B3955" s="20" t="s">
        <v>904</v>
      </c>
      <c r="C3955" s="20">
        <v>45.0</v>
      </c>
      <c r="D3955" s="20" t="s">
        <v>1990</v>
      </c>
    </row>
    <row r="3956">
      <c r="A3956" s="26">
        <v>44861.70704291666</v>
      </c>
      <c r="B3956" s="20" t="s">
        <v>904</v>
      </c>
      <c r="C3956" s="20">
        <v>19.0</v>
      </c>
      <c r="D3956" s="20" t="s">
        <v>1991</v>
      </c>
    </row>
    <row r="3957">
      <c r="A3957" s="26">
        <v>44861.707415324076</v>
      </c>
      <c r="B3957" s="20" t="s">
        <v>1037</v>
      </c>
      <c r="C3957" s="20">
        <v>29.0</v>
      </c>
      <c r="D3957" s="20" t="s">
        <v>1991</v>
      </c>
    </row>
    <row r="3958">
      <c r="A3958" s="26">
        <v>44861.707903194445</v>
      </c>
      <c r="B3958" s="20" t="s">
        <v>1037</v>
      </c>
      <c r="C3958" s="20">
        <v>14.0</v>
      </c>
      <c r="D3958" s="20" t="s">
        <v>1990</v>
      </c>
    </row>
    <row r="3959">
      <c r="A3959" s="28">
        <v>44861.0</v>
      </c>
      <c r="B3959" s="20" t="s">
        <v>1871</v>
      </c>
      <c r="C3959" s="20">
        <v>20.0</v>
      </c>
      <c r="D3959" s="20" t="s">
        <v>1991</v>
      </c>
    </row>
    <row r="3960">
      <c r="A3960" s="28">
        <v>44861.0</v>
      </c>
      <c r="B3960" s="20" t="s">
        <v>1888</v>
      </c>
      <c r="C3960" s="20">
        <v>1.0</v>
      </c>
      <c r="D3960" s="20" t="s">
        <v>1991</v>
      </c>
    </row>
    <row r="3961">
      <c r="A3961" s="28">
        <v>44861.0</v>
      </c>
      <c r="B3961" s="20" t="s">
        <v>1888</v>
      </c>
      <c r="C3961" s="20">
        <v>18.0</v>
      </c>
      <c r="D3961" s="20" t="s">
        <v>1990</v>
      </c>
    </row>
    <row r="3962">
      <c r="A3962" s="28">
        <v>44861.0</v>
      </c>
      <c r="B3962" s="20" t="s">
        <v>1794</v>
      </c>
      <c r="C3962" s="20">
        <v>20.0</v>
      </c>
      <c r="D3962" s="20" t="s">
        <v>1991</v>
      </c>
    </row>
    <row r="3963">
      <c r="A3963" s="28">
        <v>44861.0</v>
      </c>
      <c r="B3963" s="20" t="s">
        <v>1794</v>
      </c>
      <c r="C3963" s="20">
        <v>3.0</v>
      </c>
      <c r="D3963" s="20" t="s">
        <v>1990</v>
      </c>
    </row>
    <row r="3964">
      <c r="A3964" s="28">
        <v>44861.0</v>
      </c>
      <c r="B3964" s="20" t="s">
        <v>1924</v>
      </c>
      <c r="C3964" s="20">
        <v>20.0</v>
      </c>
      <c r="D3964" s="20" t="s">
        <v>1991</v>
      </c>
    </row>
    <row r="3965">
      <c r="A3965" s="28">
        <v>44861.0</v>
      </c>
      <c r="B3965" s="20" t="s">
        <v>1924</v>
      </c>
      <c r="C3965" s="20">
        <v>3.0</v>
      </c>
      <c r="D3965" s="20" t="s">
        <v>1990</v>
      </c>
    </row>
    <row r="3966">
      <c r="A3966" s="28">
        <v>44861.0</v>
      </c>
      <c r="B3966" s="20" t="s">
        <v>618</v>
      </c>
      <c r="C3966" s="20">
        <v>15.0</v>
      </c>
      <c r="D3966" s="20" t="s">
        <v>1991</v>
      </c>
    </row>
    <row r="3967">
      <c r="A3967" s="28">
        <v>44861.0</v>
      </c>
      <c r="B3967" s="20" t="s">
        <v>777</v>
      </c>
      <c r="C3967" s="20">
        <v>19.0</v>
      </c>
      <c r="D3967" s="20" t="s">
        <v>1991</v>
      </c>
    </row>
    <row r="3968">
      <c r="A3968" s="28">
        <v>44861.0</v>
      </c>
      <c r="B3968" s="20" t="s">
        <v>777</v>
      </c>
      <c r="C3968" s="20">
        <v>8.0</v>
      </c>
      <c r="D3968" s="20" t="s">
        <v>1990</v>
      </c>
    </row>
    <row r="3969">
      <c r="A3969" s="26">
        <v>44862.600988148144</v>
      </c>
      <c r="B3969" s="20" t="s">
        <v>163</v>
      </c>
      <c r="C3969" s="20">
        <v>8.0</v>
      </c>
      <c r="D3969" s="20" t="s">
        <v>1991</v>
      </c>
    </row>
    <row r="3970">
      <c r="A3970" s="26">
        <v>44862.656249733795</v>
      </c>
      <c r="B3970" s="20" t="s">
        <v>2020</v>
      </c>
      <c r="C3970" s="20">
        <v>7.0</v>
      </c>
      <c r="D3970" s="20" t="s">
        <v>1991</v>
      </c>
    </row>
    <row r="3971">
      <c r="A3971" s="26">
        <v>44862.65657987268</v>
      </c>
      <c r="B3971" s="20" t="s">
        <v>2009</v>
      </c>
      <c r="C3971" s="20">
        <v>13.0</v>
      </c>
      <c r="D3971" s="20" t="s">
        <v>1991</v>
      </c>
    </row>
    <row r="3972">
      <c r="A3972" s="26">
        <v>44862.65660934028</v>
      </c>
      <c r="B3972" s="20" t="s">
        <v>2020</v>
      </c>
      <c r="C3972" s="20">
        <v>5.0</v>
      </c>
      <c r="D3972" s="20" t="s">
        <v>1990</v>
      </c>
    </row>
    <row r="3973">
      <c r="A3973" s="26">
        <v>44862.65673771991</v>
      </c>
      <c r="B3973" s="20" t="s">
        <v>2009</v>
      </c>
      <c r="C3973" s="20">
        <v>5.0</v>
      </c>
      <c r="D3973" s="20" t="s">
        <v>1990</v>
      </c>
    </row>
    <row r="3974">
      <c r="A3974" s="26">
        <v>44862.66480103009</v>
      </c>
      <c r="B3974" s="20" t="s">
        <v>2021</v>
      </c>
      <c r="C3974" s="20">
        <v>18.0</v>
      </c>
      <c r="D3974" s="20" t="s">
        <v>1991</v>
      </c>
    </row>
    <row r="3975">
      <c r="A3975" s="26">
        <v>44862.66507538194</v>
      </c>
      <c r="B3975" s="20" t="s">
        <v>2022</v>
      </c>
      <c r="C3975" s="20">
        <v>3.0</v>
      </c>
      <c r="D3975" s="20" t="s">
        <v>1990</v>
      </c>
    </row>
    <row r="3976">
      <c r="A3976" s="26">
        <v>44862.665654791665</v>
      </c>
      <c r="B3976" s="20" t="s">
        <v>366</v>
      </c>
      <c r="C3976" s="20">
        <v>8.0</v>
      </c>
      <c r="D3976" s="20" t="s">
        <v>1991</v>
      </c>
    </row>
    <row r="3977">
      <c r="A3977" s="26">
        <v>44862.665995937496</v>
      </c>
      <c r="B3977" s="20" t="s">
        <v>366</v>
      </c>
      <c r="C3977" s="20">
        <v>8.0</v>
      </c>
      <c r="D3977" s="20" t="s">
        <v>1990</v>
      </c>
    </row>
    <row r="3978">
      <c r="A3978" s="28">
        <v>44863.0</v>
      </c>
      <c r="B3978" s="20" t="s">
        <v>861</v>
      </c>
      <c r="C3978" s="20">
        <v>5.0</v>
      </c>
      <c r="D3978" s="20" t="s">
        <v>1991</v>
      </c>
    </row>
    <row r="3979">
      <c r="A3979" s="28">
        <v>44863.0</v>
      </c>
      <c r="B3979" s="20" t="s">
        <v>614</v>
      </c>
      <c r="C3979" s="20">
        <v>15.0</v>
      </c>
      <c r="D3979" s="20" t="s">
        <v>1991</v>
      </c>
    </row>
    <row r="3980">
      <c r="A3980" s="28">
        <v>44863.0</v>
      </c>
      <c r="B3980" s="20" t="s">
        <v>1834</v>
      </c>
      <c r="C3980" s="20">
        <v>13.0</v>
      </c>
      <c r="D3980" s="20" t="s">
        <v>1991</v>
      </c>
    </row>
    <row r="3981">
      <c r="A3981" s="26">
        <v>44863.68036349537</v>
      </c>
      <c r="B3981" s="20" t="s">
        <v>713</v>
      </c>
      <c r="C3981" s="20">
        <v>13.0</v>
      </c>
      <c r="D3981" s="20" t="s">
        <v>1991</v>
      </c>
    </row>
    <row r="3982">
      <c r="A3982" s="26">
        <v>44863.682296087965</v>
      </c>
      <c r="B3982" s="20" t="s">
        <v>2023</v>
      </c>
      <c r="C3982" s="20">
        <v>12.0</v>
      </c>
      <c r="D3982" s="20" t="s">
        <v>1991</v>
      </c>
    </row>
    <row r="3983">
      <c r="A3983" s="26">
        <v>44863.68255506945</v>
      </c>
      <c r="B3983" s="20" t="s">
        <v>714</v>
      </c>
      <c r="C3983" s="20">
        <v>8.0</v>
      </c>
      <c r="D3983" s="20" t="s">
        <v>1990</v>
      </c>
    </row>
    <row r="3984">
      <c r="A3984" s="26">
        <v>44863.68713872685</v>
      </c>
      <c r="B3984" s="20" t="s">
        <v>2024</v>
      </c>
      <c r="C3984" s="20">
        <v>15.0</v>
      </c>
      <c r="D3984" s="20" t="s">
        <v>1991</v>
      </c>
    </row>
    <row r="3985">
      <c r="A3985" s="26">
        <v>44863.68767990741</v>
      </c>
      <c r="B3985" s="20" t="s">
        <v>1735</v>
      </c>
      <c r="C3985" s="20">
        <v>6.0</v>
      </c>
      <c r="D3985" s="20" t="s">
        <v>1991</v>
      </c>
    </row>
    <row r="3986">
      <c r="A3986" s="26">
        <v>44863.69257532408</v>
      </c>
      <c r="B3986" s="20" t="s">
        <v>2025</v>
      </c>
      <c r="C3986" s="20">
        <v>14.0</v>
      </c>
      <c r="D3986" s="20" t="s">
        <v>1991</v>
      </c>
    </row>
    <row r="3987">
      <c r="A3987" s="26">
        <v>44863.69415891204</v>
      </c>
      <c r="B3987" s="20" t="s">
        <v>2026</v>
      </c>
      <c r="C3987" s="20">
        <v>7.0</v>
      </c>
      <c r="D3987" s="20" t="s">
        <v>1991</v>
      </c>
    </row>
    <row r="3988">
      <c r="A3988" s="28">
        <v>44863.0</v>
      </c>
      <c r="B3988" s="20" t="s">
        <v>2026</v>
      </c>
      <c r="C3988" s="20">
        <v>17.0</v>
      </c>
      <c r="D3988" s="20" t="s">
        <v>1990</v>
      </c>
    </row>
    <row r="3989">
      <c r="A3989" s="26">
        <v>44863.69513712963</v>
      </c>
      <c r="B3989" s="20" t="s">
        <v>1632</v>
      </c>
      <c r="C3989" s="20">
        <v>18.0</v>
      </c>
      <c r="D3989" s="20" t="s">
        <v>1991</v>
      </c>
    </row>
    <row r="3990">
      <c r="A3990" s="28">
        <v>44863.0</v>
      </c>
      <c r="B3990" s="20" t="s">
        <v>1632</v>
      </c>
      <c r="C3990" s="20">
        <v>17.0</v>
      </c>
      <c r="D3990" s="20" t="s">
        <v>1990</v>
      </c>
    </row>
    <row r="3991">
      <c r="A3991" s="26">
        <v>44863.69557806713</v>
      </c>
      <c r="B3991" s="20" t="s">
        <v>2027</v>
      </c>
      <c r="C3991" s="20">
        <v>8.0</v>
      </c>
      <c r="D3991" s="20" t="s">
        <v>1991</v>
      </c>
    </row>
    <row r="3992">
      <c r="A3992" s="28">
        <v>44863.0</v>
      </c>
      <c r="B3992" s="20" t="s">
        <v>2027</v>
      </c>
      <c r="C3992" s="20">
        <v>17.0</v>
      </c>
      <c r="D3992" s="20" t="s">
        <v>1990</v>
      </c>
    </row>
    <row r="3993">
      <c r="A3993" s="26">
        <v>44863.69643241898</v>
      </c>
      <c r="B3993" s="20" t="s">
        <v>1631</v>
      </c>
      <c r="C3993" s="20">
        <v>19.0</v>
      </c>
      <c r="D3993" s="20" t="s">
        <v>1991</v>
      </c>
    </row>
    <row r="3994">
      <c r="A3994" s="28">
        <v>44863.0</v>
      </c>
      <c r="B3994" s="20" t="s">
        <v>1631</v>
      </c>
      <c r="C3994" s="20">
        <v>17.0</v>
      </c>
      <c r="D3994" s="20" t="s">
        <v>1990</v>
      </c>
    </row>
    <row r="3995">
      <c r="A3995" s="26">
        <v>44863.698556435185</v>
      </c>
      <c r="B3995" s="20" t="s">
        <v>1980</v>
      </c>
      <c r="C3995" s="20">
        <v>3.0</v>
      </c>
      <c r="D3995" s="20" t="s">
        <v>1991</v>
      </c>
    </row>
    <row r="3996">
      <c r="A3996" s="28">
        <v>44863.0</v>
      </c>
      <c r="B3996" s="20" t="s">
        <v>1980</v>
      </c>
      <c r="C3996" s="20">
        <v>17.0</v>
      </c>
      <c r="D3996" s="20" t="s">
        <v>1990</v>
      </c>
    </row>
    <row r="3997">
      <c r="A3997" s="26">
        <v>44863.6989694213</v>
      </c>
      <c r="B3997" s="20" t="s">
        <v>2028</v>
      </c>
      <c r="C3997" s="20">
        <v>13.0</v>
      </c>
      <c r="D3997" s="20" t="s">
        <v>1991</v>
      </c>
    </row>
    <row r="3998">
      <c r="A3998" s="28">
        <v>44863.0</v>
      </c>
      <c r="B3998" s="20" t="s">
        <v>2028</v>
      </c>
      <c r="C3998" s="20">
        <v>17.0</v>
      </c>
      <c r="D3998" s="20" t="s">
        <v>1990</v>
      </c>
    </row>
    <row r="3999">
      <c r="A3999" s="26">
        <v>44863.700199432875</v>
      </c>
      <c r="B3999" s="20" t="s">
        <v>2029</v>
      </c>
      <c r="C3999" s="20">
        <v>6.5</v>
      </c>
      <c r="D3999" s="20" t="s">
        <v>1991</v>
      </c>
    </row>
    <row r="4000">
      <c r="A4000" s="26">
        <v>44863.70023375</v>
      </c>
      <c r="B4000" s="20" t="s">
        <v>2030</v>
      </c>
      <c r="C4000" s="20">
        <v>19.0</v>
      </c>
      <c r="D4000" s="20" t="s">
        <v>1991</v>
      </c>
    </row>
    <row r="4001">
      <c r="A4001" s="26">
        <v>44863.70039702546</v>
      </c>
      <c r="B4001" s="20" t="s">
        <v>2031</v>
      </c>
      <c r="C4001" s="20">
        <v>8.4</v>
      </c>
      <c r="D4001" s="20" t="s">
        <v>1991</v>
      </c>
    </row>
    <row r="4002">
      <c r="A4002" s="26">
        <v>44863.7073906713</v>
      </c>
      <c r="B4002" s="20" t="s">
        <v>300</v>
      </c>
      <c r="C4002" s="20">
        <v>10.0</v>
      </c>
      <c r="D4002" s="20" t="s">
        <v>1991</v>
      </c>
    </row>
    <row r="4003">
      <c r="A4003" s="26">
        <v>44863.72888091435</v>
      </c>
      <c r="B4003" s="20" t="s">
        <v>552</v>
      </c>
      <c r="C4003" s="20">
        <v>6.0</v>
      </c>
      <c r="D4003" s="20" t="s">
        <v>1991</v>
      </c>
    </row>
    <row r="4004">
      <c r="A4004" s="28">
        <v>44863.0</v>
      </c>
      <c r="B4004" s="20" t="s">
        <v>2032</v>
      </c>
      <c r="C4004" s="20">
        <v>9.0</v>
      </c>
      <c r="D4004" s="20" t="s">
        <v>1991</v>
      </c>
    </row>
    <row r="4005">
      <c r="A4005" s="28">
        <v>44863.0</v>
      </c>
      <c r="B4005" s="20" t="s">
        <v>2033</v>
      </c>
      <c r="C4005" s="20">
        <v>21.0</v>
      </c>
      <c r="D4005" s="20" t="s">
        <v>1991</v>
      </c>
    </row>
    <row r="4006">
      <c r="A4006" s="28">
        <v>44863.0</v>
      </c>
      <c r="B4006" s="20" t="s">
        <v>2033</v>
      </c>
      <c r="C4006" s="20">
        <v>17.0</v>
      </c>
      <c r="D4006" s="20" t="s">
        <v>1990</v>
      </c>
    </row>
    <row r="4007">
      <c r="A4007" s="28">
        <v>44864.0</v>
      </c>
      <c r="B4007" s="20" t="s">
        <v>2034</v>
      </c>
      <c r="C4007" s="20">
        <v>7.0</v>
      </c>
      <c r="D4007" s="20" t="s">
        <v>1990</v>
      </c>
    </row>
    <row r="4008">
      <c r="A4008" s="28">
        <v>44864.0</v>
      </c>
      <c r="B4008" s="20" t="s">
        <v>191</v>
      </c>
      <c r="C4008" s="20">
        <v>19.0</v>
      </c>
      <c r="D4008" s="20" t="s">
        <v>1991</v>
      </c>
    </row>
    <row r="4009">
      <c r="A4009" s="28">
        <v>44864.0</v>
      </c>
      <c r="B4009" s="20" t="s">
        <v>191</v>
      </c>
      <c r="C4009" s="20">
        <v>35.0</v>
      </c>
      <c r="D4009" s="20" t="s">
        <v>1990</v>
      </c>
    </row>
    <row r="4010">
      <c r="A4010" s="26">
        <v>44864.66816746528</v>
      </c>
      <c r="B4010" s="20" t="s">
        <v>596</v>
      </c>
      <c r="C4010" s="20">
        <v>20.0</v>
      </c>
      <c r="D4010" s="20" t="s">
        <v>1991</v>
      </c>
    </row>
    <row r="4011">
      <c r="A4011" s="26">
        <v>44864.66830928241</v>
      </c>
      <c r="B4011" s="20" t="s">
        <v>411</v>
      </c>
      <c r="C4011" s="20">
        <v>17.0</v>
      </c>
      <c r="D4011" s="20" t="s">
        <v>1991</v>
      </c>
    </row>
    <row r="4012">
      <c r="A4012" s="26">
        <v>44864.673162280094</v>
      </c>
      <c r="B4012" s="20" t="s">
        <v>528</v>
      </c>
      <c r="C4012" s="20">
        <v>20.0</v>
      </c>
      <c r="D4012" s="20" t="s">
        <v>1991</v>
      </c>
    </row>
    <row r="4013">
      <c r="A4013" s="26">
        <v>44864.67332533565</v>
      </c>
      <c r="B4013" s="20" t="s">
        <v>528</v>
      </c>
      <c r="C4013" s="20">
        <v>40.0</v>
      </c>
      <c r="D4013" s="20" t="s">
        <v>1990</v>
      </c>
    </row>
    <row r="4014">
      <c r="A4014" s="26">
        <v>44864.67793978009</v>
      </c>
      <c r="B4014" s="20" t="s">
        <v>1943</v>
      </c>
      <c r="C4014" s="20">
        <v>20.0</v>
      </c>
      <c r="D4014" s="20" t="s">
        <v>1991</v>
      </c>
    </row>
    <row r="4015">
      <c r="A4015" s="26">
        <v>44864.678216134256</v>
      </c>
      <c r="B4015" s="20" t="s">
        <v>2003</v>
      </c>
      <c r="C4015" s="20">
        <v>48.0</v>
      </c>
      <c r="D4015" s="20" t="s">
        <v>1990</v>
      </c>
    </row>
    <row r="4016">
      <c r="A4016" s="28">
        <v>44866.0</v>
      </c>
      <c r="B4016" s="20" t="s">
        <v>1001</v>
      </c>
      <c r="C4016" s="20">
        <v>20.0</v>
      </c>
      <c r="D4016" s="20" t="s">
        <v>1991</v>
      </c>
    </row>
    <row r="4017">
      <c r="A4017" s="28">
        <v>44866.0</v>
      </c>
      <c r="B4017" s="20" t="s">
        <v>1001</v>
      </c>
      <c r="C4017" s="20">
        <v>37.0</v>
      </c>
      <c r="D4017" s="20" t="s">
        <v>1990</v>
      </c>
    </row>
    <row r="4018">
      <c r="A4018" s="28">
        <v>44866.0</v>
      </c>
      <c r="B4018" s="20" t="s">
        <v>1137</v>
      </c>
      <c r="C4018" s="20">
        <v>20.0</v>
      </c>
      <c r="D4018" s="20" t="s">
        <v>1991</v>
      </c>
    </row>
    <row r="4019">
      <c r="A4019" s="28">
        <v>44866.0</v>
      </c>
      <c r="B4019" s="20" t="s">
        <v>1137</v>
      </c>
      <c r="C4019" s="20">
        <v>53.0</v>
      </c>
      <c r="D4019" s="20" t="s">
        <v>1990</v>
      </c>
    </row>
    <row r="4020">
      <c r="A4020" s="26">
        <v>44866.707308564815</v>
      </c>
      <c r="B4020" s="20" t="s">
        <v>1946</v>
      </c>
      <c r="C4020" s="20">
        <v>16.0</v>
      </c>
      <c r="D4020" s="20" t="s">
        <v>1991</v>
      </c>
    </row>
    <row r="4021">
      <c r="A4021" s="26">
        <v>44866.70771665509</v>
      </c>
      <c r="B4021" s="20" t="s">
        <v>1970</v>
      </c>
      <c r="C4021" s="20">
        <v>13.0</v>
      </c>
      <c r="D4021" s="20" t="s">
        <v>1991</v>
      </c>
    </row>
    <row r="4022">
      <c r="A4022" s="26">
        <v>44866.70776034722</v>
      </c>
      <c r="B4022" s="20" t="s">
        <v>1946</v>
      </c>
      <c r="C4022" s="20">
        <v>6.0</v>
      </c>
      <c r="D4022" s="20" t="s">
        <v>1990</v>
      </c>
    </row>
    <row r="4023">
      <c r="A4023" s="26">
        <v>44866.70798099537</v>
      </c>
      <c r="B4023" s="20" t="s">
        <v>1947</v>
      </c>
      <c r="C4023" s="20">
        <v>8.0</v>
      </c>
      <c r="D4023" s="20" t="s">
        <v>1990</v>
      </c>
    </row>
    <row r="4024">
      <c r="A4024" s="26">
        <v>44866.71143368055</v>
      </c>
      <c r="B4024" s="20" t="s">
        <v>2035</v>
      </c>
      <c r="C4024" s="20">
        <v>6.0</v>
      </c>
      <c r="D4024" s="20" t="s">
        <v>1991</v>
      </c>
    </row>
    <row r="4025">
      <c r="A4025" s="28">
        <v>44866.0</v>
      </c>
      <c r="B4025" s="20" t="s">
        <v>2035</v>
      </c>
      <c r="C4025" s="20">
        <v>25.0</v>
      </c>
      <c r="D4025" s="20" t="s">
        <v>1990</v>
      </c>
    </row>
    <row r="4026">
      <c r="A4026" s="26">
        <v>44866.713175729165</v>
      </c>
      <c r="B4026" s="20" t="s">
        <v>614</v>
      </c>
      <c r="C4026" s="20">
        <v>16.0</v>
      </c>
      <c r="D4026" s="20" t="s">
        <v>1991</v>
      </c>
    </row>
    <row r="4027">
      <c r="A4027" s="26">
        <v>44866.71334184028</v>
      </c>
      <c r="B4027" s="20" t="s">
        <v>614</v>
      </c>
      <c r="C4027" s="20">
        <v>25.0</v>
      </c>
      <c r="D4027" s="20" t="s">
        <v>1990</v>
      </c>
    </row>
    <row r="4028">
      <c r="A4028" s="26">
        <v>44866.71479064815</v>
      </c>
      <c r="B4028" s="20" t="s">
        <v>163</v>
      </c>
      <c r="C4028" s="20">
        <v>32.0</v>
      </c>
      <c r="D4028" s="20" t="s">
        <v>1990</v>
      </c>
    </row>
    <row r="4029">
      <c r="A4029" s="26">
        <v>44866.71501447917</v>
      </c>
      <c r="B4029" s="20" t="s">
        <v>163</v>
      </c>
      <c r="C4029" s="20">
        <v>16.0</v>
      </c>
      <c r="D4029" s="20" t="s">
        <v>1991</v>
      </c>
    </row>
    <row r="4030">
      <c r="A4030" s="26">
        <v>44866.71551204861</v>
      </c>
      <c r="B4030" s="20" t="s">
        <v>1996</v>
      </c>
      <c r="C4030" s="20">
        <v>18.0</v>
      </c>
      <c r="D4030" s="20" t="s">
        <v>1991</v>
      </c>
    </row>
    <row r="4031">
      <c r="A4031" s="26">
        <v>44866.715653125</v>
      </c>
      <c r="B4031" s="20" t="s">
        <v>1996</v>
      </c>
      <c r="C4031" s="20">
        <v>26.0</v>
      </c>
      <c r="D4031" s="20" t="s">
        <v>1990</v>
      </c>
    </row>
    <row r="4032">
      <c r="A4032" s="28">
        <v>44867.0</v>
      </c>
      <c r="B4032" s="20" t="s">
        <v>2036</v>
      </c>
      <c r="C4032" s="20">
        <v>25.0</v>
      </c>
      <c r="D4032" s="20" t="s">
        <v>1991</v>
      </c>
    </row>
    <row r="4033">
      <c r="A4033" s="28">
        <v>44867.0</v>
      </c>
      <c r="B4033" s="20" t="s">
        <v>2037</v>
      </c>
      <c r="C4033" s="20">
        <v>7.0</v>
      </c>
      <c r="D4033" s="20" t="s">
        <v>1991</v>
      </c>
    </row>
    <row r="4034">
      <c r="A4034" s="28">
        <v>44867.0</v>
      </c>
      <c r="B4034" s="20" t="s">
        <v>366</v>
      </c>
      <c r="C4034" s="20">
        <v>16.0</v>
      </c>
      <c r="D4034" s="20" t="s">
        <v>1990</v>
      </c>
    </row>
    <row r="4035">
      <c r="A4035" s="28">
        <v>44867.0</v>
      </c>
      <c r="B4035" s="20" t="s">
        <v>891</v>
      </c>
      <c r="C4035" s="20">
        <v>16.0</v>
      </c>
      <c r="D4035" s="20" t="s">
        <v>1991</v>
      </c>
    </row>
    <row r="4036">
      <c r="A4036" s="28">
        <v>44867.0</v>
      </c>
      <c r="B4036" s="20" t="s">
        <v>891</v>
      </c>
      <c r="C4036" s="20">
        <v>85.0</v>
      </c>
      <c r="D4036" s="20" t="s">
        <v>1990</v>
      </c>
    </row>
    <row r="4037">
      <c r="A4037" s="26">
        <v>44867.60049885417</v>
      </c>
      <c r="B4037" s="20" t="s">
        <v>1823</v>
      </c>
      <c r="C4037" s="20">
        <v>6.0</v>
      </c>
      <c r="D4037" s="20" t="s">
        <v>1991</v>
      </c>
    </row>
    <row r="4038">
      <c r="A4038" s="26">
        <v>44867.601094178244</v>
      </c>
      <c r="B4038" s="20" t="s">
        <v>2006</v>
      </c>
      <c r="C4038" s="20">
        <v>7.0</v>
      </c>
      <c r="D4038" s="20" t="s">
        <v>1991</v>
      </c>
    </row>
    <row r="4039">
      <c r="A4039" s="26">
        <v>44867.81474592593</v>
      </c>
      <c r="B4039" s="20" t="s">
        <v>637</v>
      </c>
      <c r="C4039" s="20">
        <v>8.0</v>
      </c>
      <c r="D4039" s="20" t="s">
        <v>1990</v>
      </c>
    </row>
    <row r="4040">
      <c r="A4040" s="26">
        <v>44867.81489197917</v>
      </c>
      <c r="B4040" s="20" t="s">
        <v>384</v>
      </c>
      <c r="C4040" s="20">
        <v>5.0</v>
      </c>
      <c r="D4040" s="20" t="s">
        <v>1991</v>
      </c>
    </row>
    <row r="4041">
      <c r="A4041" s="26">
        <v>44867.816095682865</v>
      </c>
      <c r="B4041" s="20" t="s">
        <v>637</v>
      </c>
      <c r="C4041" s="20">
        <v>2.0</v>
      </c>
      <c r="D4041" s="20" t="s">
        <v>1990</v>
      </c>
    </row>
    <row r="4042">
      <c r="A4042" s="26">
        <v>44867.83715040509</v>
      </c>
      <c r="B4042" s="20" t="s">
        <v>1551</v>
      </c>
      <c r="C4042" s="20">
        <v>10.0</v>
      </c>
      <c r="D4042" s="20" t="s">
        <v>1991</v>
      </c>
    </row>
    <row r="4043">
      <c r="A4043" s="26">
        <v>44867.83718511574</v>
      </c>
      <c r="B4043" s="20" t="s">
        <v>821</v>
      </c>
      <c r="C4043" s="20">
        <v>5.0</v>
      </c>
      <c r="D4043" s="20" t="s">
        <v>1991</v>
      </c>
    </row>
    <row r="4044">
      <c r="A4044" s="26">
        <v>44867.842491874995</v>
      </c>
      <c r="B4044" s="20" t="s">
        <v>760</v>
      </c>
      <c r="C4044" s="20">
        <v>19.0</v>
      </c>
      <c r="D4044" s="20" t="s">
        <v>1991</v>
      </c>
    </row>
    <row r="4045">
      <c r="A4045" s="26">
        <v>44867.84315597222</v>
      </c>
      <c r="B4045" s="20" t="s">
        <v>760</v>
      </c>
      <c r="C4045" s="20">
        <v>15.0</v>
      </c>
      <c r="D4045" s="20" t="s">
        <v>1990</v>
      </c>
    </row>
    <row r="4046">
      <c r="A4046" s="28">
        <v>44868.0</v>
      </c>
      <c r="B4046" s="20" t="s">
        <v>163</v>
      </c>
      <c r="C4046" s="20">
        <v>36.0</v>
      </c>
      <c r="D4046" s="20" t="s">
        <v>1991</v>
      </c>
    </row>
    <row r="4047">
      <c r="A4047" s="28">
        <v>44868.0</v>
      </c>
      <c r="B4047" s="20" t="s">
        <v>163</v>
      </c>
      <c r="C4047" s="20">
        <v>4.0</v>
      </c>
      <c r="D4047" s="20" t="s">
        <v>1990</v>
      </c>
    </row>
    <row r="4048">
      <c r="A4048" s="28">
        <v>44868.0</v>
      </c>
      <c r="B4048" s="20" t="s">
        <v>1001</v>
      </c>
      <c r="C4048" s="20">
        <v>20.0</v>
      </c>
      <c r="D4048" s="20" t="s">
        <v>1991</v>
      </c>
    </row>
    <row r="4049">
      <c r="A4049" s="28">
        <v>44868.0</v>
      </c>
      <c r="B4049" s="20" t="s">
        <v>1001</v>
      </c>
      <c r="C4049" s="20">
        <v>10.0</v>
      </c>
      <c r="D4049" s="20" t="s">
        <v>1990</v>
      </c>
    </row>
    <row r="4050">
      <c r="A4050" s="28">
        <v>44868.0</v>
      </c>
      <c r="B4050" s="20" t="s">
        <v>1905</v>
      </c>
      <c r="C4050" s="20">
        <v>14.0</v>
      </c>
      <c r="D4050" s="20" t="s">
        <v>1991</v>
      </c>
    </row>
    <row r="4051">
      <c r="A4051" s="28">
        <v>44868.0</v>
      </c>
      <c r="B4051" s="20" t="s">
        <v>1905</v>
      </c>
      <c r="C4051" s="20">
        <v>3.0</v>
      </c>
      <c r="D4051" s="20" t="s">
        <v>1990</v>
      </c>
    </row>
    <row r="4052">
      <c r="A4052" s="28">
        <v>44868.0</v>
      </c>
      <c r="B4052" s="20" t="s">
        <v>1871</v>
      </c>
      <c r="C4052" s="20">
        <v>20.0</v>
      </c>
      <c r="D4052" s="20" t="s">
        <v>1991</v>
      </c>
    </row>
    <row r="4053">
      <c r="A4053" s="28">
        <v>44868.0</v>
      </c>
      <c r="B4053" s="20" t="s">
        <v>1871</v>
      </c>
      <c r="C4053" s="20">
        <v>24.0</v>
      </c>
      <c r="D4053" s="20" t="s">
        <v>1990</v>
      </c>
    </row>
    <row r="4054">
      <c r="A4054" s="28">
        <v>44868.0</v>
      </c>
      <c r="B4054" s="20" t="s">
        <v>1888</v>
      </c>
      <c r="C4054" s="20">
        <v>20.0</v>
      </c>
      <c r="D4054" s="20" t="s">
        <v>1991</v>
      </c>
    </row>
    <row r="4055">
      <c r="A4055" s="28">
        <v>44868.0</v>
      </c>
      <c r="B4055" s="20" t="s">
        <v>1888</v>
      </c>
      <c r="C4055" s="20">
        <v>25.0</v>
      </c>
      <c r="D4055" s="20" t="s">
        <v>1990</v>
      </c>
    </row>
    <row r="4056">
      <c r="A4056" s="28">
        <v>44868.0</v>
      </c>
      <c r="B4056" s="20" t="s">
        <v>1794</v>
      </c>
      <c r="C4056" s="20">
        <v>20.0</v>
      </c>
      <c r="D4056" s="20" t="s">
        <v>1991</v>
      </c>
    </row>
    <row r="4057">
      <c r="A4057" s="28">
        <v>44868.0</v>
      </c>
      <c r="B4057" s="20" t="s">
        <v>1794</v>
      </c>
      <c r="C4057" s="20">
        <v>16.0</v>
      </c>
      <c r="D4057" s="20" t="s">
        <v>1990</v>
      </c>
    </row>
    <row r="4058">
      <c r="A4058" s="28">
        <v>44868.0</v>
      </c>
      <c r="B4058" s="20" t="s">
        <v>777</v>
      </c>
      <c r="C4058" s="20">
        <v>19.0</v>
      </c>
      <c r="D4058" s="20" t="s">
        <v>1991</v>
      </c>
    </row>
    <row r="4059">
      <c r="A4059" s="28">
        <v>44868.0</v>
      </c>
      <c r="B4059" s="20" t="s">
        <v>777</v>
      </c>
      <c r="C4059" s="20">
        <v>14.0</v>
      </c>
      <c r="D4059" s="20" t="s">
        <v>1990</v>
      </c>
    </row>
    <row r="4060">
      <c r="A4060" s="28">
        <v>44868.0</v>
      </c>
      <c r="B4060" s="20" t="s">
        <v>618</v>
      </c>
      <c r="C4060" s="20">
        <v>20.0</v>
      </c>
      <c r="D4060" s="20" t="s">
        <v>1991</v>
      </c>
    </row>
    <row r="4061">
      <c r="A4061" s="28">
        <v>44868.0</v>
      </c>
      <c r="B4061" s="20" t="s">
        <v>618</v>
      </c>
      <c r="C4061" s="20">
        <v>15.0</v>
      </c>
      <c r="D4061" s="20" t="s">
        <v>1990</v>
      </c>
    </row>
    <row r="4062">
      <c r="A4062" s="28">
        <v>44868.0</v>
      </c>
      <c r="B4062" s="20" t="s">
        <v>1924</v>
      </c>
      <c r="C4062" s="20">
        <v>20.0</v>
      </c>
      <c r="D4062" s="20" t="s">
        <v>1991</v>
      </c>
    </row>
    <row r="4063">
      <c r="A4063" s="28">
        <v>44868.0</v>
      </c>
      <c r="B4063" s="20" t="s">
        <v>1924</v>
      </c>
      <c r="C4063" s="20">
        <v>15.0</v>
      </c>
      <c r="D4063" s="20" t="s">
        <v>1990</v>
      </c>
    </row>
    <row r="4064">
      <c r="A4064" s="28">
        <v>44868.0</v>
      </c>
      <c r="B4064" s="20" t="s">
        <v>2038</v>
      </c>
      <c r="C4064" s="20">
        <v>20.0</v>
      </c>
      <c r="D4064" s="20" t="s">
        <v>1991</v>
      </c>
    </row>
    <row r="4065">
      <c r="A4065" s="26">
        <v>44868.692484907406</v>
      </c>
      <c r="B4065" s="20" t="s">
        <v>2039</v>
      </c>
      <c r="C4065" s="20">
        <v>4.0</v>
      </c>
      <c r="D4065" s="20" t="s">
        <v>1991</v>
      </c>
    </row>
    <row r="4066">
      <c r="A4066" s="26">
        <v>44868.69262144676</v>
      </c>
      <c r="B4066" s="20" t="s">
        <v>2039</v>
      </c>
      <c r="C4066" s="20">
        <v>2.0</v>
      </c>
      <c r="D4066" s="20" t="s">
        <v>1990</v>
      </c>
    </row>
    <row r="4067">
      <c r="A4067" s="26">
        <v>44868.70084153935</v>
      </c>
      <c r="B4067" s="20" t="s">
        <v>326</v>
      </c>
      <c r="C4067" s="20">
        <v>16.0</v>
      </c>
      <c r="D4067" s="20" t="s">
        <v>1991</v>
      </c>
    </row>
    <row r="4068">
      <c r="A4068" s="26">
        <v>44868.70126339121</v>
      </c>
      <c r="B4068" s="20" t="s">
        <v>326</v>
      </c>
      <c r="C4068" s="20">
        <v>5.0</v>
      </c>
      <c r="D4068" s="20" t="s">
        <v>1990</v>
      </c>
    </row>
    <row r="4069">
      <c r="A4069" s="28">
        <v>44869.0</v>
      </c>
      <c r="B4069" s="20" t="s">
        <v>1965</v>
      </c>
      <c r="C4069" s="20">
        <v>20.0</v>
      </c>
      <c r="D4069" s="20" t="s">
        <v>1991</v>
      </c>
    </row>
    <row r="4070">
      <c r="A4070" s="28">
        <v>44869.0</v>
      </c>
      <c r="B4070" s="20" t="s">
        <v>1965</v>
      </c>
      <c r="C4070" s="20">
        <v>7.0</v>
      </c>
      <c r="D4070" s="20" t="s">
        <v>1990</v>
      </c>
    </row>
    <row r="4071">
      <c r="A4071" s="26">
        <v>44869.68822130787</v>
      </c>
      <c r="B4071" s="20" t="s">
        <v>2009</v>
      </c>
      <c r="C4071" s="20">
        <v>13.0</v>
      </c>
      <c r="D4071" s="20" t="s">
        <v>1991</v>
      </c>
    </row>
    <row r="4072">
      <c r="A4072" s="26">
        <v>44869.688434027776</v>
      </c>
      <c r="B4072" s="20" t="s">
        <v>2040</v>
      </c>
      <c r="C4072" s="20">
        <v>11.0</v>
      </c>
      <c r="D4072" s="20" t="s">
        <v>1991</v>
      </c>
    </row>
    <row r="4073">
      <c r="A4073" s="26">
        <v>44869.689497245374</v>
      </c>
      <c r="B4073" s="20" t="s">
        <v>344</v>
      </c>
      <c r="C4073" s="20">
        <v>15.0</v>
      </c>
      <c r="D4073" s="20" t="s">
        <v>1991</v>
      </c>
    </row>
    <row r="4074">
      <c r="A4074" s="26">
        <v>44869.68960370371</v>
      </c>
      <c r="B4074" s="20" t="s">
        <v>344</v>
      </c>
      <c r="C4074" s="20">
        <v>16.0</v>
      </c>
      <c r="D4074" s="20" t="s">
        <v>1990</v>
      </c>
    </row>
    <row r="4075">
      <c r="A4075" s="26">
        <v>44869.699694131945</v>
      </c>
      <c r="B4075" s="20" t="s">
        <v>576</v>
      </c>
      <c r="C4075" s="20">
        <v>8.0</v>
      </c>
      <c r="D4075" s="20" t="s">
        <v>1991</v>
      </c>
    </row>
    <row r="4076">
      <c r="A4076" s="26">
        <v>44869.70064086806</v>
      </c>
      <c r="B4076" s="20" t="s">
        <v>366</v>
      </c>
      <c r="C4076" s="20">
        <v>16.0</v>
      </c>
      <c r="D4076" s="20" t="s">
        <v>1991</v>
      </c>
    </row>
    <row r="4077">
      <c r="A4077" s="26">
        <v>44869.70164248842</v>
      </c>
      <c r="B4077" s="20" t="s">
        <v>366</v>
      </c>
      <c r="C4077" s="20">
        <v>2.0</v>
      </c>
      <c r="D4077" s="20" t="s">
        <v>1990</v>
      </c>
    </row>
    <row r="4078">
      <c r="A4078" s="28">
        <v>44870.0</v>
      </c>
      <c r="B4078" s="20" t="s">
        <v>1909</v>
      </c>
      <c r="C4078" s="20">
        <v>15.0</v>
      </c>
      <c r="D4078" s="20" t="s">
        <v>1991</v>
      </c>
    </row>
    <row r="4079">
      <c r="A4079" s="28">
        <v>44870.0</v>
      </c>
      <c r="B4079" s="20" t="s">
        <v>1909</v>
      </c>
      <c r="C4079" s="20">
        <v>4.0</v>
      </c>
      <c r="D4079" s="20" t="s">
        <v>1990</v>
      </c>
    </row>
    <row r="4080">
      <c r="A4080" s="28">
        <v>44870.0</v>
      </c>
      <c r="B4080" s="20" t="s">
        <v>1908</v>
      </c>
      <c r="C4080" s="20">
        <v>20.0</v>
      </c>
      <c r="D4080" s="20" t="s">
        <v>1991</v>
      </c>
    </row>
    <row r="4081">
      <c r="A4081" s="28">
        <v>44870.0</v>
      </c>
      <c r="B4081" s="20" t="s">
        <v>2041</v>
      </c>
      <c r="C4081" s="20">
        <v>13.0</v>
      </c>
      <c r="D4081" s="20" t="s">
        <v>1991</v>
      </c>
    </row>
    <row r="4082">
      <c r="A4082" s="28">
        <v>44870.0</v>
      </c>
      <c r="B4082" s="20" t="s">
        <v>2041</v>
      </c>
      <c r="C4082" s="20">
        <v>9.0</v>
      </c>
      <c r="D4082" s="20" t="s">
        <v>1990</v>
      </c>
    </row>
    <row r="4083">
      <c r="A4083" s="26">
        <v>44870.51431663195</v>
      </c>
      <c r="B4083" s="20" t="s">
        <v>861</v>
      </c>
      <c r="C4083" s="20">
        <v>41.0</v>
      </c>
      <c r="D4083" s="20" t="s">
        <v>1990</v>
      </c>
    </row>
    <row r="4084">
      <c r="A4084" s="26">
        <v>44870.68045101852</v>
      </c>
      <c r="B4084" s="20" t="s">
        <v>714</v>
      </c>
      <c r="C4084" s="20">
        <v>7.0</v>
      </c>
      <c r="D4084" s="20" t="s">
        <v>1991</v>
      </c>
    </row>
    <row r="4085">
      <c r="A4085" s="26">
        <v>44870.680584305555</v>
      </c>
      <c r="B4085" s="20" t="s">
        <v>713</v>
      </c>
      <c r="C4085" s="20">
        <v>3.0</v>
      </c>
      <c r="D4085" s="20" t="s">
        <v>1990</v>
      </c>
    </row>
    <row r="4086">
      <c r="A4086" s="26">
        <v>44870.684315729166</v>
      </c>
      <c r="B4086" s="20" t="s">
        <v>2042</v>
      </c>
      <c r="C4086" s="20">
        <v>12.0</v>
      </c>
      <c r="D4086" s="20" t="s">
        <v>1991</v>
      </c>
    </row>
    <row r="4087">
      <c r="A4087" s="26">
        <v>44870.684477766205</v>
      </c>
      <c r="B4087" s="20" t="s">
        <v>2043</v>
      </c>
      <c r="C4087" s="20">
        <v>1.0</v>
      </c>
      <c r="D4087" s="20" t="s">
        <v>1990</v>
      </c>
    </row>
    <row r="4088">
      <c r="A4088" s="26">
        <v>44870.6854996412</v>
      </c>
      <c r="B4088" s="20" t="s">
        <v>2044</v>
      </c>
      <c r="C4088" s="20">
        <v>4.0</v>
      </c>
      <c r="D4088" s="20" t="s">
        <v>1990</v>
      </c>
    </row>
    <row r="4089">
      <c r="A4089" s="28">
        <v>44870.0</v>
      </c>
      <c r="B4089" s="20" t="s">
        <v>2044</v>
      </c>
      <c r="C4089" s="20">
        <v>4.0</v>
      </c>
      <c r="D4089" s="20" t="s">
        <v>1991</v>
      </c>
    </row>
    <row r="4090">
      <c r="A4090" s="26">
        <v>44870.690060567125</v>
      </c>
      <c r="B4090" s="20" t="s">
        <v>2045</v>
      </c>
      <c r="C4090" s="20">
        <v>16.0</v>
      </c>
      <c r="D4090" s="20" t="s">
        <v>1991</v>
      </c>
    </row>
    <row r="4091">
      <c r="A4091" s="26">
        <v>44870.69018101852</v>
      </c>
      <c r="B4091" s="20" t="s">
        <v>2045</v>
      </c>
      <c r="C4091" s="20">
        <v>3.0</v>
      </c>
      <c r="D4091" s="20" t="s">
        <v>1990</v>
      </c>
    </row>
    <row r="4092">
      <c r="A4092" s="26">
        <v>44870.69112511574</v>
      </c>
      <c r="B4092" s="20" t="s">
        <v>2002</v>
      </c>
      <c r="C4092" s="20">
        <v>11.0</v>
      </c>
      <c r="D4092" s="20" t="s">
        <v>1991</v>
      </c>
    </row>
    <row r="4093">
      <c r="A4093" s="26">
        <v>44870.69188442129</v>
      </c>
      <c r="B4093" s="20" t="s">
        <v>971</v>
      </c>
      <c r="C4093" s="20">
        <v>17.0</v>
      </c>
      <c r="D4093" s="20" t="s">
        <v>1991</v>
      </c>
    </row>
    <row r="4094">
      <c r="A4094" s="26">
        <v>44870.69230190972</v>
      </c>
      <c r="B4094" s="20" t="s">
        <v>971</v>
      </c>
      <c r="C4094" s="20">
        <v>6.0</v>
      </c>
      <c r="D4094" s="20" t="s">
        <v>1990</v>
      </c>
    </row>
    <row r="4095">
      <c r="A4095" s="26">
        <v>44870.69363328704</v>
      </c>
      <c r="B4095" s="20" t="s">
        <v>2002</v>
      </c>
      <c r="C4095" s="20">
        <v>17.0</v>
      </c>
      <c r="D4095" s="20" t="s">
        <v>1990</v>
      </c>
    </row>
    <row r="4096">
      <c r="A4096" s="26">
        <v>44870.69471761574</v>
      </c>
      <c r="B4096" s="20" t="s">
        <v>2046</v>
      </c>
      <c r="C4096" s="20">
        <v>8.0</v>
      </c>
      <c r="D4096" s="20" t="s">
        <v>1991</v>
      </c>
    </row>
    <row r="4097">
      <c r="A4097" s="26">
        <v>44870.69487810185</v>
      </c>
      <c r="B4097" s="20" t="s">
        <v>2047</v>
      </c>
      <c r="C4097" s="20">
        <v>4.0</v>
      </c>
      <c r="D4097" s="20" t="s">
        <v>1991</v>
      </c>
    </row>
    <row r="4098">
      <c r="A4098" s="26">
        <v>44870.69501140046</v>
      </c>
      <c r="B4098" s="20" t="s">
        <v>2047</v>
      </c>
      <c r="C4098" s="20">
        <v>5.0</v>
      </c>
      <c r="D4098" s="20" t="s">
        <v>1990</v>
      </c>
    </row>
    <row r="4099">
      <c r="A4099" s="26">
        <v>44870.695058784724</v>
      </c>
      <c r="B4099" s="20" t="s">
        <v>2048</v>
      </c>
      <c r="C4099" s="20">
        <v>10.0</v>
      </c>
      <c r="D4099" s="20" t="s">
        <v>1991</v>
      </c>
    </row>
    <row r="4100">
      <c r="A4100" s="26">
        <v>44870.69507541667</v>
      </c>
      <c r="B4100" s="20" t="s">
        <v>2049</v>
      </c>
      <c r="C4100" s="20">
        <v>1.0</v>
      </c>
      <c r="D4100" s="20" t="s">
        <v>1991</v>
      </c>
    </row>
    <row r="4101">
      <c r="A4101" s="26">
        <v>44870.69515358796</v>
      </c>
      <c r="B4101" s="20" t="s">
        <v>2048</v>
      </c>
      <c r="C4101" s="20">
        <v>2.0</v>
      </c>
      <c r="D4101" s="20" t="s">
        <v>1990</v>
      </c>
    </row>
    <row r="4102">
      <c r="A4102" s="26">
        <v>44870.695179849536</v>
      </c>
      <c r="B4102" s="20" t="s">
        <v>2027</v>
      </c>
      <c r="C4102" s="20">
        <v>5.0</v>
      </c>
      <c r="D4102" s="20" t="s">
        <v>1991</v>
      </c>
    </row>
    <row r="4103">
      <c r="A4103" s="26">
        <v>44870.69521694444</v>
      </c>
      <c r="B4103" s="20" t="s">
        <v>2050</v>
      </c>
      <c r="C4103" s="20">
        <v>1.0</v>
      </c>
      <c r="D4103" s="20" t="s">
        <v>1990</v>
      </c>
    </row>
    <row r="4104">
      <c r="A4104" s="26">
        <v>44870.6953087037</v>
      </c>
      <c r="B4104" s="20" t="s">
        <v>2027</v>
      </c>
      <c r="C4104" s="20">
        <v>11.0</v>
      </c>
      <c r="D4104" s="20" t="s">
        <v>1990</v>
      </c>
    </row>
    <row r="4105">
      <c r="A4105" s="26">
        <v>44870.69776627315</v>
      </c>
      <c r="B4105" s="20" t="s">
        <v>2051</v>
      </c>
      <c r="C4105" s="20">
        <v>8.0</v>
      </c>
      <c r="D4105" s="20" t="s">
        <v>1991</v>
      </c>
    </row>
    <row r="4106">
      <c r="A4106" s="26">
        <v>44870.69779215278</v>
      </c>
      <c r="B4106" s="20" t="s">
        <v>2052</v>
      </c>
      <c r="C4106" s="20">
        <v>10.0</v>
      </c>
      <c r="D4106" s="20" t="s">
        <v>1991</v>
      </c>
    </row>
    <row r="4107">
      <c r="A4107" s="26">
        <v>44870.69791203704</v>
      </c>
      <c r="B4107" s="20" t="s">
        <v>2051</v>
      </c>
      <c r="C4107" s="20">
        <v>6.0</v>
      </c>
      <c r="D4107" s="20" t="s">
        <v>1990</v>
      </c>
    </row>
    <row r="4108">
      <c r="A4108" s="26">
        <v>44870.6979750926</v>
      </c>
      <c r="B4108" s="20" t="s">
        <v>2052</v>
      </c>
      <c r="C4108" s="20">
        <v>9.0</v>
      </c>
      <c r="D4108" s="20" t="s">
        <v>1990</v>
      </c>
    </row>
    <row r="4109">
      <c r="A4109" s="26">
        <v>44870.698238576384</v>
      </c>
      <c r="B4109" s="20" t="s">
        <v>1735</v>
      </c>
      <c r="C4109" s="20">
        <v>10.0</v>
      </c>
      <c r="D4109" s="20" t="s">
        <v>1991</v>
      </c>
    </row>
    <row r="4110">
      <c r="A4110" s="26">
        <v>44870.698396458334</v>
      </c>
      <c r="B4110" s="20" t="s">
        <v>1735</v>
      </c>
      <c r="C4110" s="20">
        <v>2.0</v>
      </c>
      <c r="D4110" s="20" t="s">
        <v>1990</v>
      </c>
    </row>
    <row r="4111">
      <c r="A4111" s="26">
        <v>44870.70633246528</v>
      </c>
      <c r="B4111" s="20" t="s">
        <v>2053</v>
      </c>
      <c r="C4111" s="20">
        <v>9.0</v>
      </c>
      <c r="D4111" s="20" t="s">
        <v>1991</v>
      </c>
    </row>
    <row r="4112">
      <c r="A4112" s="26">
        <v>44870.70643121528</v>
      </c>
      <c r="B4112" s="20" t="s">
        <v>2054</v>
      </c>
      <c r="C4112" s="20">
        <v>9.0</v>
      </c>
      <c r="D4112" s="20" t="s">
        <v>1990</v>
      </c>
    </row>
    <row r="4113">
      <c r="A4113" s="26">
        <v>44870.71055528935</v>
      </c>
      <c r="B4113" s="20" t="s">
        <v>300</v>
      </c>
      <c r="C4113" s="20">
        <v>12.0</v>
      </c>
      <c r="D4113" s="20" t="s">
        <v>1991</v>
      </c>
    </row>
    <row r="4114">
      <c r="A4114" s="26">
        <v>44870.71394417824</v>
      </c>
      <c r="B4114" s="20" t="s">
        <v>614</v>
      </c>
      <c r="C4114" s="20">
        <v>11.0</v>
      </c>
      <c r="D4114" s="20" t="s">
        <v>1991</v>
      </c>
    </row>
    <row r="4115">
      <c r="A4115" s="26">
        <v>44870.71408878472</v>
      </c>
      <c r="B4115" s="20" t="s">
        <v>614</v>
      </c>
      <c r="C4115" s="20">
        <v>17.0</v>
      </c>
      <c r="D4115" s="20" t="s">
        <v>1990</v>
      </c>
    </row>
    <row r="4116">
      <c r="A4116" s="26">
        <v>44870.71486222222</v>
      </c>
      <c r="B4116" s="20" t="s">
        <v>366</v>
      </c>
      <c r="C4116" s="20">
        <v>17.0</v>
      </c>
      <c r="D4116" s="20" t="s">
        <v>1990</v>
      </c>
    </row>
    <row r="4117">
      <c r="A4117" s="26">
        <v>44870.71515686343</v>
      </c>
      <c r="B4117" s="20" t="s">
        <v>366</v>
      </c>
      <c r="C4117" s="20">
        <v>11.0</v>
      </c>
      <c r="D4117" s="20" t="s">
        <v>1991</v>
      </c>
    </row>
    <row r="4118">
      <c r="A4118" s="28">
        <v>44871.0</v>
      </c>
      <c r="B4118" s="20" t="s">
        <v>366</v>
      </c>
      <c r="C4118" s="20">
        <v>15.0</v>
      </c>
      <c r="D4118" s="20" t="s">
        <v>1991</v>
      </c>
    </row>
    <row r="4119">
      <c r="A4119" s="28">
        <v>44871.0</v>
      </c>
      <c r="B4119" s="20" t="s">
        <v>366</v>
      </c>
      <c r="C4119" s="20">
        <v>6.0</v>
      </c>
      <c r="D4119" s="20" t="s">
        <v>1990</v>
      </c>
    </row>
    <row r="4120">
      <c r="A4120" s="28">
        <v>44871.0</v>
      </c>
      <c r="B4120" s="20" t="s">
        <v>631</v>
      </c>
      <c r="C4120" s="20">
        <v>19.0</v>
      </c>
      <c r="D4120" s="20" t="s">
        <v>1991</v>
      </c>
    </row>
    <row r="4121">
      <c r="A4121" s="28">
        <v>44871.0</v>
      </c>
      <c r="B4121" s="20" t="s">
        <v>631</v>
      </c>
      <c r="C4121" s="20">
        <v>7.0</v>
      </c>
      <c r="D4121" s="20" t="s">
        <v>1990</v>
      </c>
    </row>
    <row r="4122">
      <c r="A4122" s="28">
        <v>44871.0</v>
      </c>
      <c r="B4122" s="20" t="s">
        <v>2055</v>
      </c>
      <c r="C4122" s="20">
        <v>13.0</v>
      </c>
      <c r="D4122" s="20" t="s">
        <v>1991</v>
      </c>
    </row>
    <row r="4123">
      <c r="A4123" s="28">
        <v>44871.0</v>
      </c>
      <c r="B4123" s="20" t="s">
        <v>2055</v>
      </c>
      <c r="C4123" s="20">
        <v>29.0</v>
      </c>
      <c r="D4123" s="20" t="s">
        <v>1990</v>
      </c>
    </row>
    <row r="4124">
      <c r="A4124" s="28">
        <v>44871.0</v>
      </c>
      <c r="B4124" s="20" t="s">
        <v>1818</v>
      </c>
      <c r="C4124" s="20">
        <v>12.0</v>
      </c>
      <c r="D4124" s="20" t="s">
        <v>1991</v>
      </c>
    </row>
    <row r="4125">
      <c r="A4125" s="28">
        <v>44871.0</v>
      </c>
      <c r="B4125" s="20" t="s">
        <v>1857</v>
      </c>
      <c r="C4125" s="20">
        <v>19.0</v>
      </c>
      <c r="D4125" s="20" t="s">
        <v>1991</v>
      </c>
    </row>
    <row r="4126">
      <c r="A4126" s="28">
        <v>44871.0</v>
      </c>
      <c r="B4126" s="20" t="s">
        <v>1857</v>
      </c>
      <c r="C4126" s="20">
        <v>12.0</v>
      </c>
      <c r="D4126" s="20" t="s">
        <v>1990</v>
      </c>
    </row>
    <row r="4127">
      <c r="A4127" s="26">
        <v>44871.61500921297</v>
      </c>
      <c r="B4127" s="20" t="s">
        <v>1182</v>
      </c>
      <c r="C4127" s="20">
        <v>15.0</v>
      </c>
      <c r="D4127" s="20" t="s">
        <v>1991</v>
      </c>
    </row>
    <row r="4128">
      <c r="A4128" s="26">
        <v>44871.63827743055</v>
      </c>
      <c r="B4128" s="20" t="s">
        <v>1943</v>
      </c>
      <c r="C4128" s="20">
        <v>20.0</v>
      </c>
      <c r="D4128" s="20" t="s">
        <v>1991</v>
      </c>
    </row>
    <row r="4129">
      <c r="A4129" s="26">
        <v>44871.63850994213</v>
      </c>
      <c r="B4129" s="20" t="s">
        <v>1943</v>
      </c>
      <c r="C4129" s="20">
        <v>20.0</v>
      </c>
      <c r="D4129" s="20" t="s">
        <v>1990</v>
      </c>
    </row>
    <row r="4130">
      <c r="A4130" s="26">
        <v>44871.63911284722</v>
      </c>
      <c r="B4130" s="20" t="s">
        <v>2056</v>
      </c>
      <c r="C4130" s="20">
        <v>11.0</v>
      </c>
      <c r="D4130" s="20" t="s">
        <v>1991</v>
      </c>
    </row>
    <row r="4131">
      <c r="A4131" s="28">
        <v>44871.0</v>
      </c>
      <c r="B4131" s="20" t="s">
        <v>2056</v>
      </c>
      <c r="C4131" s="20">
        <v>16.0</v>
      </c>
      <c r="D4131" s="20" t="s">
        <v>1990</v>
      </c>
    </row>
    <row r="4132">
      <c r="A4132" s="26">
        <v>44871.640139131945</v>
      </c>
      <c r="B4132" s="20" t="s">
        <v>1350</v>
      </c>
      <c r="C4132" s="20">
        <v>17.0</v>
      </c>
      <c r="D4132" s="20" t="s">
        <v>1991</v>
      </c>
    </row>
    <row r="4133">
      <c r="A4133" s="28">
        <v>44871.0</v>
      </c>
      <c r="B4133" s="20" t="s">
        <v>1350</v>
      </c>
      <c r="C4133" s="20">
        <v>26.0</v>
      </c>
      <c r="D4133" s="20" t="s">
        <v>1990</v>
      </c>
    </row>
    <row r="4134">
      <c r="A4134" s="26">
        <v>44871.64390413194</v>
      </c>
      <c r="B4134" s="20" t="s">
        <v>1911</v>
      </c>
      <c r="C4134" s="20">
        <v>20.0</v>
      </c>
      <c r="D4134" s="20" t="s">
        <v>1991</v>
      </c>
    </row>
    <row r="4135">
      <c r="A4135" s="26">
        <v>44871.65110170138</v>
      </c>
      <c r="B4135" s="20" t="s">
        <v>411</v>
      </c>
      <c r="C4135" s="20">
        <v>11.0</v>
      </c>
      <c r="D4135" s="20" t="s">
        <v>1991</v>
      </c>
    </row>
    <row r="4136">
      <c r="A4136" s="26">
        <v>44871.65384121527</v>
      </c>
      <c r="B4136" s="20" t="s">
        <v>596</v>
      </c>
      <c r="C4136" s="20">
        <v>10.0</v>
      </c>
      <c r="D4136" s="20" t="s">
        <v>1991</v>
      </c>
    </row>
    <row r="4137">
      <c r="A4137" s="28">
        <v>44873.0</v>
      </c>
      <c r="B4137" s="20" t="s">
        <v>1137</v>
      </c>
      <c r="C4137" s="20">
        <v>16.0</v>
      </c>
      <c r="D4137" s="20" t="s">
        <v>1991</v>
      </c>
    </row>
    <row r="4138">
      <c r="A4138" s="28">
        <v>44873.0</v>
      </c>
      <c r="B4138" s="20" t="s">
        <v>1137</v>
      </c>
      <c r="C4138" s="20">
        <v>56.0</v>
      </c>
      <c r="D4138" s="20" t="s">
        <v>1990</v>
      </c>
    </row>
    <row r="4139">
      <c r="A4139" s="28">
        <v>44873.0</v>
      </c>
      <c r="B4139" s="20" t="s">
        <v>1001</v>
      </c>
      <c r="C4139" s="20">
        <v>17.0</v>
      </c>
      <c r="D4139" s="20" t="s">
        <v>1991</v>
      </c>
    </row>
    <row r="4140">
      <c r="A4140" s="28">
        <v>44873.0</v>
      </c>
      <c r="B4140" s="20" t="s">
        <v>1001</v>
      </c>
      <c r="C4140" s="20">
        <v>23.0</v>
      </c>
      <c r="D4140" s="20" t="s">
        <v>1990</v>
      </c>
    </row>
    <row r="4141">
      <c r="A4141" s="26">
        <v>44873.66480121527</v>
      </c>
      <c r="B4141" s="20" t="s">
        <v>2057</v>
      </c>
      <c r="C4141" s="20">
        <v>9.0</v>
      </c>
      <c r="D4141" s="20" t="s">
        <v>1991</v>
      </c>
    </row>
    <row r="4142">
      <c r="A4142" s="26">
        <v>44873.6651483912</v>
      </c>
      <c r="B4142" s="20" t="s">
        <v>2057</v>
      </c>
      <c r="C4142" s="20">
        <v>4.0</v>
      </c>
      <c r="D4142" s="20" t="s">
        <v>1990</v>
      </c>
    </row>
    <row r="4143">
      <c r="A4143" s="26">
        <v>44873.6684409375</v>
      </c>
      <c r="B4143" s="20" t="s">
        <v>1946</v>
      </c>
      <c r="C4143" s="20">
        <v>16.0</v>
      </c>
      <c r="D4143" s="20" t="s">
        <v>1991</v>
      </c>
    </row>
    <row r="4144">
      <c r="A4144" s="26">
        <v>44873.668490185184</v>
      </c>
      <c r="B4144" s="20" t="s">
        <v>2058</v>
      </c>
      <c r="C4144" s="20">
        <v>8.0</v>
      </c>
      <c r="D4144" s="20" t="s">
        <v>1991</v>
      </c>
    </row>
    <row r="4145">
      <c r="A4145" s="26">
        <v>44873.66871953703</v>
      </c>
      <c r="B4145" s="20" t="s">
        <v>1946</v>
      </c>
      <c r="C4145" s="20">
        <v>8.0</v>
      </c>
      <c r="D4145" s="20" t="s">
        <v>1990</v>
      </c>
    </row>
    <row r="4146">
      <c r="A4146" s="26">
        <v>44873.66876550926</v>
      </c>
      <c r="B4146" s="20" t="s">
        <v>2035</v>
      </c>
      <c r="C4146" s="20">
        <v>18.0</v>
      </c>
      <c r="D4146" s="20" t="s">
        <v>1990</v>
      </c>
    </row>
    <row r="4147">
      <c r="A4147" s="26">
        <v>44873.66877217592</v>
      </c>
      <c r="B4147" s="20" t="s">
        <v>1947</v>
      </c>
      <c r="C4147" s="20">
        <v>12.0</v>
      </c>
      <c r="D4147" s="20" t="s">
        <v>1991</v>
      </c>
    </row>
    <row r="4148">
      <c r="A4148" s="26">
        <v>44873.66900376158</v>
      </c>
      <c r="B4148" s="20" t="s">
        <v>1998</v>
      </c>
      <c r="C4148" s="20">
        <v>10.0</v>
      </c>
      <c r="D4148" s="20" t="s">
        <v>1990</v>
      </c>
    </row>
    <row r="4149">
      <c r="A4149" s="26">
        <v>44873.67285379629</v>
      </c>
      <c r="B4149" s="20" t="s">
        <v>1996</v>
      </c>
      <c r="C4149" s="20">
        <v>20.0</v>
      </c>
      <c r="D4149" s="20" t="s">
        <v>1991</v>
      </c>
    </row>
    <row r="4150">
      <c r="A4150" s="26">
        <v>44873.67298107639</v>
      </c>
      <c r="B4150" s="20" t="s">
        <v>1996</v>
      </c>
      <c r="C4150" s="20">
        <v>31.0</v>
      </c>
      <c r="D4150" s="20" t="s">
        <v>1990</v>
      </c>
    </row>
    <row r="4151">
      <c r="A4151" s="26">
        <v>44873.67357466435</v>
      </c>
      <c r="B4151" s="20" t="s">
        <v>614</v>
      </c>
      <c r="C4151" s="20">
        <v>12.0</v>
      </c>
      <c r="D4151" s="20" t="s">
        <v>1991</v>
      </c>
    </row>
    <row r="4152">
      <c r="A4152" s="26">
        <v>44873.67370108796</v>
      </c>
      <c r="B4152" s="20" t="s">
        <v>614</v>
      </c>
      <c r="C4152" s="20">
        <v>24.0</v>
      </c>
      <c r="D4152" s="20" t="s">
        <v>1990</v>
      </c>
    </row>
    <row r="4153">
      <c r="A4153" s="26">
        <v>44873.67633519676</v>
      </c>
      <c r="B4153" s="20" t="s">
        <v>528</v>
      </c>
      <c r="C4153" s="20">
        <v>20.0</v>
      </c>
      <c r="D4153" s="20" t="s">
        <v>1991</v>
      </c>
    </row>
    <row r="4154">
      <c r="A4154" s="26">
        <v>44873.67650614583</v>
      </c>
      <c r="B4154" s="20" t="s">
        <v>528</v>
      </c>
      <c r="C4154" s="20">
        <v>16.0</v>
      </c>
      <c r="D4154" s="20" t="s">
        <v>1990</v>
      </c>
    </row>
    <row r="4155">
      <c r="A4155" s="28">
        <v>44874.0</v>
      </c>
      <c r="B4155" s="20" t="s">
        <v>366</v>
      </c>
      <c r="C4155" s="20">
        <v>23.0</v>
      </c>
      <c r="D4155" s="20" t="s">
        <v>1991</v>
      </c>
    </row>
    <row r="4156">
      <c r="A4156" s="28">
        <v>44874.0</v>
      </c>
      <c r="B4156" s="20" t="s">
        <v>366</v>
      </c>
      <c r="C4156" s="20">
        <v>18.0</v>
      </c>
      <c r="D4156" s="20" t="s">
        <v>1990</v>
      </c>
    </row>
    <row r="4157">
      <c r="A4157" s="28">
        <v>44874.0</v>
      </c>
      <c r="B4157" s="20" t="s">
        <v>1610</v>
      </c>
      <c r="C4157" s="20">
        <v>17.0</v>
      </c>
      <c r="D4157" s="20" t="s">
        <v>1991</v>
      </c>
    </row>
    <row r="4158">
      <c r="A4158" s="28">
        <v>44874.0</v>
      </c>
      <c r="B4158" s="20" t="s">
        <v>2036</v>
      </c>
      <c r="C4158" s="20">
        <v>2.0</v>
      </c>
      <c r="D4158" s="20" t="s">
        <v>1991</v>
      </c>
    </row>
    <row r="4159">
      <c r="A4159" s="28">
        <v>44874.0</v>
      </c>
      <c r="B4159" s="20" t="s">
        <v>1803</v>
      </c>
      <c r="C4159" s="20">
        <v>20.0</v>
      </c>
      <c r="D4159" s="20" t="s">
        <v>1991</v>
      </c>
    </row>
    <row r="4160">
      <c r="A4160" s="26">
        <v>44874.56067902778</v>
      </c>
      <c r="B4160" s="20" t="s">
        <v>110</v>
      </c>
      <c r="C4160" s="20">
        <v>66.0</v>
      </c>
      <c r="D4160" s="20" t="s">
        <v>1991</v>
      </c>
    </row>
    <row r="4161">
      <c r="A4161" s="26">
        <v>44874.68253017361</v>
      </c>
      <c r="B4161" s="20" t="s">
        <v>193</v>
      </c>
      <c r="C4161" s="20">
        <v>12.0</v>
      </c>
      <c r="D4161" s="20" t="s">
        <v>1991</v>
      </c>
    </row>
    <row r="4162">
      <c r="A4162" s="26">
        <v>44874.70180793981</v>
      </c>
      <c r="B4162" s="20" t="s">
        <v>191</v>
      </c>
      <c r="C4162" s="20">
        <v>13.0</v>
      </c>
      <c r="D4162" s="20" t="s">
        <v>1990</v>
      </c>
    </row>
    <row r="4163">
      <c r="A4163" s="26">
        <v>44874.71969844907</v>
      </c>
      <c r="B4163" s="20" t="s">
        <v>193</v>
      </c>
      <c r="C4163" s="20">
        <v>22.0</v>
      </c>
      <c r="D4163" s="20" t="s">
        <v>1991</v>
      </c>
    </row>
    <row r="4164">
      <c r="A4164" s="26">
        <v>44874.847648854164</v>
      </c>
      <c r="B4164" s="20" t="s">
        <v>1551</v>
      </c>
      <c r="C4164" s="20">
        <v>13.0</v>
      </c>
      <c r="D4164" s="20" t="s">
        <v>1991</v>
      </c>
    </row>
    <row r="4165">
      <c r="A4165" s="26">
        <v>44874.848311967595</v>
      </c>
      <c r="B4165" s="20" t="s">
        <v>821</v>
      </c>
      <c r="C4165" s="20">
        <v>14.0</v>
      </c>
      <c r="D4165" s="20" t="s">
        <v>1991</v>
      </c>
    </row>
    <row r="4166">
      <c r="A4166" s="28">
        <v>44875.0</v>
      </c>
      <c r="B4166" s="20" t="s">
        <v>1905</v>
      </c>
      <c r="C4166" s="20">
        <v>12.0</v>
      </c>
      <c r="D4166" s="20" t="s">
        <v>1991</v>
      </c>
    </row>
    <row r="4167">
      <c r="A4167" s="28">
        <v>44875.0</v>
      </c>
      <c r="B4167" s="20" t="s">
        <v>1905</v>
      </c>
      <c r="C4167" s="20">
        <v>4.0</v>
      </c>
      <c r="D4167" s="20" t="s">
        <v>1990</v>
      </c>
    </row>
    <row r="4168">
      <c r="A4168" s="28">
        <v>44875.0</v>
      </c>
      <c r="B4168" s="20" t="s">
        <v>1001</v>
      </c>
      <c r="C4168" s="20">
        <v>20.0</v>
      </c>
      <c r="D4168" s="20" t="s">
        <v>1991</v>
      </c>
    </row>
    <row r="4169">
      <c r="A4169" s="28">
        <v>44875.0</v>
      </c>
      <c r="B4169" s="20" t="s">
        <v>1001</v>
      </c>
      <c r="C4169" s="20">
        <v>5.0</v>
      </c>
      <c r="D4169" s="20" t="s">
        <v>1990</v>
      </c>
    </row>
    <row r="4170">
      <c r="A4170" s="28">
        <v>44875.0</v>
      </c>
      <c r="B4170" s="20" t="s">
        <v>1794</v>
      </c>
      <c r="C4170" s="20">
        <v>19.0</v>
      </c>
      <c r="D4170" s="20" t="s">
        <v>1991</v>
      </c>
    </row>
    <row r="4171">
      <c r="A4171" s="28">
        <v>44875.0</v>
      </c>
      <c r="B4171" s="20" t="s">
        <v>1794</v>
      </c>
      <c r="C4171" s="20">
        <v>3.0</v>
      </c>
      <c r="D4171" s="20" t="s">
        <v>1990</v>
      </c>
    </row>
    <row r="4172">
      <c r="A4172" s="28">
        <v>44875.0</v>
      </c>
      <c r="B4172" s="20" t="s">
        <v>777</v>
      </c>
      <c r="C4172" s="20">
        <v>17.0</v>
      </c>
      <c r="D4172" s="20" t="s">
        <v>1991</v>
      </c>
    </row>
    <row r="4173">
      <c r="A4173" s="28">
        <v>44875.0</v>
      </c>
      <c r="B4173" s="20" t="s">
        <v>777</v>
      </c>
      <c r="C4173" s="20">
        <v>1.0</v>
      </c>
      <c r="D4173" s="20" t="s">
        <v>1990</v>
      </c>
    </row>
    <row r="4174">
      <c r="A4174" s="26">
        <v>44875.686617858795</v>
      </c>
      <c r="B4174" s="20" t="s">
        <v>260</v>
      </c>
      <c r="C4174" s="20">
        <v>20.0</v>
      </c>
      <c r="D4174" s="20" t="s">
        <v>1991</v>
      </c>
    </row>
    <row r="4175">
      <c r="A4175" s="26">
        <v>44875.68771115741</v>
      </c>
      <c r="B4175" s="20" t="s">
        <v>2059</v>
      </c>
      <c r="C4175" s="20">
        <v>5.0</v>
      </c>
      <c r="D4175" s="20" t="s">
        <v>1991</v>
      </c>
    </row>
    <row r="4176">
      <c r="A4176" s="26">
        <v>44875.69070283565</v>
      </c>
      <c r="B4176" s="20" t="s">
        <v>679</v>
      </c>
      <c r="C4176" s="20">
        <v>15.0</v>
      </c>
      <c r="D4176" s="20" t="s">
        <v>1991</v>
      </c>
    </row>
    <row r="4177">
      <c r="A4177" s="26">
        <v>44875.69083298611</v>
      </c>
      <c r="B4177" s="20" t="s">
        <v>679</v>
      </c>
      <c r="C4177" s="20">
        <v>3.0</v>
      </c>
      <c r="D4177" s="20" t="s">
        <v>1990</v>
      </c>
    </row>
    <row r="4178">
      <c r="A4178" s="26">
        <v>44875.69589633102</v>
      </c>
      <c r="B4178" s="20" t="s">
        <v>824</v>
      </c>
      <c r="C4178" s="20">
        <v>18.0</v>
      </c>
      <c r="D4178" s="20" t="s">
        <v>1991</v>
      </c>
    </row>
    <row r="4179">
      <c r="A4179" s="26">
        <v>44875.69613040509</v>
      </c>
      <c r="B4179" s="20" t="s">
        <v>824</v>
      </c>
      <c r="C4179" s="20">
        <v>12.0</v>
      </c>
      <c r="D4179" s="20" t="s">
        <v>1990</v>
      </c>
    </row>
    <row r="4180">
      <c r="A4180" s="26">
        <v>44875.69660538195</v>
      </c>
      <c r="B4180" s="20" t="s">
        <v>327</v>
      </c>
      <c r="C4180" s="20">
        <v>15.0</v>
      </c>
      <c r="D4180" s="20" t="s">
        <v>1991</v>
      </c>
    </row>
    <row r="4181">
      <c r="A4181" s="26">
        <v>44875.70222677084</v>
      </c>
      <c r="B4181" s="20" t="s">
        <v>163</v>
      </c>
      <c r="C4181" s="20">
        <v>32.0</v>
      </c>
      <c r="D4181" s="20" t="s">
        <v>1991</v>
      </c>
    </row>
    <row r="4182">
      <c r="A4182" s="26">
        <v>44875.70259583333</v>
      </c>
      <c r="B4182" s="20" t="s">
        <v>163</v>
      </c>
      <c r="C4182" s="20">
        <v>4.0</v>
      </c>
      <c r="D4182" s="20" t="s">
        <v>1990</v>
      </c>
    </row>
    <row r="4183">
      <c r="A4183" s="26">
        <v>44875.83506936343</v>
      </c>
      <c r="B4183" s="20" t="s">
        <v>2008</v>
      </c>
      <c r="C4183" s="20">
        <v>19.0</v>
      </c>
      <c r="D4183" s="20" t="s">
        <v>1991</v>
      </c>
    </row>
    <row r="4184">
      <c r="A4184" s="26">
        <v>44875.83993986111</v>
      </c>
      <c r="B4184" s="20" t="s">
        <v>1325</v>
      </c>
      <c r="C4184" s="20">
        <v>20.0</v>
      </c>
      <c r="D4184" s="20" t="s">
        <v>1991</v>
      </c>
    </row>
    <row r="4185">
      <c r="A4185" s="28">
        <v>44876.0</v>
      </c>
      <c r="B4185" s="20" t="s">
        <v>366</v>
      </c>
      <c r="C4185" s="20">
        <v>19.0</v>
      </c>
      <c r="D4185" s="20" t="s">
        <v>1991</v>
      </c>
    </row>
    <row r="4186">
      <c r="A4186" s="28">
        <v>44876.0</v>
      </c>
      <c r="B4186" s="20" t="s">
        <v>366</v>
      </c>
      <c r="C4186" s="20">
        <v>12.0</v>
      </c>
      <c r="D4186" s="20" t="s">
        <v>1990</v>
      </c>
    </row>
    <row r="4187">
      <c r="A4187" s="28">
        <v>44876.0</v>
      </c>
      <c r="B4187" s="20" t="s">
        <v>1965</v>
      </c>
      <c r="C4187" s="20">
        <v>18.0</v>
      </c>
      <c r="D4187" s="20" t="s">
        <v>1991</v>
      </c>
    </row>
    <row r="4188">
      <c r="A4188" s="28">
        <v>44876.0</v>
      </c>
      <c r="B4188" s="20" t="s">
        <v>1965</v>
      </c>
      <c r="C4188" s="20">
        <v>17.0</v>
      </c>
      <c r="D4188" s="20" t="s">
        <v>1990</v>
      </c>
    </row>
    <row r="4189">
      <c r="A4189" s="26">
        <v>44876.70177296296</v>
      </c>
      <c r="B4189" s="20" t="s">
        <v>2060</v>
      </c>
      <c r="C4189" s="20">
        <v>10.0</v>
      </c>
      <c r="D4189" s="20" t="s">
        <v>1991</v>
      </c>
    </row>
    <row r="4190">
      <c r="A4190" s="26">
        <v>44876.71169148148</v>
      </c>
      <c r="B4190" s="20" t="s">
        <v>2009</v>
      </c>
      <c r="C4190" s="20">
        <v>7.0</v>
      </c>
      <c r="D4190" s="20" t="s">
        <v>1991</v>
      </c>
    </row>
    <row r="4191">
      <c r="A4191" s="26">
        <v>44876.711805150466</v>
      </c>
      <c r="B4191" s="20" t="s">
        <v>2009</v>
      </c>
      <c r="C4191" s="20">
        <v>11.0</v>
      </c>
      <c r="D4191" s="20" t="s">
        <v>1990</v>
      </c>
    </row>
    <row r="4192">
      <c r="A4192" s="28">
        <v>44877.0</v>
      </c>
      <c r="B4192" s="20" t="s">
        <v>366</v>
      </c>
      <c r="C4192" s="20">
        <v>10.0</v>
      </c>
      <c r="D4192" s="20" t="s">
        <v>1991</v>
      </c>
    </row>
    <row r="4193">
      <c r="A4193" s="28">
        <v>44877.0</v>
      </c>
      <c r="B4193" s="20" t="s">
        <v>366</v>
      </c>
      <c r="C4193" s="20">
        <v>12.0</v>
      </c>
      <c r="D4193" s="20" t="s">
        <v>1990</v>
      </c>
    </row>
    <row r="4194">
      <c r="A4194" s="28">
        <v>44877.0</v>
      </c>
      <c r="B4194" s="20" t="s">
        <v>1834</v>
      </c>
      <c r="C4194" s="20">
        <v>20.0</v>
      </c>
      <c r="D4194" s="20" t="s">
        <v>1991</v>
      </c>
    </row>
    <row r="4195">
      <c r="A4195" s="26">
        <v>44877.69207113426</v>
      </c>
      <c r="B4195" s="20" t="s">
        <v>713</v>
      </c>
      <c r="C4195" s="20">
        <v>20.0</v>
      </c>
      <c r="D4195" s="20" t="s">
        <v>1991</v>
      </c>
    </row>
    <row r="4196">
      <c r="A4196" s="26">
        <v>44877.696106435185</v>
      </c>
      <c r="B4196" s="20" t="s">
        <v>2048</v>
      </c>
      <c r="C4196" s="20">
        <v>8.0</v>
      </c>
      <c r="D4196" s="20" t="s">
        <v>1991</v>
      </c>
    </row>
    <row r="4197">
      <c r="A4197" s="26">
        <v>44877.696571215274</v>
      </c>
      <c r="B4197" s="20" t="s">
        <v>2061</v>
      </c>
      <c r="C4197" s="20">
        <v>8.0</v>
      </c>
      <c r="D4197" s="20" t="s">
        <v>1991</v>
      </c>
    </row>
    <row r="4198">
      <c r="A4198" s="26">
        <v>44877.6974578125</v>
      </c>
      <c r="B4198" s="20" t="s">
        <v>2027</v>
      </c>
      <c r="C4198" s="20">
        <v>8.0</v>
      </c>
      <c r="D4198" s="20" t="s">
        <v>1991</v>
      </c>
    </row>
    <row r="4199">
      <c r="A4199" s="26">
        <v>44877.698308321764</v>
      </c>
      <c r="B4199" s="20" t="s">
        <v>2062</v>
      </c>
      <c r="C4199" s="20">
        <v>8.0</v>
      </c>
      <c r="D4199" s="20" t="s">
        <v>1991</v>
      </c>
    </row>
    <row r="4200">
      <c r="A4200" s="26">
        <v>44877.69843686343</v>
      </c>
      <c r="B4200" s="20" t="s">
        <v>2062</v>
      </c>
      <c r="C4200" s="20">
        <v>6.0</v>
      </c>
      <c r="D4200" s="20" t="s">
        <v>1990</v>
      </c>
    </row>
    <row r="4201">
      <c r="A4201" s="26">
        <v>44877.6988264699</v>
      </c>
      <c r="B4201" s="20" t="s">
        <v>2063</v>
      </c>
      <c r="C4201" s="20">
        <v>12.0</v>
      </c>
      <c r="D4201" s="20" t="s">
        <v>1991</v>
      </c>
    </row>
    <row r="4202">
      <c r="A4202" s="26">
        <v>44877.69918768518</v>
      </c>
      <c r="B4202" s="20" t="s">
        <v>1633</v>
      </c>
      <c r="C4202" s="20">
        <v>10.0</v>
      </c>
      <c r="D4202" s="20" t="s">
        <v>1991</v>
      </c>
    </row>
    <row r="4203">
      <c r="A4203" s="26">
        <v>44877.699824537034</v>
      </c>
      <c r="B4203" s="20" t="s">
        <v>1509</v>
      </c>
      <c r="C4203" s="20">
        <v>12.0</v>
      </c>
      <c r="D4203" s="20" t="s">
        <v>1991</v>
      </c>
    </row>
    <row r="4204">
      <c r="A4204" s="28">
        <v>44877.0</v>
      </c>
      <c r="B4204" s="20" t="s">
        <v>1509</v>
      </c>
      <c r="C4204" s="20">
        <v>7.0</v>
      </c>
      <c r="D4204" s="20" t="s">
        <v>1990</v>
      </c>
    </row>
    <row r="4205">
      <c r="A4205" s="26">
        <v>44877.70077726852</v>
      </c>
      <c r="B4205" s="20" t="s">
        <v>2064</v>
      </c>
      <c r="C4205" s="20">
        <v>35.0</v>
      </c>
      <c r="D4205" s="20" t="s">
        <v>1991</v>
      </c>
    </row>
    <row r="4206">
      <c r="A4206" s="26">
        <v>44877.70157765046</v>
      </c>
      <c r="B4206" s="20" t="s">
        <v>1074</v>
      </c>
      <c r="C4206" s="20">
        <v>16.0</v>
      </c>
      <c r="D4206" s="20" t="s">
        <v>1991</v>
      </c>
    </row>
    <row r="4207">
      <c r="A4207" s="26">
        <v>44877.70186189815</v>
      </c>
      <c r="B4207" s="20" t="s">
        <v>1074</v>
      </c>
      <c r="C4207" s="20">
        <v>3.0</v>
      </c>
      <c r="D4207" s="20" t="s">
        <v>1990</v>
      </c>
    </row>
    <row r="4208">
      <c r="A4208" s="26">
        <v>44877.702122268514</v>
      </c>
      <c r="B4208" s="20" t="s">
        <v>1533</v>
      </c>
      <c r="C4208" s="20">
        <v>20.0</v>
      </c>
      <c r="D4208" s="20" t="s">
        <v>1991</v>
      </c>
    </row>
    <row r="4209">
      <c r="A4209" s="26">
        <v>44877.70231541667</v>
      </c>
      <c r="B4209" s="20" t="s">
        <v>1797</v>
      </c>
      <c r="C4209" s="20">
        <v>20.0</v>
      </c>
      <c r="D4209" s="20" t="s">
        <v>1991</v>
      </c>
    </row>
    <row r="4210">
      <c r="A4210" s="26">
        <v>44877.70235097222</v>
      </c>
      <c r="B4210" s="20" t="s">
        <v>1533</v>
      </c>
      <c r="C4210" s="20">
        <v>11.0</v>
      </c>
      <c r="D4210" s="20" t="s">
        <v>1990</v>
      </c>
    </row>
    <row r="4211">
      <c r="A4211" s="26">
        <v>44877.70258856482</v>
      </c>
      <c r="B4211" s="20" t="s">
        <v>1796</v>
      </c>
      <c r="C4211" s="20">
        <v>6.0</v>
      </c>
      <c r="D4211" s="20" t="s">
        <v>1990</v>
      </c>
    </row>
    <row r="4212">
      <c r="A4212" s="26">
        <v>44877.705036666666</v>
      </c>
      <c r="B4212" s="20" t="s">
        <v>2065</v>
      </c>
      <c r="C4212" s="20">
        <v>20.0</v>
      </c>
      <c r="D4212" s="20" t="s">
        <v>1991</v>
      </c>
    </row>
    <row r="4213">
      <c r="A4213" s="26">
        <v>44877.70565780092</v>
      </c>
      <c r="B4213" s="20" t="s">
        <v>2066</v>
      </c>
      <c r="C4213" s="20">
        <v>20.0</v>
      </c>
      <c r="D4213" s="20" t="s">
        <v>1991</v>
      </c>
    </row>
    <row r="4214">
      <c r="A4214" s="26">
        <v>44877.70591278935</v>
      </c>
      <c r="B4214" s="20" t="s">
        <v>2065</v>
      </c>
      <c r="C4214" s="20">
        <v>3.0</v>
      </c>
      <c r="D4214" s="20" t="s">
        <v>1990</v>
      </c>
    </row>
    <row r="4215">
      <c r="A4215" s="26">
        <v>44877.70592934028</v>
      </c>
      <c r="B4215" s="20" t="s">
        <v>2067</v>
      </c>
      <c r="C4215" s="20">
        <v>4.0</v>
      </c>
      <c r="D4215" s="20" t="s">
        <v>1990</v>
      </c>
    </row>
    <row r="4216">
      <c r="A4216" s="26">
        <v>44877.706246331014</v>
      </c>
      <c r="B4216" s="20" t="s">
        <v>91</v>
      </c>
      <c r="C4216" s="20">
        <v>12.0</v>
      </c>
      <c r="D4216" s="20" t="s">
        <v>1991</v>
      </c>
    </row>
    <row r="4217">
      <c r="A4217" s="26">
        <v>44877.70738142361</v>
      </c>
      <c r="B4217" s="20" t="s">
        <v>2068</v>
      </c>
      <c r="C4217" s="20">
        <v>20.0</v>
      </c>
      <c r="D4217" s="20" t="s">
        <v>1991</v>
      </c>
    </row>
    <row r="4218">
      <c r="A4218" s="26">
        <v>44877.70791189815</v>
      </c>
      <c r="B4218" s="20" t="s">
        <v>300</v>
      </c>
      <c r="C4218" s="20">
        <v>5.0</v>
      </c>
      <c r="D4218" s="20" t="s">
        <v>1991</v>
      </c>
    </row>
    <row r="4219">
      <c r="A4219" s="26">
        <v>44877.70801054398</v>
      </c>
      <c r="B4219" s="20" t="s">
        <v>300</v>
      </c>
      <c r="C4219" s="20">
        <v>1.0</v>
      </c>
      <c r="D4219" s="20" t="s">
        <v>1990</v>
      </c>
    </row>
    <row r="4220">
      <c r="A4220" s="26">
        <v>44877.73557765046</v>
      </c>
      <c r="B4220" s="20" t="s">
        <v>637</v>
      </c>
      <c r="C4220" s="20">
        <v>20.0</v>
      </c>
      <c r="D4220" s="20" t="s">
        <v>1991</v>
      </c>
    </row>
    <row r="4221">
      <c r="A4221" s="26">
        <v>44877.73663616898</v>
      </c>
      <c r="B4221" s="20" t="s">
        <v>384</v>
      </c>
      <c r="C4221" s="20">
        <v>6.0</v>
      </c>
      <c r="D4221" s="20" t="s">
        <v>1990</v>
      </c>
    </row>
    <row r="4222">
      <c r="A4222" s="28">
        <v>44878.0</v>
      </c>
      <c r="B4222" s="20" t="s">
        <v>1818</v>
      </c>
      <c r="C4222" s="20">
        <v>19.0</v>
      </c>
      <c r="D4222" s="20" t="s">
        <v>1991</v>
      </c>
    </row>
    <row r="4223">
      <c r="A4223" s="28">
        <v>44878.0</v>
      </c>
      <c r="B4223" s="20" t="s">
        <v>1137</v>
      </c>
      <c r="C4223" s="20">
        <v>19.0</v>
      </c>
      <c r="D4223" s="20" t="s">
        <v>1991</v>
      </c>
    </row>
    <row r="4224">
      <c r="A4224" s="28">
        <v>44878.0</v>
      </c>
      <c r="B4224" s="20" t="s">
        <v>1137</v>
      </c>
      <c r="C4224" s="20">
        <v>42.0</v>
      </c>
      <c r="D4224" s="20" t="s">
        <v>1990</v>
      </c>
    </row>
    <row r="4225">
      <c r="A4225" s="28">
        <v>44878.0</v>
      </c>
      <c r="B4225" s="20" t="s">
        <v>2069</v>
      </c>
      <c r="C4225" s="20">
        <v>9.0</v>
      </c>
      <c r="D4225" s="20" t="s">
        <v>1991</v>
      </c>
    </row>
    <row r="4226">
      <c r="A4226" s="26">
        <v>44878.62510449074</v>
      </c>
      <c r="B4226" s="20" t="s">
        <v>1182</v>
      </c>
      <c r="C4226" s="20">
        <v>18.0</v>
      </c>
      <c r="D4226" s="20" t="s">
        <v>1991</v>
      </c>
    </row>
    <row r="4227">
      <c r="A4227" s="26">
        <v>44878.640572777775</v>
      </c>
      <c r="B4227" s="20" t="s">
        <v>2070</v>
      </c>
      <c r="C4227" s="20">
        <v>20.0</v>
      </c>
      <c r="D4227" s="20" t="s">
        <v>1991</v>
      </c>
    </row>
    <row r="4228">
      <c r="A4228" s="26">
        <v>44878.64082400463</v>
      </c>
      <c r="B4228" s="20" t="s">
        <v>2070</v>
      </c>
      <c r="C4228" s="20">
        <v>14.0</v>
      </c>
      <c r="D4228" s="20" t="s">
        <v>1990</v>
      </c>
    </row>
    <row r="4229">
      <c r="A4229" s="26">
        <v>44878.64495065973</v>
      </c>
      <c r="B4229" s="20" t="s">
        <v>683</v>
      </c>
      <c r="C4229" s="20">
        <v>12.0</v>
      </c>
      <c r="D4229" s="20" t="s">
        <v>1991</v>
      </c>
    </row>
    <row r="4230">
      <c r="A4230" s="26">
        <v>44878.64743547454</v>
      </c>
      <c r="B4230" s="20" t="s">
        <v>1997</v>
      </c>
      <c r="C4230" s="20">
        <v>20.0</v>
      </c>
      <c r="D4230" s="20" t="s">
        <v>1991</v>
      </c>
    </row>
    <row r="4231">
      <c r="A4231" s="26">
        <v>44878.647598553245</v>
      </c>
      <c r="B4231" s="20" t="s">
        <v>1997</v>
      </c>
      <c r="C4231" s="20">
        <v>18.0</v>
      </c>
      <c r="D4231" s="20" t="s">
        <v>1990</v>
      </c>
    </row>
    <row r="4232">
      <c r="A4232" s="26">
        <v>44878.650474953705</v>
      </c>
      <c r="B4232" s="20" t="s">
        <v>528</v>
      </c>
      <c r="C4232" s="20">
        <v>20.0</v>
      </c>
      <c r="D4232" s="20" t="s">
        <v>1991</v>
      </c>
    </row>
    <row r="4233">
      <c r="A4233" s="26">
        <v>44878.65107166667</v>
      </c>
      <c r="B4233" s="20" t="s">
        <v>193</v>
      </c>
      <c r="C4233" s="20">
        <v>22.0</v>
      </c>
      <c r="D4233" s="20" t="s">
        <v>1991</v>
      </c>
    </row>
    <row r="4234">
      <c r="A4234" s="26">
        <v>44878.651173715276</v>
      </c>
      <c r="B4234" s="20" t="s">
        <v>193</v>
      </c>
      <c r="C4234" s="20">
        <v>32.0</v>
      </c>
      <c r="D4234" s="20" t="s">
        <v>1990</v>
      </c>
    </row>
    <row r="4235">
      <c r="A4235" s="28">
        <v>44878.0</v>
      </c>
      <c r="B4235" s="20" t="s">
        <v>528</v>
      </c>
      <c r="C4235" s="20">
        <v>20.0</v>
      </c>
      <c r="D4235" s="20" t="s">
        <v>1991</v>
      </c>
    </row>
    <row r="4236">
      <c r="A4236" s="26">
        <v>44878.6512978588</v>
      </c>
      <c r="B4236" s="20" t="s">
        <v>528</v>
      </c>
      <c r="C4236" s="20">
        <v>30.0</v>
      </c>
      <c r="D4236" s="20" t="s">
        <v>1990</v>
      </c>
    </row>
    <row r="4237">
      <c r="A4237" s="26">
        <v>44878.65725576389</v>
      </c>
      <c r="B4237" s="20" t="s">
        <v>411</v>
      </c>
      <c r="C4237" s="20">
        <v>14.0</v>
      </c>
      <c r="D4237" s="20" t="s">
        <v>1991</v>
      </c>
    </row>
    <row r="4238">
      <c r="A4238" s="28">
        <v>44880.0</v>
      </c>
      <c r="B4238" s="20" t="s">
        <v>2057</v>
      </c>
      <c r="C4238" s="20">
        <v>16.0</v>
      </c>
      <c r="D4238" s="20" t="s">
        <v>1991</v>
      </c>
    </row>
    <row r="4239">
      <c r="A4239" s="28">
        <v>44880.0</v>
      </c>
      <c r="B4239" s="20" t="s">
        <v>2057</v>
      </c>
      <c r="C4239" s="20">
        <v>6.0</v>
      </c>
      <c r="D4239" s="20" t="s">
        <v>1990</v>
      </c>
    </row>
    <row r="4240">
      <c r="A4240" s="28">
        <v>44880.0</v>
      </c>
      <c r="B4240" s="20" t="s">
        <v>1137</v>
      </c>
      <c r="C4240" s="20">
        <v>20.0</v>
      </c>
      <c r="D4240" s="20" t="s">
        <v>1991</v>
      </c>
    </row>
    <row r="4241">
      <c r="A4241" s="28">
        <v>44880.0</v>
      </c>
      <c r="B4241" s="20" t="s">
        <v>1137</v>
      </c>
      <c r="C4241" s="20">
        <v>18.0</v>
      </c>
      <c r="D4241" s="20" t="s">
        <v>1990</v>
      </c>
    </row>
    <row r="4242">
      <c r="A4242" s="26">
        <v>44880.624109826385</v>
      </c>
      <c r="B4242" s="20" t="s">
        <v>384</v>
      </c>
      <c r="C4242" s="20">
        <v>8.0</v>
      </c>
      <c r="D4242" s="20" t="s">
        <v>1991</v>
      </c>
    </row>
    <row r="4243">
      <c r="A4243" s="26">
        <v>44880.62434568287</v>
      </c>
      <c r="B4243" s="20" t="s">
        <v>384</v>
      </c>
      <c r="C4243" s="20">
        <v>3.0</v>
      </c>
      <c r="D4243" s="20" t="s">
        <v>1990</v>
      </c>
    </row>
    <row r="4244">
      <c r="A4244" s="26">
        <v>44880.68576486111</v>
      </c>
      <c r="B4244" s="20" t="s">
        <v>1946</v>
      </c>
      <c r="C4244" s="20">
        <v>15.0</v>
      </c>
      <c r="D4244" s="20" t="s">
        <v>1991</v>
      </c>
    </row>
    <row r="4245">
      <c r="A4245" s="26">
        <v>44880.68590494213</v>
      </c>
      <c r="B4245" s="20" t="s">
        <v>1946</v>
      </c>
      <c r="C4245" s="20">
        <v>1.0</v>
      </c>
      <c r="D4245" s="20" t="s">
        <v>1990</v>
      </c>
    </row>
    <row r="4246">
      <c r="A4246" s="26">
        <v>44880.685907719904</v>
      </c>
      <c r="B4246" s="20" t="s">
        <v>1970</v>
      </c>
      <c r="C4246" s="20">
        <v>12.0</v>
      </c>
      <c r="D4246" s="20" t="s">
        <v>1991</v>
      </c>
    </row>
    <row r="4247">
      <c r="A4247" s="26">
        <v>44880.6919765625</v>
      </c>
      <c r="B4247" s="20" t="s">
        <v>2035</v>
      </c>
      <c r="C4247" s="20">
        <v>18.0</v>
      </c>
      <c r="D4247" s="20" t="s">
        <v>1991</v>
      </c>
    </row>
    <row r="4248">
      <c r="A4248" s="26">
        <v>44880.69219206019</v>
      </c>
      <c r="B4248" s="20" t="s">
        <v>2035</v>
      </c>
      <c r="C4248" s="20">
        <v>20.0</v>
      </c>
      <c r="D4248" s="20" t="s">
        <v>1990</v>
      </c>
    </row>
    <row r="4249">
      <c r="A4249" s="26">
        <v>44880.69514390046</v>
      </c>
      <c r="B4249" s="20" t="s">
        <v>1996</v>
      </c>
      <c r="C4249" s="20">
        <v>20.0</v>
      </c>
      <c r="D4249" s="20" t="s">
        <v>1991</v>
      </c>
    </row>
    <row r="4250">
      <c r="A4250" s="26">
        <v>44880.69529</v>
      </c>
      <c r="B4250" s="20" t="s">
        <v>1996</v>
      </c>
      <c r="C4250" s="20">
        <v>12.0</v>
      </c>
      <c r="D4250" s="20" t="s">
        <v>1990</v>
      </c>
    </row>
    <row r="4251">
      <c r="A4251" s="26">
        <v>44880.69571677083</v>
      </c>
      <c r="B4251" s="20" t="s">
        <v>528</v>
      </c>
      <c r="C4251" s="20">
        <v>17.0</v>
      </c>
      <c r="D4251" s="20" t="s">
        <v>1991</v>
      </c>
    </row>
    <row r="4252">
      <c r="A4252" s="26">
        <v>44880.69585087963</v>
      </c>
      <c r="B4252" s="20" t="s">
        <v>528</v>
      </c>
      <c r="C4252" s="20">
        <v>20.0</v>
      </c>
      <c r="D4252" s="20" t="s">
        <v>1990</v>
      </c>
    </row>
    <row r="4253">
      <c r="A4253" s="26">
        <v>44880.6969791088</v>
      </c>
      <c r="B4253" s="20" t="s">
        <v>191</v>
      </c>
      <c r="C4253" s="20">
        <v>11.0</v>
      </c>
      <c r="D4253" s="20" t="s">
        <v>1990</v>
      </c>
    </row>
    <row r="4254">
      <c r="A4254" s="26">
        <v>44880.69733597222</v>
      </c>
      <c r="B4254" s="20" t="s">
        <v>193</v>
      </c>
      <c r="C4254" s="20">
        <v>18.0</v>
      </c>
      <c r="D4254" s="20" t="s">
        <v>1991</v>
      </c>
    </row>
    <row r="4255">
      <c r="A4255" s="26">
        <v>44880.697943680556</v>
      </c>
      <c r="B4255" s="20" t="s">
        <v>614</v>
      </c>
      <c r="C4255" s="20">
        <v>20.0</v>
      </c>
      <c r="D4255" s="20" t="s">
        <v>1991</v>
      </c>
    </row>
    <row r="4256">
      <c r="A4256" s="26">
        <v>44880.69817574074</v>
      </c>
      <c r="B4256" s="20" t="s">
        <v>614</v>
      </c>
      <c r="C4256" s="20">
        <v>21.0</v>
      </c>
      <c r="D4256" s="20" t="s">
        <v>1990</v>
      </c>
    </row>
    <row r="4257">
      <c r="A4257" s="26">
        <v>44880.69868086805</v>
      </c>
      <c r="B4257" s="20" t="s">
        <v>163</v>
      </c>
      <c r="C4257" s="20">
        <v>23.0</v>
      </c>
      <c r="D4257" s="20" t="s">
        <v>1991</v>
      </c>
    </row>
    <row r="4258">
      <c r="A4258" s="26">
        <v>44880.699394131945</v>
      </c>
      <c r="B4258" s="20" t="s">
        <v>163</v>
      </c>
      <c r="C4258" s="20">
        <v>27.0</v>
      </c>
      <c r="D4258" s="20" t="s">
        <v>1990</v>
      </c>
    </row>
    <row r="4259">
      <c r="A4259" s="28">
        <v>44881.0</v>
      </c>
      <c r="B4259" s="20" t="s">
        <v>366</v>
      </c>
      <c r="C4259" s="20">
        <v>18.0</v>
      </c>
      <c r="D4259" s="20" t="s">
        <v>1991</v>
      </c>
    </row>
    <row r="4260">
      <c r="A4260" s="28">
        <v>44881.0</v>
      </c>
      <c r="B4260" s="20" t="s">
        <v>366</v>
      </c>
      <c r="C4260" s="20">
        <v>8.0</v>
      </c>
      <c r="D4260" s="20" t="s">
        <v>1990</v>
      </c>
    </row>
    <row r="4261">
      <c r="A4261" s="28">
        <v>44881.0</v>
      </c>
      <c r="B4261" s="20" t="s">
        <v>1610</v>
      </c>
      <c r="C4261" s="20">
        <v>20.0</v>
      </c>
      <c r="D4261" s="20" t="s">
        <v>1991</v>
      </c>
    </row>
    <row r="4262">
      <c r="A4262" s="28">
        <v>44881.0</v>
      </c>
      <c r="B4262" s="20" t="s">
        <v>1610</v>
      </c>
      <c r="C4262" s="20">
        <v>3.0</v>
      </c>
      <c r="D4262" s="20" t="s">
        <v>1990</v>
      </c>
    </row>
    <row r="4263">
      <c r="A4263" s="26">
        <v>44881.6896209838</v>
      </c>
      <c r="B4263" s="20" t="s">
        <v>803</v>
      </c>
      <c r="C4263" s="20">
        <v>95.0</v>
      </c>
      <c r="D4263" s="20" t="s">
        <v>1990</v>
      </c>
    </row>
    <row r="4264">
      <c r="A4264" s="26">
        <v>44881.700121041664</v>
      </c>
      <c r="B4264" s="20" t="s">
        <v>177</v>
      </c>
      <c r="C4264" s="20">
        <v>19.0</v>
      </c>
      <c r="D4264" s="20" t="s">
        <v>1991</v>
      </c>
    </row>
    <row r="4265">
      <c r="A4265" s="26">
        <v>44881.70080734954</v>
      </c>
      <c r="B4265" s="20" t="s">
        <v>177</v>
      </c>
      <c r="C4265" s="20">
        <v>6.0</v>
      </c>
      <c r="D4265" s="20" t="s">
        <v>1990</v>
      </c>
    </row>
    <row r="4266">
      <c r="A4266" s="26">
        <v>44881.77721917824</v>
      </c>
      <c r="B4266" s="20" t="s">
        <v>384</v>
      </c>
      <c r="C4266" s="20">
        <v>21.0</v>
      </c>
      <c r="D4266" s="20" t="s">
        <v>1990</v>
      </c>
    </row>
    <row r="4267">
      <c r="A4267" s="26">
        <v>44881.82594476852</v>
      </c>
      <c r="B4267" s="20" t="s">
        <v>2059</v>
      </c>
      <c r="C4267" s="20">
        <v>5.0</v>
      </c>
      <c r="D4267" s="20" t="s">
        <v>1991</v>
      </c>
    </row>
    <row r="4268">
      <c r="A4268" s="26">
        <v>44881.82746583333</v>
      </c>
      <c r="B4268" s="20" t="s">
        <v>1551</v>
      </c>
      <c r="C4268" s="20">
        <v>6.0</v>
      </c>
      <c r="D4268" s="20" t="s">
        <v>1991</v>
      </c>
    </row>
    <row r="4269">
      <c r="A4269" s="26">
        <v>44881.82858061342</v>
      </c>
      <c r="B4269" s="20" t="s">
        <v>821</v>
      </c>
      <c r="C4269" s="20">
        <v>11.0</v>
      </c>
      <c r="D4269" s="20" t="s">
        <v>1991</v>
      </c>
    </row>
    <row r="4270">
      <c r="A4270" s="26">
        <v>44881.829681724535</v>
      </c>
      <c r="B4270" s="20" t="s">
        <v>2071</v>
      </c>
      <c r="C4270" s="20">
        <v>8.0</v>
      </c>
      <c r="D4270" s="20" t="s">
        <v>1991</v>
      </c>
    </row>
    <row r="4271">
      <c r="A4271" s="26">
        <v>44881.82981365741</v>
      </c>
      <c r="B4271" s="20" t="s">
        <v>2072</v>
      </c>
      <c r="C4271" s="20">
        <v>13.0</v>
      </c>
      <c r="D4271" s="20" t="s">
        <v>1991</v>
      </c>
    </row>
    <row r="4272">
      <c r="A4272" s="26">
        <v>44881.83117844907</v>
      </c>
      <c r="B4272" s="20" t="s">
        <v>824</v>
      </c>
      <c r="C4272" s="20">
        <v>19.0</v>
      </c>
      <c r="D4272" s="20" t="s">
        <v>1991</v>
      </c>
    </row>
    <row r="4273">
      <c r="A4273" s="26">
        <v>44881.831309699075</v>
      </c>
      <c r="B4273" s="20" t="s">
        <v>760</v>
      </c>
      <c r="C4273" s="20">
        <v>6.0</v>
      </c>
      <c r="D4273" s="20" t="s">
        <v>1990</v>
      </c>
    </row>
    <row r="4274">
      <c r="A4274" s="26">
        <v>44882.0304150463</v>
      </c>
      <c r="B4274" s="20" t="s">
        <v>2073</v>
      </c>
      <c r="C4274" s="20">
        <v>3.0</v>
      </c>
      <c r="D4274" s="20" t="s">
        <v>1990</v>
      </c>
    </row>
    <row r="4275">
      <c r="A4275" s="28">
        <v>44882.0</v>
      </c>
      <c r="B4275" s="20" t="s">
        <v>163</v>
      </c>
      <c r="C4275" s="20">
        <v>12.0</v>
      </c>
      <c r="D4275" s="20" t="s">
        <v>1991</v>
      </c>
    </row>
    <row r="4276">
      <c r="A4276" s="28">
        <v>44882.0</v>
      </c>
      <c r="B4276" s="20" t="s">
        <v>1866</v>
      </c>
      <c r="C4276" s="20">
        <v>23.0</v>
      </c>
      <c r="D4276" s="20" t="s">
        <v>1991</v>
      </c>
    </row>
    <row r="4277">
      <c r="A4277" s="28">
        <v>44882.0</v>
      </c>
      <c r="B4277" s="20" t="s">
        <v>1905</v>
      </c>
      <c r="C4277" s="20">
        <v>17.0</v>
      </c>
      <c r="D4277" s="20" t="s">
        <v>1991</v>
      </c>
    </row>
    <row r="4278">
      <c r="A4278" s="28">
        <v>44882.0</v>
      </c>
      <c r="B4278" s="20" t="s">
        <v>1905</v>
      </c>
      <c r="C4278" s="20">
        <v>2.0</v>
      </c>
      <c r="D4278" s="20" t="s">
        <v>1990</v>
      </c>
    </row>
    <row r="4279">
      <c r="A4279" s="28">
        <v>44882.0</v>
      </c>
      <c r="B4279" s="20" t="s">
        <v>1871</v>
      </c>
      <c r="C4279" s="20">
        <v>19.0</v>
      </c>
      <c r="D4279" s="20" t="s">
        <v>1991</v>
      </c>
    </row>
    <row r="4280">
      <c r="A4280" s="28">
        <v>44882.0</v>
      </c>
      <c r="B4280" s="20" t="s">
        <v>1871</v>
      </c>
      <c r="C4280" s="20">
        <v>19.0</v>
      </c>
      <c r="D4280" s="20" t="s">
        <v>1990</v>
      </c>
    </row>
    <row r="4281">
      <c r="A4281" s="28">
        <v>44882.0</v>
      </c>
      <c r="B4281" s="20" t="s">
        <v>1924</v>
      </c>
      <c r="C4281" s="20">
        <v>20.0</v>
      </c>
      <c r="D4281" s="20" t="s">
        <v>1991</v>
      </c>
    </row>
    <row r="4282">
      <c r="A4282" s="28">
        <v>44882.0</v>
      </c>
      <c r="B4282" s="20" t="s">
        <v>1924</v>
      </c>
      <c r="C4282" s="20">
        <v>1.0</v>
      </c>
      <c r="D4282" s="20" t="s">
        <v>1990</v>
      </c>
    </row>
    <row r="4283">
      <c r="A4283" s="28">
        <v>44882.0</v>
      </c>
      <c r="B4283" s="20" t="s">
        <v>777</v>
      </c>
      <c r="C4283" s="20">
        <v>13.0</v>
      </c>
      <c r="D4283" s="20" t="s">
        <v>1991</v>
      </c>
    </row>
    <row r="4284">
      <c r="A4284" s="28">
        <v>44882.0</v>
      </c>
      <c r="B4284" s="20" t="s">
        <v>777</v>
      </c>
      <c r="C4284" s="20">
        <v>5.0</v>
      </c>
      <c r="D4284" s="20" t="s">
        <v>1990</v>
      </c>
    </row>
    <row r="4285">
      <c r="A4285" s="28">
        <v>44882.0</v>
      </c>
      <c r="B4285" s="20" t="s">
        <v>2074</v>
      </c>
      <c r="C4285" s="20">
        <v>17.0</v>
      </c>
      <c r="D4285" s="20" t="s">
        <v>1991</v>
      </c>
    </row>
    <row r="4286">
      <c r="A4286" s="26">
        <v>44882.825176666665</v>
      </c>
      <c r="B4286" s="20" t="s">
        <v>1914</v>
      </c>
      <c r="C4286" s="20">
        <v>20.0</v>
      </c>
      <c r="D4286" s="20" t="s">
        <v>1991</v>
      </c>
    </row>
    <row r="4287">
      <c r="A4287" s="28">
        <v>44882.0</v>
      </c>
      <c r="B4287" s="20" t="s">
        <v>1914</v>
      </c>
      <c r="C4287" s="20">
        <v>1.0</v>
      </c>
      <c r="D4287" s="20" t="s">
        <v>1990</v>
      </c>
    </row>
    <row r="4288">
      <c r="A4288" s="26">
        <v>44882.82573298611</v>
      </c>
      <c r="B4288" s="20" t="s">
        <v>1325</v>
      </c>
      <c r="C4288" s="20">
        <v>17.0</v>
      </c>
      <c r="D4288" s="20" t="s">
        <v>1991</v>
      </c>
    </row>
    <row r="4289">
      <c r="A4289" s="26">
        <v>44882.82594689815</v>
      </c>
      <c r="B4289" s="20" t="s">
        <v>1325</v>
      </c>
      <c r="C4289" s="20">
        <v>5.0</v>
      </c>
      <c r="D4289" s="20" t="s">
        <v>1990</v>
      </c>
    </row>
    <row r="4290">
      <c r="A4290" s="28">
        <v>44883.0</v>
      </c>
      <c r="B4290" s="20" t="s">
        <v>1965</v>
      </c>
      <c r="C4290" s="20">
        <v>20.0</v>
      </c>
      <c r="D4290" s="20" t="s">
        <v>1991</v>
      </c>
    </row>
    <row r="4291">
      <c r="A4291" s="28">
        <v>44883.0</v>
      </c>
      <c r="B4291" s="20" t="s">
        <v>1965</v>
      </c>
      <c r="C4291" s="20">
        <v>7.0</v>
      </c>
      <c r="D4291" s="20" t="s">
        <v>1990</v>
      </c>
    </row>
    <row r="4292">
      <c r="A4292" s="28">
        <v>44883.0</v>
      </c>
      <c r="B4292" s="20" t="s">
        <v>2075</v>
      </c>
      <c r="C4292" s="20">
        <v>14.0</v>
      </c>
      <c r="D4292" s="20" t="s">
        <v>1991</v>
      </c>
    </row>
    <row r="4293">
      <c r="A4293" s="26">
        <v>44883.68982364584</v>
      </c>
      <c r="B4293" s="20" t="s">
        <v>344</v>
      </c>
      <c r="C4293" s="20">
        <v>14.0</v>
      </c>
      <c r="D4293" s="20" t="s">
        <v>1991</v>
      </c>
    </row>
    <row r="4294">
      <c r="A4294" s="26">
        <v>44883.69014934028</v>
      </c>
      <c r="B4294" s="20" t="s">
        <v>344</v>
      </c>
      <c r="C4294" s="20">
        <v>19.0</v>
      </c>
      <c r="D4294" s="20" t="s">
        <v>1990</v>
      </c>
    </row>
    <row r="4295">
      <c r="A4295" s="26">
        <v>44883.697161805554</v>
      </c>
      <c r="B4295" s="20" t="s">
        <v>366</v>
      </c>
      <c r="C4295" s="20">
        <v>33.0</v>
      </c>
      <c r="D4295" s="20" t="s">
        <v>1990</v>
      </c>
    </row>
    <row r="4296">
      <c r="A4296" s="26">
        <v>44883.70468524305</v>
      </c>
      <c r="B4296" s="20" t="s">
        <v>576</v>
      </c>
      <c r="C4296" s="20">
        <v>8.0</v>
      </c>
      <c r="D4296" s="20" t="s">
        <v>1991</v>
      </c>
    </row>
    <row r="4297">
      <c r="A4297" s="26">
        <v>44883.71155596065</v>
      </c>
      <c r="B4297" s="20" t="s">
        <v>366</v>
      </c>
      <c r="C4297" s="20">
        <v>14.0</v>
      </c>
      <c r="D4297" s="20" t="s">
        <v>1991</v>
      </c>
    </row>
    <row r="4298">
      <c r="A4298" s="28">
        <v>44884.0</v>
      </c>
      <c r="B4298" s="20" t="s">
        <v>366</v>
      </c>
      <c r="C4298" s="20">
        <v>15.0</v>
      </c>
      <c r="D4298" s="20" t="s">
        <v>1991</v>
      </c>
    </row>
    <row r="4299">
      <c r="A4299" s="28">
        <v>44884.0</v>
      </c>
      <c r="B4299" s="20" t="s">
        <v>366</v>
      </c>
      <c r="C4299" s="20">
        <v>9.0</v>
      </c>
      <c r="D4299" s="20" t="s">
        <v>1990</v>
      </c>
    </row>
    <row r="4300">
      <c r="A4300" s="28">
        <v>44884.0</v>
      </c>
      <c r="B4300" s="20" t="s">
        <v>2076</v>
      </c>
      <c r="C4300" s="20">
        <v>10.0</v>
      </c>
      <c r="D4300" s="20" t="s">
        <v>1991</v>
      </c>
    </row>
    <row r="4301">
      <c r="A4301" s="28">
        <v>44884.0</v>
      </c>
      <c r="B4301" s="20" t="s">
        <v>2076</v>
      </c>
      <c r="C4301" s="20">
        <v>2.0</v>
      </c>
      <c r="D4301" s="20" t="s">
        <v>1990</v>
      </c>
    </row>
    <row r="4302">
      <c r="A4302" s="28">
        <v>44884.0</v>
      </c>
      <c r="B4302" s="20" t="s">
        <v>217</v>
      </c>
      <c r="C4302" s="20">
        <v>15.0</v>
      </c>
      <c r="D4302" s="20" t="s">
        <v>1991</v>
      </c>
    </row>
    <row r="4303">
      <c r="A4303" s="28">
        <v>44884.0</v>
      </c>
      <c r="B4303" s="20" t="s">
        <v>1909</v>
      </c>
      <c r="C4303" s="20">
        <v>20.0</v>
      </c>
      <c r="D4303" s="20" t="s">
        <v>1991</v>
      </c>
    </row>
    <row r="4304">
      <c r="A4304" s="28">
        <v>44884.0</v>
      </c>
      <c r="B4304" s="20" t="s">
        <v>1909</v>
      </c>
      <c r="C4304" s="20">
        <v>4.0</v>
      </c>
      <c r="D4304" s="20" t="s">
        <v>1990</v>
      </c>
    </row>
    <row r="4305">
      <c r="A4305" s="26">
        <v>44884.706963136574</v>
      </c>
      <c r="B4305" s="20" t="s">
        <v>971</v>
      </c>
      <c r="C4305" s="20">
        <v>20.0</v>
      </c>
      <c r="D4305" s="20" t="s">
        <v>1991</v>
      </c>
    </row>
    <row r="4306">
      <c r="A4306" s="26">
        <v>44884.70918200232</v>
      </c>
      <c r="B4306" s="20" t="s">
        <v>2077</v>
      </c>
      <c r="C4306" s="20">
        <v>6.0</v>
      </c>
      <c r="D4306" s="20" t="s">
        <v>1991</v>
      </c>
    </row>
    <row r="4307">
      <c r="A4307" s="26">
        <v>44884.7135322338</v>
      </c>
      <c r="B4307" s="20" t="s">
        <v>91</v>
      </c>
      <c r="C4307" s="20">
        <v>10.0</v>
      </c>
      <c r="D4307" s="20" t="s">
        <v>1991</v>
      </c>
    </row>
    <row r="4308">
      <c r="A4308" s="26">
        <v>44884.71454476852</v>
      </c>
      <c r="B4308" s="20" t="s">
        <v>2027</v>
      </c>
      <c r="C4308" s="20">
        <v>15.0</v>
      </c>
      <c r="D4308" s="20" t="s">
        <v>1991</v>
      </c>
    </row>
    <row r="4309">
      <c r="A4309" s="26">
        <v>44884.714824282404</v>
      </c>
      <c r="B4309" s="20" t="s">
        <v>2078</v>
      </c>
      <c r="C4309" s="20">
        <v>12.0</v>
      </c>
      <c r="D4309" s="20" t="s">
        <v>1991</v>
      </c>
    </row>
    <row r="4310">
      <c r="A4310" s="28">
        <v>44884.0</v>
      </c>
      <c r="B4310" s="20" t="s">
        <v>2078</v>
      </c>
      <c r="C4310" s="20">
        <v>1.0</v>
      </c>
      <c r="D4310" s="20" t="s">
        <v>1990</v>
      </c>
    </row>
    <row r="4311">
      <c r="A4311" s="26">
        <v>44884.71566372685</v>
      </c>
      <c r="B4311" s="20" t="s">
        <v>2079</v>
      </c>
      <c r="C4311" s="20">
        <v>6.0</v>
      </c>
      <c r="D4311" s="20" t="s">
        <v>1991</v>
      </c>
    </row>
    <row r="4312">
      <c r="A4312" s="26">
        <v>44884.71609350694</v>
      </c>
      <c r="B4312" s="20" t="s">
        <v>1524</v>
      </c>
      <c r="C4312" s="20">
        <v>5.0</v>
      </c>
      <c r="D4312" s="20" t="s">
        <v>1991</v>
      </c>
    </row>
    <row r="4313">
      <c r="A4313" s="26">
        <v>44884.742264988425</v>
      </c>
      <c r="B4313" s="20" t="s">
        <v>614</v>
      </c>
      <c r="C4313" s="20">
        <v>15.0</v>
      </c>
      <c r="D4313" s="20" t="s">
        <v>1991</v>
      </c>
    </row>
    <row r="4314">
      <c r="A4314" s="26">
        <v>44884.742435057866</v>
      </c>
      <c r="B4314" s="20" t="s">
        <v>614</v>
      </c>
      <c r="C4314" s="20">
        <v>10.0</v>
      </c>
      <c r="D4314" s="20" t="s">
        <v>1990</v>
      </c>
    </row>
    <row r="4315">
      <c r="A4315" s="28">
        <v>44885.0</v>
      </c>
      <c r="B4315" s="20" t="s">
        <v>1969</v>
      </c>
      <c r="C4315" s="20">
        <v>15.0</v>
      </c>
      <c r="D4315" s="20" t="s">
        <v>1991</v>
      </c>
    </row>
    <row r="4316">
      <c r="A4316" s="28">
        <v>44885.0</v>
      </c>
      <c r="B4316" s="20" t="s">
        <v>1969</v>
      </c>
      <c r="C4316" s="20">
        <v>20.0</v>
      </c>
      <c r="D4316" s="20" t="s">
        <v>1990</v>
      </c>
    </row>
    <row r="4317">
      <c r="A4317" s="28">
        <v>44885.0</v>
      </c>
      <c r="B4317" s="20" t="s">
        <v>191</v>
      </c>
      <c r="C4317" s="20">
        <v>18.0</v>
      </c>
      <c r="D4317" s="20" t="s">
        <v>1991</v>
      </c>
    </row>
    <row r="4318">
      <c r="A4318" s="28">
        <v>44885.0</v>
      </c>
      <c r="B4318" s="20" t="s">
        <v>1137</v>
      </c>
      <c r="C4318" s="20">
        <v>20.0</v>
      </c>
      <c r="D4318" s="20" t="s">
        <v>1991</v>
      </c>
    </row>
    <row r="4319">
      <c r="A4319" s="28">
        <v>44885.0</v>
      </c>
      <c r="B4319" s="20" t="s">
        <v>1137</v>
      </c>
      <c r="C4319" s="20">
        <v>42.0</v>
      </c>
      <c r="D4319" s="20" t="s">
        <v>1990</v>
      </c>
    </row>
    <row r="4320">
      <c r="A4320" s="26">
        <v>44885.648772361106</v>
      </c>
      <c r="B4320" s="20" t="s">
        <v>2080</v>
      </c>
      <c r="C4320" s="20">
        <v>20.0</v>
      </c>
      <c r="D4320" s="20" t="s">
        <v>1991</v>
      </c>
    </row>
    <row r="4321">
      <c r="A4321" s="26">
        <v>44885.649711666665</v>
      </c>
      <c r="B4321" s="20" t="s">
        <v>553</v>
      </c>
      <c r="C4321" s="20">
        <v>20.0</v>
      </c>
      <c r="D4321" s="20" t="s">
        <v>1991</v>
      </c>
    </row>
    <row r="4322">
      <c r="A4322" s="26">
        <v>44885.65317929398</v>
      </c>
      <c r="B4322" s="20" t="s">
        <v>611</v>
      </c>
      <c r="C4322" s="20">
        <v>8.0</v>
      </c>
      <c r="D4322" s="20" t="s">
        <v>1991</v>
      </c>
    </row>
    <row r="4323">
      <c r="A4323" s="26">
        <v>44885.65737664352</v>
      </c>
      <c r="B4323" s="20" t="s">
        <v>528</v>
      </c>
      <c r="C4323" s="20">
        <v>20.0</v>
      </c>
      <c r="D4323" s="20" t="s">
        <v>1991</v>
      </c>
    </row>
    <row r="4324">
      <c r="A4324" s="26">
        <v>44885.65749751157</v>
      </c>
      <c r="B4324" s="20" t="s">
        <v>528</v>
      </c>
      <c r="C4324" s="20">
        <v>22.0</v>
      </c>
      <c r="D4324" s="20" t="s">
        <v>1990</v>
      </c>
    </row>
    <row r="4325">
      <c r="A4325" s="26">
        <v>44885.65858766204</v>
      </c>
      <c r="B4325" s="20" t="s">
        <v>411</v>
      </c>
      <c r="C4325" s="20">
        <v>18.0</v>
      </c>
      <c r="D4325" s="20" t="s">
        <v>1991</v>
      </c>
    </row>
    <row r="4326">
      <c r="A4326" s="26">
        <v>44885.65982626157</v>
      </c>
      <c r="B4326" s="20" t="s">
        <v>2081</v>
      </c>
      <c r="C4326" s="20">
        <v>14.0</v>
      </c>
      <c r="D4326" s="20" t="s">
        <v>1990</v>
      </c>
    </row>
    <row r="4327">
      <c r="A4327" s="26">
        <v>44885.65997331019</v>
      </c>
      <c r="B4327" s="20" t="s">
        <v>1350</v>
      </c>
      <c r="C4327" s="20">
        <v>20.0</v>
      </c>
      <c r="D4327" s="20" t="s">
        <v>1991</v>
      </c>
    </row>
    <row r="4328">
      <c r="A4328" s="28">
        <v>44887.0</v>
      </c>
      <c r="B4328" s="20" t="s">
        <v>2082</v>
      </c>
      <c r="C4328" s="20">
        <v>15.0</v>
      </c>
      <c r="D4328" s="20" t="s">
        <v>1991</v>
      </c>
    </row>
    <row r="4329">
      <c r="A4329" s="28">
        <v>44887.0</v>
      </c>
      <c r="B4329" s="20" t="s">
        <v>2082</v>
      </c>
      <c r="C4329" s="20">
        <v>7.0</v>
      </c>
      <c r="D4329" s="20" t="s">
        <v>1990</v>
      </c>
    </row>
    <row r="4330">
      <c r="A4330" s="28">
        <v>44887.0</v>
      </c>
      <c r="B4330" s="20" t="s">
        <v>366</v>
      </c>
      <c r="C4330" s="20">
        <v>12.0</v>
      </c>
      <c r="D4330" s="20" t="s">
        <v>1991</v>
      </c>
    </row>
    <row r="4331">
      <c r="A4331" s="28">
        <v>44887.0</v>
      </c>
      <c r="B4331" s="20" t="s">
        <v>366</v>
      </c>
      <c r="C4331" s="20">
        <v>28.0</v>
      </c>
      <c r="D4331" s="20" t="s">
        <v>1990</v>
      </c>
    </row>
    <row r="4332">
      <c r="A4332" s="28">
        <v>44887.0</v>
      </c>
      <c r="B4332" s="20" t="s">
        <v>1137</v>
      </c>
      <c r="C4332" s="20">
        <v>6.0</v>
      </c>
      <c r="D4332" s="20" t="s">
        <v>1991</v>
      </c>
    </row>
    <row r="4333">
      <c r="A4333" s="28">
        <v>44887.0</v>
      </c>
      <c r="B4333" s="20" t="s">
        <v>1137</v>
      </c>
      <c r="C4333" s="20">
        <v>40.0</v>
      </c>
      <c r="D4333" s="20" t="s">
        <v>1990</v>
      </c>
    </row>
    <row r="4334">
      <c r="A4334" s="26">
        <v>44887.69772107639</v>
      </c>
      <c r="B4334" s="20" t="s">
        <v>1946</v>
      </c>
      <c r="C4334" s="20">
        <v>17.0</v>
      </c>
      <c r="D4334" s="20" t="s">
        <v>1991</v>
      </c>
    </row>
    <row r="4335">
      <c r="A4335" s="26">
        <v>44887.6977797338</v>
      </c>
      <c r="B4335" s="20" t="s">
        <v>2057</v>
      </c>
      <c r="C4335" s="20">
        <v>18.0</v>
      </c>
      <c r="D4335" s="20" t="s">
        <v>1991</v>
      </c>
    </row>
    <row r="4336">
      <c r="A4336" s="26">
        <v>44887.69787506944</v>
      </c>
      <c r="B4336" s="20" t="s">
        <v>1946</v>
      </c>
      <c r="C4336" s="20">
        <v>3.0</v>
      </c>
      <c r="D4336" s="20" t="s">
        <v>1990</v>
      </c>
    </row>
    <row r="4337">
      <c r="A4337" s="26">
        <v>44887.698283645834</v>
      </c>
      <c r="B4337" s="20" t="s">
        <v>2057</v>
      </c>
      <c r="C4337" s="20">
        <v>1.0</v>
      </c>
      <c r="D4337" s="20" t="s">
        <v>1990</v>
      </c>
    </row>
    <row r="4338">
      <c r="A4338" s="26">
        <v>44887.70165451389</v>
      </c>
      <c r="B4338" s="20" t="s">
        <v>528</v>
      </c>
      <c r="C4338" s="20">
        <v>20.0</v>
      </c>
      <c r="D4338" s="20" t="s">
        <v>1991</v>
      </c>
    </row>
    <row r="4339">
      <c r="A4339" s="26">
        <v>44887.70179172454</v>
      </c>
      <c r="B4339" s="20" t="s">
        <v>528</v>
      </c>
      <c r="C4339" s="20">
        <v>41.0</v>
      </c>
      <c r="D4339" s="20" t="s">
        <v>1990</v>
      </c>
    </row>
    <row r="4340">
      <c r="A4340" s="26">
        <v>44887.701858761575</v>
      </c>
      <c r="B4340" s="20" t="s">
        <v>1996</v>
      </c>
      <c r="C4340" s="20">
        <v>20.0</v>
      </c>
      <c r="D4340" s="20" t="s">
        <v>1991</v>
      </c>
    </row>
    <row r="4341">
      <c r="A4341" s="26">
        <v>44887.70199642361</v>
      </c>
      <c r="B4341" s="20" t="s">
        <v>1996</v>
      </c>
      <c r="C4341" s="20">
        <v>13.0</v>
      </c>
      <c r="D4341" s="20" t="s">
        <v>1990</v>
      </c>
    </row>
    <row r="4342">
      <c r="A4342" s="26">
        <v>44887.70569203704</v>
      </c>
      <c r="B4342" s="20" t="s">
        <v>614</v>
      </c>
      <c r="C4342" s="20">
        <v>18.0</v>
      </c>
      <c r="D4342" s="20" t="s">
        <v>1991</v>
      </c>
    </row>
    <row r="4343">
      <c r="A4343" s="26">
        <v>44887.70583672453</v>
      </c>
      <c r="B4343" s="20" t="s">
        <v>614</v>
      </c>
      <c r="C4343" s="20">
        <v>25.0</v>
      </c>
      <c r="D4343" s="20" t="s">
        <v>1990</v>
      </c>
    </row>
    <row r="4344">
      <c r="A4344" s="26">
        <v>44887.70788935185</v>
      </c>
      <c r="B4344" s="20" t="s">
        <v>163</v>
      </c>
      <c r="C4344" s="20">
        <v>38.0</v>
      </c>
      <c r="D4344" s="20" t="s">
        <v>1991</v>
      </c>
    </row>
    <row r="4345">
      <c r="A4345" s="26">
        <v>44887.708165069445</v>
      </c>
      <c r="B4345" s="20" t="s">
        <v>163</v>
      </c>
      <c r="C4345" s="20">
        <v>29.0</v>
      </c>
      <c r="D4345" s="20" t="s">
        <v>1990</v>
      </c>
    </row>
    <row r="4346">
      <c r="A4346" s="26">
        <v>44887.7303187037</v>
      </c>
      <c r="B4346" s="20" t="s">
        <v>637</v>
      </c>
      <c r="C4346" s="20">
        <v>14.0</v>
      </c>
      <c r="D4346" s="20" t="s">
        <v>1990</v>
      </c>
    </row>
    <row r="4347">
      <c r="A4347" s="26">
        <v>44887.744098449075</v>
      </c>
      <c r="B4347" s="20" t="s">
        <v>637</v>
      </c>
      <c r="C4347" s="20">
        <v>16.0</v>
      </c>
      <c r="D4347" s="20" t="s">
        <v>1991</v>
      </c>
    </row>
    <row r="4348">
      <c r="A4348" s="28">
        <v>44892.0</v>
      </c>
      <c r="B4348" s="20" t="s">
        <v>366</v>
      </c>
      <c r="C4348" s="20">
        <v>18.0</v>
      </c>
      <c r="D4348" s="20" t="s">
        <v>1991</v>
      </c>
    </row>
    <row r="4349">
      <c r="A4349" s="28">
        <v>44892.0</v>
      </c>
      <c r="B4349" s="20" t="s">
        <v>366</v>
      </c>
      <c r="C4349" s="20">
        <v>21.0</v>
      </c>
      <c r="D4349" s="20" t="s">
        <v>1990</v>
      </c>
    </row>
    <row r="4350">
      <c r="A4350" s="26">
        <v>44892.66067438657</v>
      </c>
      <c r="B4350" s="20" t="s">
        <v>528</v>
      </c>
      <c r="C4350" s="20">
        <v>20.0</v>
      </c>
      <c r="D4350" s="20" t="s">
        <v>1991</v>
      </c>
    </row>
    <row r="4351">
      <c r="A4351" s="26">
        <v>44892.66079920139</v>
      </c>
      <c r="B4351" s="20" t="s">
        <v>528</v>
      </c>
      <c r="C4351" s="20">
        <v>22.0</v>
      </c>
      <c r="D4351" s="20" t="s">
        <v>1990</v>
      </c>
    </row>
    <row r="4352">
      <c r="A4352" s="26">
        <v>44892.66157098379</v>
      </c>
      <c r="B4352" s="20" t="s">
        <v>596</v>
      </c>
      <c r="C4352" s="20">
        <v>11.0</v>
      </c>
      <c r="D4352" s="20" t="s">
        <v>1991</v>
      </c>
    </row>
    <row r="4353">
      <c r="A4353" s="26">
        <v>44892.66253579861</v>
      </c>
      <c r="B4353" s="20" t="s">
        <v>411</v>
      </c>
      <c r="C4353" s="20">
        <v>20.0</v>
      </c>
      <c r="D4353" s="20" t="s">
        <v>1991</v>
      </c>
    </row>
    <row r="4354">
      <c r="A4354" s="26">
        <v>44892.66473568287</v>
      </c>
      <c r="B4354" s="20" t="s">
        <v>1943</v>
      </c>
      <c r="C4354" s="20">
        <v>19.0</v>
      </c>
      <c r="D4354" s="20" t="s">
        <v>1991</v>
      </c>
    </row>
    <row r="4355">
      <c r="A4355" s="26">
        <v>44892.66486841435</v>
      </c>
      <c r="B4355" s="20" t="s">
        <v>1943</v>
      </c>
      <c r="C4355" s="20">
        <v>39.0</v>
      </c>
      <c r="D4355" s="20" t="s">
        <v>1990</v>
      </c>
    </row>
    <row r="4356">
      <c r="A4356" s="28">
        <v>44894.0</v>
      </c>
      <c r="B4356" s="20" t="s">
        <v>528</v>
      </c>
      <c r="C4356" s="20">
        <v>20.0</v>
      </c>
      <c r="D4356" s="20" t="s">
        <v>1991</v>
      </c>
    </row>
    <row r="4357">
      <c r="A4357" s="28">
        <v>44894.0</v>
      </c>
      <c r="B4357" s="20" t="s">
        <v>528</v>
      </c>
      <c r="C4357" s="20">
        <v>22.0</v>
      </c>
      <c r="D4357" s="20" t="s">
        <v>1990</v>
      </c>
    </row>
    <row r="4358">
      <c r="A4358" s="26">
        <v>44894.61714072917</v>
      </c>
      <c r="B4358" s="20" t="s">
        <v>110</v>
      </c>
      <c r="C4358" s="20">
        <v>64.0</v>
      </c>
      <c r="D4358" s="20" t="s">
        <v>1991</v>
      </c>
    </row>
    <row r="4359">
      <c r="A4359" s="26">
        <v>44894.69689924769</v>
      </c>
      <c r="B4359" s="20" t="s">
        <v>2057</v>
      </c>
      <c r="C4359" s="20">
        <v>12.0</v>
      </c>
      <c r="D4359" s="20" t="s">
        <v>1991</v>
      </c>
    </row>
    <row r="4360">
      <c r="A4360" s="26">
        <v>44894.701049236115</v>
      </c>
      <c r="B4360" s="20" t="s">
        <v>1946</v>
      </c>
      <c r="C4360" s="20">
        <v>18.0</v>
      </c>
      <c r="D4360" s="20" t="s">
        <v>1991</v>
      </c>
    </row>
    <row r="4361">
      <c r="A4361" s="26">
        <v>44894.70122434028</v>
      </c>
      <c r="B4361" s="20" t="s">
        <v>1946</v>
      </c>
      <c r="C4361" s="20">
        <v>5.0</v>
      </c>
      <c r="D4361" s="20" t="s">
        <v>1990</v>
      </c>
    </row>
    <row r="4362">
      <c r="A4362" s="26">
        <v>44894.70556637731</v>
      </c>
      <c r="B4362" s="20" t="s">
        <v>163</v>
      </c>
      <c r="C4362" s="20">
        <v>11.0</v>
      </c>
      <c r="D4362" s="20" t="s">
        <v>1991</v>
      </c>
    </row>
    <row r="4363">
      <c r="A4363" s="26">
        <v>44894.70599641204</v>
      </c>
      <c r="B4363" s="20" t="s">
        <v>163</v>
      </c>
      <c r="C4363" s="20">
        <v>52.0</v>
      </c>
      <c r="D4363" s="20" t="s">
        <v>1990</v>
      </c>
    </row>
    <row r="4364">
      <c r="A4364" s="26">
        <v>44894.712047430556</v>
      </c>
      <c r="B4364" s="20" t="s">
        <v>614</v>
      </c>
      <c r="C4364" s="20">
        <v>18.0</v>
      </c>
      <c r="D4364" s="20" t="s">
        <v>1991</v>
      </c>
    </row>
    <row r="4365">
      <c r="A4365" s="26">
        <v>44894.712200486116</v>
      </c>
      <c r="B4365" s="20" t="s">
        <v>614</v>
      </c>
      <c r="C4365" s="20">
        <v>22.0</v>
      </c>
      <c r="D4365" s="20" t="s">
        <v>1990</v>
      </c>
    </row>
    <row r="4366">
      <c r="A4366" s="26">
        <v>44894.7125408912</v>
      </c>
      <c r="B4366" s="20" t="s">
        <v>1970</v>
      </c>
      <c r="C4366" s="20">
        <v>18.0</v>
      </c>
      <c r="D4366" s="20" t="s">
        <v>1991</v>
      </c>
    </row>
    <row r="4367">
      <c r="A4367" s="26">
        <v>44894.71325375</v>
      </c>
      <c r="B4367" s="20" t="s">
        <v>1970</v>
      </c>
      <c r="C4367" s="20">
        <v>7.0</v>
      </c>
      <c r="D4367" s="20" t="s">
        <v>1990</v>
      </c>
    </row>
    <row r="4368">
      <c r="A4368" s="26">
        <v>44894.7297646875</v>
      </c>
      <c r="B4368" s="20" t="s">
        <v>1996</v>
      </c>
      <c r="C4368" s="20">
        <v>20.0</v>
      </c>
      <c r="D4368" s="20" t="s">
        <v>1991</v>
      </c>
    </row>
    <row r="4369">
      <c r="A4369" s="26">
        <v>44894.72990384259</v>
      </c>
      <c r="B4369" s="20" t="s">
        <v>1996</v>
      </c>
      <c r="C4369" s="20">
        <v>25.0</v>
      </c>
      <c r="D4369" s="20" t="s">
        <v>1990</v>
      </c>
    </row>
    <row r="4370">
      <c r="A4370" s="28">
        <v>44895.0</v>
      </c>
      <c r="B4370" s="20" t="s">
        <v>366</v>
      </c>
      <c r="C4370" s="20">
        <v>18.0</v>
      </c>
      <c r="D4370" s="20" t="s">
        <v>1991</v>
      </c>
    </row>
    <row r="4371">
      <c r="A4371" s="28">
        <v>44895.0</v>
      </c>
      <c r="B4371" s="20" t="s">
        <v>366</v>
      </c>
      <c r="C4371" s="20">
        <v>28.0</v>
      </c>
      <c r="D4371" s="20" t="s">
        <v>1990</v>
      </c>
    </row>
    <row r="4372">
      <c r="A4372" s="28">
        <v>44895.0</v>
      </c>
      <c r="B4372" s="20" t="s">
        <v>1610</v>
      </c>
      <c r="C4372" s="20">
        <v>19.0</v>
      </c>
      <c r="D4372" s="20" t="s">
        <v>1991</v>
      </c>
    </row>
    <row r="4373">
      <c r="A4373" s="28">
        <v>44895.0</v>
      </c>
      <c r="B4373" s="20" t="s">
        <v>1610</v>
      </c>
      <c r="C4373" s="20">
        <v>6.0</v>
      </c>
      <c r="D4373" s="20" t="s">
        <v>1990</v>
      </c>
    </row>
    <row r="4374">
      <c r="A4374" s="28">
        <v>44895.0</v>
      </c>
      <c r="B4374" s="20" t="s">
        <v>2083</v>
      </c>
      <c r="C4374" s="20">
        <v>20.0</v>
      </c>
      <c r="D4374" s="20" t="s">
        <v>1991</v>
      </c>
    </row>
    <row r="4375">
      <c r="A4375" s="28">
        <v>44895.0</v>
      </c>
      <c r="B4375" s="20" t="s">
        <v>2083</v>
      </c>
      <c r="C4375" s="20">
        <v>39.0</v>
      </c>
      <c r="D4375" s="20" t="s">
        <v>1990</v>
      </c>
    </row>
    <row r="4376">
      <c r="A4376" s="28">
        <v>44895.0</v>
      </c>
      <c r="B4376" s="20" t="s">
        <v>1885</v>
      </c>
      <c r="C4376" s="20">
        <v>17.0</v>
      </c>
      <c r="D4376" s="20" t="s">
        <v>1991</v>
      </c>
    </row>
    <row r="4377">
      <c r="A4377" s="28">
        <v>44895.0</v>
      </c>
      <c r="B4377" s="20" t="s">
        <v>1885</v>
      </c>
      <c r="C4377" s="20">
        <v>28.0</v>
      </c>
      <c r="D4377" s="20" t="s">
        <v>1990</v>
      </c>
    </row>
    <row r="4378">
      <c r="A4378" s="28">
        <v>44895.0</v>
      </c>
      <c r="B4378" s="20" t="s">
        <v>2084</v>
      </c>
      <c r="C4378" s="20">
        <v>2.0</v>
      </c>
      <c r="D4378" s="20" t="s">
        <v>1991</v>
      </c>
    </row>
    <row r="4379">
      <c r="A4379" s="28">
        <v>44895.0</v>
      </c>
      <c r="B4379" s="20" t="s">
        <v>2084</v>
      </c>
      <c r="C4379" s="20">
        <v>1.0</v>
      </c>
      <c r="D4379" s="20" t="s">
        <v>1990</v>
      </c>
    </row>
    <row r="4380">
      <c r="A4380" s="28">
        <v>44895.0</v>
      </c>
      <c r="B4380" s="20" t="s">
        <v>2085</v>
      </c>
      <c r="C4380" s="20">
        <v>3.0</v>
      </c>
      <c r="D4380" s="20" t="s">
        <v>1990</v>
      </c>
    </row>
    <row r="4381">
      <c r="A4381" s="28">
        <v>44895.0</v>
      </c>
      <c r="B4381" s="20" t="s">
        <v>2086</v>
      </c>
      <c r="C4381" s="20">
        <v>4.0</v>
      </c>
      <c r="D4381" s="20" t="s">
        <v>1991</v>
      </c>
    </row>
    <row r="4382">
      <c r="A4382" s="28">
        <v>44895.0</v>
      </c>
      <c r="B4382" s="20" t="s">
        <v>1803</v>
      </c>
      <c r="C4382" s="20">
        <v>20.0</v>
      </c>
      <c r="D4382" s="20" t="s">
        <v>1991</v>
      </c>
    </row>
    <row r="4383">
      <c r="A4383" s="26">
        <v>44895.71947123842</v>
      </c>
      <c r="B4383" s="20" t="s">
        <v>177</v>
      </c>
      <c r="C4383" s="20">
        <v>17.0</v>
      </c>
      <c r="D4383" s="20" t="s">
        <v>1991</v>
      </c>
    </row>
    <row r="4384">
      <c r="A4384" s="26">
        <v>44895.71962299768</v>
      </c>
      <c r="B4384" s="20" t="s">
        <v>177</v>
      </c>
      <c r="C4384" s="20">
        <v>10.0</v>
      </c>
      <c r="D4384" s="20" t="s">
        <v>1990</v>
      </c>
    </row>
    <row r="4385">
      <c r="A4385" s="26">
        <v>44895.72333699074</v>
      </c>
      <c r="B4385" s="20" t="s">
        <v>637</v>
      </c>
      <c r="C4385" s="20">
        <v>17.0</v>
      </c>
      <c r="D4385" s="20" t="s">
        <v>1991</v>
      </c>
    </row>
    <row r="4386">
      <c r="A4386" s="26">
        <v>44895.72353123843</v>
      </c>
      <c r="B4386" s="20" t="s">
        <v>552</v>
      </c>
      <c r="C4386" s="20">
        <v>24.0</v>
      </c>
      <c r="D4386" s="20" t="s">
        <v>1990</v>
      </c>
    </row>
    <row r="4387">
      <c r="A4387" s="26">
        <v>44895.861690543985</v>
      </c>
      <c r="B4387" s="20" t="s">
        <v>1551</v>
      </c>
      <c r="C4387" s="20">
        <v>14.0</v>
      </c>
      <c r="D4387" s="20" t="s">
        <v>1991</v>
      </c>
    </row>
    <row r="4388">
      <c r="A4388" s="26">
        <v>44895.865794745376</v>
      </c>
      <c r="B4388" s="20" t="s">
        <v>804</v>
      </c>
      <c r="C4388" s="20">
        <v>10.0</v>
      </c>
      <c r="D4388" s="20" t="s">
        <v>1991</v>
      </c>
    </row>
    <row r="4389">
      <c r="A4389" s="26">
        <v>44895.87311126158</v>
      </c>
      <c r="B4389" s="20" t="s">
        <v>2087</v>
      </c>
      <c r="C4389" s="20">
        <v>20.0</v>
      </c>
      <c r="D4389" s="20" t="s">
        <v>1991</v>
      </c>
    </row>
    <row r="4390">
      <c r="A4390" s="28">
        <v>44895.0</v>
      </c>
      <c r="B4390" s="20" t="s">
        <v>2087</v>
      </c>
      <c r="C4390" s="20">
        <v>13.0</v>
      </c>
      <c r="D4390" s="20" t="s">
        <v>1990</v>
      </c>
    </row>
    <row r="4391">
      <c r="A4391" s="26">
        <v>44896.700549189816</v>
      </c>
      <c r="B4391" s="20" t="s">
        <v>163</v>
      </c>
      <c r="C4391" s="20">
        <v>15.0</v>
      </c>
      <c r="D4391" s="20" t="s">
        <v>1991</v>
      </c>
    </row>
    <row r="4392">
      <c r="A4392" s="28">
        <v>44896.0</v>
      </c>
      <c r="B4392" s="20" t="s">
        <v>679</v>
      </c>
      <c r="C4392" s="20">
        <v>15.0</v>
      </c>
      <c r="D4392" s="20" t="s">
        <v>1991</v>
      </c>
    </row>
    <row r="4393">
      <c r="A4393" s="28">
        <v>44896.0</v>
      </c>
      <c r="B4393" s="20" t="s">
        <v>679</v>
      </c>
      <c r="C4393" s="20">
        <v>6.0</v>
      </c>
      <c r="D4393" s="20" t="s">
        <v>1990</v>
      </c>
    </row>
    <row r="4394">
      <c r="A4394" s="28">
        <v>44896.0</v>
      </c>
      <c r="B4394" s="20" t="s">
        <v>1905</v>
      </c>
      <c r="C4394" s="20">
        <v>11.0</v>
      </c>
      <c r="D4394" s="20" t="s">
        <v>1991</v>
      </c>
    </row>
    <row r="4395">
      <c r="A4395" s="28">
        <v>44896.0</v>
      </c>
      <c r="B4395" s="20" t="s">
        <v>1905</v>
      </c>
      <c r="C4395" s="20">
        <v>16.0</v>
      </c>
      <c r="D4395" s="20" t="s">
        <v>1990</v>
      </c>
    </row>
    <row r="4396">
      <c r="A4396" s="28">
        <v>44896.0</v>
      </c>
      <c r="B4396" s="20" t="s">
        <v>1866</v>
      </c>
      <c r="C4396" s="20">
        <v>13.0</v>
      </c>
      <c r="D4396" s="20" t="s">
        <v>1991</v>
      </c>
    </row>
    <row r="4397">
      <c r="A4397" s="28">
        <v>44896.0</v>
      </c>
      <c r="B4397" s="20" t="s">
        <v>1866</v>
      </c>
      <c r="C4397" s="20">
        <v>4.0</v>
      </c>
      <c r="D4397" s="20" t="s">
        <v>1990</v>
      </c>
    </row>
    <row r="4398">
      <c r="A4398" s="26">
        <v>44896.83187543981</v>
      </c>
      <c r="B4398" s="20" t="s">
        <v>2088</v>
      </c>
      <c r="C4398" s="20">
        <v>20.0</v>
      </c>
      <c r="D4398" s="20" t="s">
        <v>1991</v>
      </c>
    </row>
    <row r="4399">
      <c r="A4399" s="26">
        <v>44896.83200299769</v>
      </c>
      <c r="B4399" s="20" t="s">
        <v>2088</v>
      </c>
      <c r="C4399" s="20">
        <v>34.0</v>
      </c>
      <c r="D4399" s="20" t="s">
        <v>1990</v>
      </c>
    </row>
    <row r="4400">
      <c r="A4400" s="28">
        <v>44896.0</v>
      </c>
      <c r="B4400" s="20" t="s">
        <v>1871</v>
      </c>
      <c r="C4400" s="20">
        <v>20.0</v>
      </c>
      <c r="D4400" s="20" t="s">
        <v>1991</v>
      </c>
    </row>
    <row r="4401">
      <c r="A4401" s="28">
        <v>44896.0</v>
      </c>
      <c r="B4401" s="20" t="s">
        <v>1871</v>
      </c>
      <c r="C4401" s="20">
        <v>30.0</v>
      </c>
      <c r="D4401" s="20" t="s">
        <v>1990</v>
      </c>
    </row>
    <row r="4402">
      <c r="A4402" s="28">
        <v>44896.0</v>
      </c>
      <c r="B4402" s="20" t="s">
        <v>1888</v>
      </c>
      <c r="C4402" s="20">
        <v>17.0</v>
      </c>
      <c r="D4402" s="20" t="s">
        <v>1991</v>
      </c>
    </row>
    <row r="4403">
      <c r="A4403" s="28">
        <v>44896.0</v>
      </c>
      <c r="B4403" s="20" t="s">
        <v>1888</v>
      </c>
      <c r="C4403" s="20">
        <v>32.0</v>
      </c>
      <c r="D4403" s="20" t="s">
        <v>1990</v>
      </c>
    </row>
    <row r="4404">
      <c r="A4404" s="28">
        <v>44896.0</v>
      </c>
      <c r="B4404" s="20" t="s">
        <v>1914</v>
      </c>
      <c r="C4404" s="20">
        <v>21.0</v>
      </c>
      <c r="D4404" s="20" t="s">
        <v>1991</v>
      </c>
    </row>
    <row r="4405">
      <c r="A4405" s="28">
        <v>44896.0</v>
      </c>
      <c r="B4405" s="20" t="s">
        <v>1794</v>
      </c>
      <c r="C4405" s="20">
        <v>15.0</v>
      </c>
      <c r="D4405" s="20" t="s">
        <v>1991</v>
      </c>
    </row>
    <row r="4406">
      <c r="A4406" s="28">
        <v>44896.0</v>
      </c>
      <c r="B4406" s="20" t="s">
        <v>1794</v>
      </c>
      <c r="C4406" s="20">
        <v>4.0</v>
      </c>
      <c r="D4406" s="20" t="s">
        <v>1990</v>
      </c>
    </row>
    <row r="4407">
      <c r="A4407" s="28">
        <v>44896.0</v>
      </c>
      <c r="B4407" s="20" t="s">
        <v>2074</v>
      </c>
      <c r="C4407" s="20">
        <v>20.0</v>
      </c>
      <c r="D4407" s="20" t="s">
        <v>1991</v>
      </c>
    </row>
    <row r="4408">
      <c r="A4408" s="28">
        <v>44896.0</v>
      </c>
      <c r="B4408" s="20" t="s">
        <v>2074</v>
      </c>
      <c r="C4408" s="20">
        <v>2.0</v>
      </c>
      <c r="D4408" s="20" t="s">
        <v>1990</v>
      </c>
    </row>
    <row r="4409">
      <c r="A4409" s="28">
        <v>44896.0</v>
      </c>
      <c r="B4409" s="20" t="s">
        <v>777</v>
      </c>
      <c r="C4409" s="20">
        <v>19.0</v>
      </c>
      <c r="D4409" s="20" t="s">
        <v>1991</v>
      </c>
    </row>
    <row r="4410">
      <c r="A4410" s="28">
        <v>44896.0</v>
      </c>
      <c r="B4410" s="20" t="s">
        <v>777</v>
      </c>
      <c r="C4410" s="20">
        <v>4.0</v>
      </c>
      <c r="D4410" s="20" t="s">
        <v>1990</v>
      </c>
    </row>
    <row r="4411">
      <c r="A4411" s="26">
        <v>44897.69827121528</v>
      </c>
      <c r="B4411" s="20" t="s">
        <v>576</v>
      </c>
      <c r="C4411" s="20">
        <v>13.0</v>
      </c>
      <c r="D4411" s="20" t="s">
        <v>1991</v>
      </c>
    </row>
    <row r="4412">
      <c r="A4412" s="26">
        <v>44897.71299516204</v>
      </c>
      <c r="B4412" s="20" t="s">
        <v>2009</v>
      </c>
      <c r="C4412" s="20">
        <v>17.0</v>
      </c>
      <c r="D4412" s="20" t="s">
        <v>1991</v>
      </c>
    </row>
    <row r="4413">
      <c r="A4413" s="26">
        <v>44897.71524258102</v>
      </c>
      <c r="B4413" s="20" t="s">
        <v>344</v>
      </c>
      <c r="C4413" s="20">
        <v>17.0</v>
      </c>
      <c r="D4413" s="20" t="s">
        <v>1991</v>
      </c>
    </row>
    <row r="4414">
      <c r="A4414" s="26">
        <v>44897.71564835648</v>
      </c>
      <c r="B4414" s="20" t="s">
        <v>344</v>
      </c>
      <c r="C4414" s="20">
        <v>18.0</v>
      </c>
      <c r="D4414" s="20" t="s">
        <v>1990</v>
      </c>
    </row>
    <row r="4415">
      <c r="A4415" s="28">
        <v>44897.0</v>
      </c>
      <c r="B4415" s="20" t="s">
        <v>1965</v>
      </c>
      <c r="C4415" s="20">
        <v>19.0</v>
      </c>
      <c r="D4415" s="20" t="s">
        <v>1991</v>
      </c>
    </row>
    <row r="4416">
      <c r="A4416" s="28">
        <v>44897.0</v>
      </c>
      <c r="B4416" s="20" t="s">
        <v>1965</v>
      </c>
      <c r="C4416" s="20">
        <v>4.0</v>
      </c>
      <c r="D4416" s="20" t="s">
        <v>1990</v>
      </c>
    </row>
    <row r="4417">
      <c r="A4417" s="28">
        <v>44897.0</v>
      </c>
      <c r="B4417" s="20" t="s">
        <v>366</v>
      </c>
      <c r="C4417" s="20">
        <v>18.0</v>
      </c>
      <c r="D4417" s="20" t="s">
        <v>1991</v>
      </c>
    </row>
    <row r="4418">
      <c r="A4418" s="28">
        <v>44897.0</v>
      </c>
      <c r="B4418" s="20" t="s">
        <v>366</v>
      </c>
      <c r="C4418" s="20">
        <v>13.0</v>
      </c>
      <c r="D4418" s="20" t="s">
        <v>1990</v>
      </c>
    </row>
    <row r="4419">
      <c r="A4419" s="28">
        <v>44897.0</v>
      </c>
      <c r="B4419" s="20" t="s">
        <v>1357</v>
      </c>
      <c r="C4419" s="20">
        <v>20.0</v>
      </c>
      <c r="D4419" s="20" t="s">
        <v>1991</v>
      </c>
    </row>
    <row r="4420">
      <c r="A4420" s="28">
        <v>44897.0</v>
      </c>
      <c r="B4420" s="20" t="s">
        <v>1357</v>
      </c>
      <c r="C4420" s="20">
        <v>23.0</v>
      </c>
      <c r="D4420" s="20" t="s">
        <v>1990</v>
      </c>
    </row>
    <row r="4421">
      <c r="A4421" s="26">
        <v>44898.249125902774</v>
      </c>
      <c r="B4421" s="20" t="s">
        <v>193</v>
      </c>
      <c r="C4421" s="20">
        <v>22.0</v>
      </c>
      <c r="D4421" s="20" t="s">
        <v>1991</v>
      </c>
    </row>
    <row r="4422">
      <c r="A4422" s="26">
        <v>44898.24924754629</v>
      </c>
      <c r="B4422" s="20" t="s">
        <v>193</v>
      </c>
      <c r="C4422" s="20">
        <v>35.0</v>
      </c>
      <c r="D4422" s="20" t="s">
        <v>1990</v>
      </c>
    </row>
    <row r="4423">
      <c r="A4423" s="28">
        <v>44898.0</v>
      </c>
      <c r="B4423" s="20" t="s">
        <v>2089</v>
      </c>
      <c r="C4423" s="20">
        <v>8.0</v>
      </c>
      <c r="D4423" s="20" t="s">
        <v>1991</v>
      </c>
    </row>
    <row r="4424">
      <c r="A4424" s="28">
        <v>44898.0</v>
      </c>
      <c r="B4424" s="20" t="s">
        <v>2089</v>
      </c>
      <c r="C4424" s="20">
        <v>9.0</v>
      </c>
      <c r="D4424" s="20" t="s">
        <v>1990</v>
      </c>
    </row>
    <row r="4425">
      <c r="A4425" s="28">
        <v>44898.0</v>
      </c>
      <c r="B4425" s="20" t="s">
        <v>2090</v>
      </c>
      <c r="C4425" s="20">
        <v>20.0</v>
      </c>
      <c r="D4425" s="20" t="s">
        <v>1991</v>
      </c>
    </row>
    <row r="4426">
      <c r="A4426" s="28">
        <v>44898.0</v>
      </c>
      <c r="B4426" s="20" t="s">
        <v>2090</v>
      </c>
      <c r="C4426" s="20">
        <v>3.0</v>
      </c>
      <c r="D4426" s="20" t="s">
        <v>1990</v>
      </c>
    </row>
    <row r="4427">
      <c r="A4427" s="28">
        <v>44898.0</v>
      </c>
      <c r="B4427" s="20" t="s">
        <v>2091</v>
      </c>
      <c r="C4427" s="20">
        <v>17.0</v>
      </c>
      <c r="D4427" s="20" t="s">
        <v>1991</v>
      </c>
    </row>
    <row r="4428">
      <c r="A4428" s="28">
        <v>44898.0</v>
      </c>
      <c r="B4428" s="20" t="s">
        <v>2091</v>
      </c>
      <c r="C4428" s="20">
        <v>5.0</v>
      </c>
      <c r="D4428" s="20" t="s">
        <v>1990</v>
      </c>
    </row>
    <row r="4429">
      <c r="A4429" s="26">
        <v>44898.70845907407</v>
      </c>
      <c r="B4429" s="20" t="s">
        <v>2092</v>
      </c>
      <c r="C4429" s="20">
        <v>10.0</v>
      </c>
      <c r="D4429" s="20" t="s">
        <v>1991</v>
      </c>
    </row>
    <row r="4430">
      <c r="A4430" s="26">
        <v>44898.70858770833</v>
      </c>
      <c r="B4430" s="20" t="s">
        <v>2092</v>
      </c>
      <c r="C4430" s="20">
        <v>3.0</v>
      </c>
      <c r="D4430" s="20" t="s">
        <v>1990</v>
      </c>
    </row>
    <row r="4431">
      <c r="A4431" s="26">
        <v>44898.708900428246</v>
      </c>
      <c r="B4431" s="20" t="s">
        <v>2027</v>
      </c>
      <c r="C4431" s="20">
        <v>18.0</v>
      </c>
      <c r="D4431" s="20" t="s">
        <v>1991</v>
      </c>
    </row>
    <row r="4432">
      <c r="A4432" s="26">
        <v>44898.70995361111</v>
      </c>
      <c r="B4432" s="20" t="s">
        <v>2093</v>
      </c>
      <c r="C4432" s="20">
        <v>5.0</v>
      </c>
      <c r="D4432" s="20" t="s">
        <v>1991</v>
      </c>
    </row>
    <row r="4433">
      <c r="A4433" s="26">
        <v>44898.710074305556</v>
      </c>
      <c r="B4433" s="20" t="s">
        <v>2094</v>
      </c>
      <c r="C4433" s="20">
        <v>10.0</v>
      </c>
      <c r="D4433" s="20" t="s">
        <v>1991</v>
      </c>
    </row>
    <row r="4434">
      <c r="A4434" s="26">
        <v>44898.71010493056</v>
      </c>
      <c r="B4434" s="20" t="s">
        <v>2095</v>
      </c>
      <c r="C4434" s="20">
        <v>6.0</v>
      </c>
      <c r="D4434" s="20" t="s">
        <v>1990</v>
      </c>
    </row>
    <row r="4435">
      <c r="A4435" s="26">
        <v>44898.710182696756</v>
      </c>
      <c r="B4435" s="20" t="s">
        <v>2062</v>
      </c>
      <c r="C4435" s="20">
        <v>15.0</v>
      </c>
      <c r="D4435" s="20" t="s">
        <v>1991</v>
      </c>
    </row>
    <row r="4436">
      <c r="A4436" s="26">
        <v>44898.71020325231</v>
      </c>
      <c r="B4436" s="20" t="s">
        <v>2096</v>
      </c>
      <c r="C4436" s="20">
        <v>1.0</v>
      </c>
      <c r="D4436" s="20" t="s">
        <v>1990</v>
      </c>
    </row>
    <row r="4437">
      <c r="A4437" s="26">
        <v>44898.71024894676</v>
      </c>
      <c r="B4437" s="20" t="s">
        <v>2015</v>
      </c>
      <c r="C4437" s="20">
        <v>8.0</v>
      </c>
      <c r="D4437" s="20" t="s">
        <v>1991</v>
      </c>
    </row>
    <row r="4438">
      <c r="A4438" s="26">
        <v>44898.71029099537</v>
      </c>
      <c r="B4438" s="20" t="s">
        <v>2062</v>
      </c>
      <c r="C4438" s="20">
        <v>8.0</v>
      </c>
      <c r="D4438" s="20" t="s">
        <v>1990</v>
      </c>
    </row>
    <row r="4439">
      <c r="A4439" s="28">
        <v>44899.0</v>
      </c>
      <c r="B4439" s="20" t="s">
        <v>2087</v>
      </c>
      <c r="C4439" s="20">
        <v>20.0</v>
      </c>
      <c r="D4439" s="20" t="s">
        <v>1991</v>
      </c>
    </row>
    <row r="4440">
      <c r="A4440" s="28">
        <v>44899.0</v>
      </c>
      <c r="B4440" s="20" t="s">
        <v>366</v>
      </c>
      <c r="C4440" s="20">
        <v>23.0</v>
      </c>
      <c r="D4440" s="20" t="s">
        <v>1991</v>
      </c>
    </row>
    <row r="4441">
      <c r="A4441" s="28">
        <v>44899.0</v>
      </c>
      <c r="B4441" s="20" t="s">
        <v>366</v>
      </c>
      <c r="C4441" s="20">
        <v>32.0</v>
      </c>
      <c r="D4441" s="20" t="s">
        <v>1990</v>
      </c>
    </row>
    <row r="4442">
      <c r="A4442" s="26">
        <v>44899.61391939815</v>
      </c>
      <c r="B4442" s="20" t="s">
        <v>1182</v>
      </c>
      <c r="C4442" s="20">
        <v>13.0</v>
      </c>
      <c r="D4442" s="20" t="s">
        <v>1991</v>
      </c>
    </row>
    <row r="4443">
      <c r="A4443" s="26">
        <v>44899.65049162037</v>
      </c>
      <c r="B4443" s="20" t="s">
        <v>1215</v>
      </c>
      <c r="C4443" s="20">
        <v>20.0</v>
      </c>
      <c r="D4443" s="20" t="s">
        <v>1991</v>
      </c>
    </row>
    <row r="4444">
      <c r="A4444" s="26">
        <v>44899.65101189815</v>
      </c>
      <c r="B4444" s="20" t="s">
        <v>995</v>
      </c>
      <c r="C4444" s="20">
        <v>20.0</v>
      </c>
      <c r="D4444" s="20" t="s">
        <v>1991</v>
      </c>
    </row>
    <row r="4445">
      <c r="A4445" s="26">
        <v>44899.651046956016</v>
      </c>
      <c r="B4445" s="20" t="s">
        <v>1215</v>
      </c>
      <c r="C4445" s="20">
        <v>20.0</v>
      </c>
      <c r="D4445" s="20" t="s">
        <v>1990</v>
      </c>
    </row>
    <row r="4446">
      <c r="A4446" s="26">
        <v>44899.65117629629</v>
      </c>
      <c r="B4446" s="20" t="s">
        <v>528</v>
      </c>
      <c r="C4446" s="20">
        <v>10.0</v>
      </c>
      <c r="D4446" s="20" t="s">
        <v>1990</v>
      </c>
    </row>
    <row r="4447">
      <c r="A4447" s="26">
        <v>44899.65594114583</v>
      </c>
      <c r="B4447" s="20" t="s">
        <v>1943</v>
      </c>
      <c r="C4447" s="20">
        <v>20.0</v>
      </c>
      <c r="D4447" s="20" t="s">
        <v>1991</v>
      </c>
    </row>
    <row r="4448">
      <c r="A4448" s="26">
        <v>44899.65609387732</v>
      </c>
      <c r="B4448" s="20" t="s">
        <v>1943</v>
      </c>
      <c r="C4448" s="20">
        <v>16.0</v>
      </c>
      <c r="D4448" s="20" t="s">
        <v>1990</v>
      </c>
    </row>
    <row r="4449">
      <c r="A4449" s="26">
        <v>44899.659654849536</v>
      </c>
      <c r="B4449" s="20" t="s">
        <v>596</v>
      </c>
      <c r="C4449" s="20">
        <v>12.0</v>
      </c>
      <c r="D4449" s="20" t="s">
        <v>1991</v>
      </c>
    </row>
    <row r="4450">
      <c r="A4450" s="26">
        <v>44899.667422893515</v>
      </c>
      <c r="B4450" s="20" t="s">
        <v>2097</v>
      </c>
      <c r="C4450" s="20">
        <v>28.0</v>
      </c>
      <c r="D4450" s="20" t="s">
        <v>1990</v>
      </c>
    </row>
    <row r="4451">
      <c r="A4451" s="28">
        <v>44901.0</v>
      </c>
      <c r="B4451" s="20" t="s">
        <v>1137</v>
      </c>
      <c r="C4451" s="20">
        <v>14.0</v>
      </c>
      <c r="D4451" s="20" t="s">
        <v>1991</v>
      </c>
    </row>
    <row r="4452">
      <c r="A4452" s="28">
        <v>44901.0</v>
      </c>
      <c r="B4452" s="20" t="s">
        <v>1137</v>
      </c>
      <c r="C4452" s="20">
        <v>21.0</v>
      </c>
      <c r="D4452" s="20" t="s">
        <v>1990</v>
      </c>
    </row>
    <row r="4453">
      <c r="A4453" s="26">
        <v>44901.680650532406</v>
      </c>
      <c r="B4453" s="20" t="s">
        <v>1946</v>
      </c>
      <c r="C4453" s="20">
        <v>14.0</v>
      </c>
      <c r="D4453" s="20" t="s">
        <v>1991</v>
      </c>
    </row>
    <row r="4454">
      <c r="A4454" s="26">
        <v>44901.68098929398</v>
      </c>
      <c r="B4454" s="20" t="s">
        <v>1946</v>
      </c>
      <c r="C4454" s="20">
        <v>10.0</v>
      </c>
      <c r="D4454" s="20" t="s">
        <v>1990</v>
      </c>
    </row>
    <row r="4455">
      <c r="A4455" s="26">
        <v>44901.68110640046</v>
      </c>
      <c r="B4455" s="20" t="s">
        <v>1970</v>
      </c>
      <c r="C4455" s="20">
        <v>15.0</v>
      </c>
      <c r="D4455" s="20" t="s">
        <v>1991</v>
      </c>
    </row>
    <row r="4456">
      <c r="A4456" s="26">
        <v>44901.681334583336</v>
      </c>
      <c r="B4456" s="20" t="s">
        <v>1970</v>
      </c>
      <c r="C4456" s="20">
        <v>3.0</v>
      </c>
      <c r="D4456" s="20" t="s">
        <v>1990</v>
      </c>
    </row>
    <row r="4457">
      <c r="A4457" s="26">
        <v>44901.68475862269</v>
      </c>
      <c r="B4457" s="20" t="s">
        <v>163</v>
      </c>
      <c r="C4457" s="20">
        <v>5.0</v>
      </c>
      <c r="D4457" s="20" t="s">
        <v>1991</v>
      </c>
    </row>
    <row r="4458">
      <c r="A4458" s="26">
        <v>44901.685035613424</v>
      </c>
      <c r="B4458" s="20" t="s">
        <v>163</v>
      </c>
      <c r="C4458" s="20">
        <v>98.0</v>
      </c>
      <c r="D4458" s="20" t="s">
        <v>1990</v>
      </c>
    </row>
    <row r="4459">
      <c r="A4459" s="26">
        <v>44901.68534989584</v>
      </c>
      <c r="B4459" s="20" t="s">
        <v>614</v>
      </c>
      <c r="C4459" s="20">
        <v>20.0</v>
      </c>
      <c r="D4459" s="20" t="s">
        <v>1991</v>
      </c>
    </row>
    <row r="4460">
      <c r="A4460" s="26">
        <v>44901.68537608796</v>
      </c>
      <c r="B4460" s="20" t="s">
        <v>2057</v>
      </c>
      <c r="C4460" s="20">
        <v>16.0</v>
      </c>
      <c r="D4460" s="20" t="s">
        <v>1991</v>
      </c>
    </row>
    <row r="4461">
      <c r="A4461" s="26">
        <v>44901.685490034724</v>
      </c>
      <c r="B4461" s="20" t="s">
        <v>614</v>
      </c>
      <c r="C4461" s="20">
        <v>9.0</v>
      </c>
      <c r="D4461" s="20" t="s">
        <v>1990</v>
      </c>
    </row>
    <row r="4462">
      <c r="A4462" s="26">
        <v>44901.6856602662</v>
      </c>
      <c r="B4462" s="20" t="s">
        <v>2057</v>
      </c>
      <c r="C4462" s="20">
        <v>1.0</v>
      </c>
      <c r="D4462" s="20" t="s">
        <v>1990</v>
      </c>
    </row>
    <row r="4463">
      <c r="A4463" s="26">
        <v>44901.686437847224</v>
      </c>
      <c r="B4463" s="20" t="s">
        <v>2035</v>
      </c>
      <c r="C4463" s="20">
        <v>20.0</v>
      </c>
      <c r="D4463" s="20" t="s">
        <v>1991</v>
      </c>
    </row>
    <row r="4464">
      <c r="A4464" s="26">
        <v>44901.686618125</v>
      </c>
      <c r="B4464" s="20" t="s">
        <v>2035</v>
      </c>
      <c r="C4464" s="20">
        <v>5.0</v>
      </c>
      <c r="D4464" s="20" t="s">
        <v>1990</v>
      </c>
    </row>
    <row r="4465">
      <c r="A4465" s="26">
        <v>44901.69077221065</v>
      </c>
      <c r="B4465" s="20" t="s">
        <v>528</v>
      </c>
      <c r="C4465" s="20">
        <v>20.0</v>
      </c>
      <c r="D4465" s="20" t="s">
        <v>1991</v>
      </c>
    </row>
    <row r="4466">
      <c r="A4466" s="26">
        <v>44901.6909087963</v>
      </c>
      <c r="B4466" s="20" t="s">
        <v>528</v>
      </c>
      <c r="C4466" s="20">
        <v>10.0</v>
      </c>
      <c r="D4466" s="20" t="s">
        <v>1990</v>
      </c>
    </row>
    <row r="4467">
      <c r="A4467" s="28">
        <v>44902.0</v>
      </c>
      <c r="B4467" s="20" t="s">
        <v>366</v>
      </c>
      <c r="C4467" s="20">
        <v>13.0</v>
      </c>
      <c r="D4467" s="20" t="s">
        <v>1991</v>
      </c>
    </row>
    <row r="4468">
      <c r="A4468" s="28">
        <v>44902.0</v>
      </c>
      <c r="B4468" s="20" t="s">
        <v>366</v>
      </c>
      <c r="C4468" s="20">
        <v>23.0</v>
      </c>
      <c r="D4468" s="20" t="s">
        <v>1990</v>
      </c>
    </row>
    <row r="4469">
      <c r="A4469" s="28">
        <v>44902.0</v>
      </c>
      <c r="B4469" s="20" t="s">
        <v>2086</v>
      </c>
      <c r="C4469" s="20">
        <v>10.0</v>
      </c>
      <c r="D4469" s="20" t="s">
        <v>1991</v>
      </c>
    </row>
    <row r="4470">
      <c r="A4470" s="28">
        <v>44902.0</v>
      </c>
      <c r="B4470" s="20" t="s">
        <v>1137</v>
      </c>
      <c r="C4470" s="20">
        <v>19.0</v>
      </c>
      <c r="D4470" s="20" t="s">
        <v>1991</v>
      </c>
    </row>
    <row r="4471">
      <c r="A4471" s="28">
        <v>44902.0</v>
      </c>
      <c r="B4471" s="20" t="s">
        <v>1137</v>
      </c>
      <c r="C4471" s="20">
        <v>10.0</v>
      </c>
      <c r="D4471" s="20" t="s">
        <v>1990</v>
      </c>
    </row>
    <row r="4472">
      <c r="A4472" s="26">
        <v>44902.69691900463</v>
      </c>
      <c r="B4472" s="20" t="s">
        <v>2098</v>
      </c>
      <c r="C4472" s="20">
        <v>2.0</v>
      </c>
      <c r="D4472" s="20" t="s">
        <v>1991</v>
      </c>
    </row>
    <row r="4473">
      <c r="A4473" s="26">
        <v>44902.69704900463</v>
      </c>
      <c r="B4473" s="20" t="s">
        <v>2059</v>
      </c>
      <c r="C4473" s="20">
        <v>1.0</v>
      </c>
      <c r="D4473" s="20" t="s">
        <v>1990</v>
      </c>
    </row>
    <row r="4474">
      <c r="A4474" s="26">
        <v>44902.71329032407</v>
      </c>
      <c r="B4474" s="20" t="s">
        <v>760</v>
      </c>
      <c r="C4474" s="20">
        <v>20.0</v>
      </c>
      <c r="D4474" s="20" t="s">
        <v>1991</v>
      </c>
    </row>
    <row r="4475">
      <c r="A4475" s="26">
        <v>44902.713480590275</v>
      </c>
      <c r="B4475" s="20" t="s">
        <v>824</v>
      </c>
      <c r="C4475" s="20">
        <v>21.0</v>
      </c>
      <c r="D4475" s="20" t="s">
        <v>1990</v>
      </c>
    </row>
    <row r="4476">
      <c r="A4476" s="26">
        <v>44902.72251961805</v>
      </c>
      <c r="B4476" s="20" t="s">
        <v>177</v>
      </c>
      <c r="C4476" s="20">
        <v>18.0</v>
      </c>
      <c r="D4476" s="20" t="s">
        <v>1991</v>
      </c>
    </row>
    <row r="4477">
      <c r="A4477" s="26">
        <v>44902.7227752662</v>
      </c>
      <c r="B4477" s="20" t="s">
        <v>177</v>
      </c>
      <c r="C4477" s="20">
        <v>16.0</v>
      </c>
      <c r="D4477" s="20" t="s">
        <v>1990</v>
      </c>
    </row>
    <row r="4478">
      <c r="A4478" s="26">
        <v>44902.76143680555</v>
      </c>
      <c r="B4478" s="20" t="s">
        <v>637</v>
      </c>
      <c r="C4478" s="20">
        <v>21.0</v>
      </c>
      <c r="D4478" s="20" t="s">
        <v>1990</v>
      </c>
    </row>
    <row r="4479">
      <c r="A4479" s="26">
        <v>44902.76201600695</v>
      </c>
      <c r="B4479" s="20" t="s">
        <v>637</v>
      </c>
      <c r="C4479" s="20">
        <v>18.0</v>
      </c>
      <c r="D4479" s="20" t="s">
        <v>1991</v>
      </c>
    </row>
    <row r="4480">
      <c r="A4480" s="28">
        <v>44902.0</v>
      </c>
      <c r="B4480" s="20" t="s">
        <v>1803</v>
      </c>
      <c r="C4480" s="20">
        <v>19.0</v>
      </c>
      <c r="D4480" s="20" t="s">
        <v>1991</v>
      </c>
    </row>
    <row r="4481">
      <c r="A4481" s="28">
        <v>44902.0</v>
      </c>
      <c r="B4481" s="20" t="s">
        <v>1803</v>
      </c>
      <c r="C4481" s="20">
        <v>5.0</v>
      </c>
      <c r="D4481" s="20" t="s">
        <v>1990</v>
      </c>
    </row>
    <row r="4482">
      <c r="A4482" s="26">
        <v>44902.84577112268</v>
      </c>
      <c r="B4482" s="20" t="s">
        <v>1801</v>
      </c>
      <c r="C4482" s="20">
        <v>14.0</v>
      </c>
      <c r="D4482" s="20" t="s">
        <v>1991</v>
      </c>
    </row>
    <row r="4483">
      <c r="A4483" s="26">
        <v>44902.84591427083</v>
      </c>
      <c r="B4483" s="20" t="s">
        <v>1801</v>
      </c>
      <c r="C4483" s="20">
        <v>2.0</v>
      </c>
      <c r="D4483" s="20" t="s">
        <v>1990</v>
      </c>
    </row>
    <row r="4484">
      <c r="A4484" s="26">
        <v>44903.70034311342</v>
      </c>
      <c r="B4484" s="20" t="s">
        <v>2099</v>
      </c>
      <c r="C4484" s="20">
        <v>11.0</v>
      </c>
      <c r="D4484" s="20" t="s">
        <v>1991</v>
      </c>
    </row>
    <row r="4485">
      <c r="A4485" s="28">
        <v>44903.0</v>
      </c>
      <c r="B4485" s="20" t="s">
        <v>1905</v>
      </c>
      <c r="C4485" s="20">
        <v>12.0</v>
      </c>
      <c r="D4485" s="20" t="s">
        <v>1991</v>
      </c>
    </row>
    <row r="4486">
      <c r="A4486" s="26">
        <v>44903.70681685185</v>
      </c>
      <c r="B4486" s="20" t="s">
        <v>163</v>
      </c>
      <c r="C4486" s="20">
        <v>1.0</v>
      </c>
      <c r="D4486" s="20" t="s">
        <v>1990</v>
      </c>
    </row>
    <row r="4487">
      <c r="A4487" s="26">
        <v>44903.70767736111</v>
      </c>
      <c r="B4487" s="20" t="s">
        <v>163</v>
      </c>
      <c r="C4487" s="20">
        <v>33.0</v>
      </c>
      <c r="D4487" s="20" t="s">
        <v>1991</v>
      </c>
    </row>
    <row r="4488">
      <c r="A4488" s="28">
        <v>44903.0</v>
      </c>
      <c r="B4488" s="20" t="s">
        <v>1794</v>
      </c>
      <c r="C4488" s="20">
        <v>20.0</v>
      </c>
      <c r="D4488" s="20" t="s">
        <v>1991</v>
      </c>
    </row>
    <row r="4489">
      <c r="A4489" s="28">
        <v>44903.0</v>
      </c>
      <c r="B4489" s="20" t="s">
        <v>1794</v>
      </c>
      <c r="C4489" s="20">
        <v>3.0</v>
      </c>
      <c r="D4489" s="20" t="s">
        <v>1990</v>
      </c>
    </row>
    <row r="4490">
      <c r="A4490" s="28">
        <v>44903.0</v>
      </c>
      <c r="B4490" s="20" t="s">
        <v>1924</v>
      </c>
      <c r="C4490" s="20">
        <v>20.0</v>
      </c>
      <c r="D4490" s="20" t="s">
        <v>1991</v>
      </c>
    </row>
    <row r="4491">
      <c r="A4491" s="28">
        <v>44903.0</v>
      </c>
      <c r="B4491" s="20" t="s">
        <v>1924</v>
      </c>
      <c r="C4491" s="20">
        <v>5.0</v>
      </c>
      <c r="D4491" s="20" t="s">
        <v>1990</v>
      </c>
    </row>
    <row r="4492">
      <c r="A4492" s="28">
        <v>44903.0</v>
      </c>
      <c r="B4492" s="20" t="s">
        <v>2074</v>
      </c>
      <c r="C4492" s="20">
        <v>20.0</v>
      </c>
      <c r="D4492" s="20" t="s">
        <v>1991</v>
      </c>
    </row>
    <row r="4493">
      <c r="A4493" s="28">
        <v>44903.0</v>
      </c>
      <c r="B4493" s="20" t="s">
        <v>777</v>
      </c>
      <c r="C4493" s="20">
        <v>19.0</v>
      </c>
      <c r="D4493" s="20" t="s">
        <v>1991</v>
      </c>
    </row>
    <row r="4494">
      <c r="A4494" s="28">
        <v>44903.0</v>
      </c>
      <c r="B4494" s="20" t="s">
        <v>777</v>
      </c>
      <c r="C4494" s="20">
        <v>15.0</v>
      </c>
      <c r="D4494" s="20" t="s">
        <v>1990</v>
      </c>
    </row>
    <row r="4495">
      <c r="A4495" s="28">
        <v>44903.0</v>
      </c>
      <c r="B4495" s="20" t="s">
        <v>2100</v>
      </c>
      <c r="C4495" s="20">
        <v>20.0</v>
      </c>
      <c r="D4495" s="20" t="s">
        <v>1991</v>
      </c>
    </row>
    <row r="4496">
      <c r="A4496" s="26">
        <v>44903.85594222222</v>
      </c>
      <c r="B4496" s="20" t="s">
        <v>1325</v>
      </c>
      <c r="C4496" s="20">
        <v>20.0</v>
      </c>
      <c r="D4496" s="20" t="s">
        <v>1991</v>
      </c>
    </row>
    <row r="4497">
      <c r="A4497" s="26">
        <v>44903.85605887731</v>
      </c>
      <c r="B4497" s="20" t="s">
        <v>1325</v>
      </c>
      <c r="C4497" s="20">
        <v>2.0</v>
      </c>
      <c r="D4497" s="20" t="s">
        <v>1990</v>
      </c>
    </row>
    <row r="4498">
      <c r="A4498" s="26">
        <v>44903.85627962963</v>
      </c>
      <c r="B4498" s="20" t="s">
        <v>2101</v>
      </c>
      <c r="C4498" s="20">
        <v>15.0</v>
      </c>
      <c r="D4498" s="20" t="s">
        <v>1991</v>
      </c>
    </row>
    <row r="4499">
      <c r="A4499" s="26">
        <v>44903.856570902775</v>
      </c>
      <c r="B4499" s="20" t="s">
        <v>132</v>
      </c>
      <c r="C4499" s="20">
        <v>6.0</v>
      </c>
      <c r="D4499" s="20" t="s">
        <v>1990</v>
      </c>
    </row>
    <row r="4500">
      <c r="A4500" s="26">
        <v>44903.85687047454</v>
      </c>
      <c r="B4500" s="20" t="s">
        <v>2102</v>
      </c>
      <c r="C4500" s="20">
        <v>10.0</v>
      </c>
      <c r="D4500" s="20" t="s">
        <v>1991</v>
      </c>
    </row>
    <row r="4501">
      <c r="A4501" s="26">
        <v>44903.85696716435</v>
      </c>
      <c r="B4501" s="20" t="s">
        <v>1562</v>
      </c>
      <c r="C4501" s="20">
        <v>6.0</v>
      </c>
      <c r="D4501" s="20" t="s">
        <v>1990</v>
      </c>
    </row>
    <row r="4502">
      <c r="A4502" s="26">
        <v>44903.85832662037</v>
      </c>
      <c r="B4502" s="20" t="s">
        <v>2008</v>
      </c>
      <c r="C4502" s="20">
        <v>20.0</v>
      </c>
      <c r="D4502" s="20" t="s">
        <v>1991</v>
      </c>
    </row>
    <row r="4503">
      <c r="A4503" s="28">
        <v>44903.0</v>
      </c>
      <c r="B4503" s="20" t="s">
        <v>2008</v>
      </c>
      <c r="C4503" s="20">
        <v>1.0</v>
      </c>
      <c r="D4503" s="20" t="s">
        <v>1990</v>
      </c>
    </row>
    <row r="4504">
      <c r="A4504" s="28">
        <v>44904.0</v>
      </c>
      <c r="B4504" s="20" t="s">
        <v>366</v>
      </c>
      <c r="C4504" s="20">
        <v>9.0</v>
      </c>
      <c r="D4504" s="20" t="s">
        <v>1991</v>
      </c>
    </row>
    <row r="4505">
      <c r="A4505" s="28">
        <v>44904.0</v>
      </c>
      <c r="B4505" s="20" t="s">
        <v>366</v>
      </c>
      <c r="C4505" s="20">
        <v>19.0</v>
      </c>
      <c r="D4505" s="20" t="s">
        <v>1990</v>
      </c>
    </row>
    <row r="4506">
      <c r="A4506" s="28">
        <v>44904.0</v>
      </c>
      <c r="B4506" s="20" t="s">
        <v>1965</v>
      </c>
      <c r="C4506" s="20">
        <v>18.0</v>
      </c>
      <c r="D4506" s="20" t="s">
        <v>1991</v>
      </c>
    </row>
    <row r="4507">
      <c r="A4507" s="28">
        <v>44904.0</v>
      </c>
      <c r="B4507" s="20" t="s">
        <v>1965</v>
      </c>
      <c r="C4507" s="20">
        <v>9.0</v>
      </c>
      <c r="D4507" s="20" t="s">
        <v>1990</v>
      </c>
    </row>
    <row r="4508">
      <c r="A4508" s="26">
        <v>44904.58046402778</v>
      </c>
      <c r="B4508" s="20" t="s">
        <v>163</v>
      </c>
      <c r="C4508" s="20">
        <v>24.0</v>
      </c>
      <c r="D4508" s="20" t="s">
        <v>1990</v>
      </c>
    </row>
    <row r="4509">
      <c r="A4509" s="26">
        <v>44904.70137755787</v>
      </c>
      <c r="B4509" s="20" t="s">
        <v>344</v>
      </c>
      <c r="C4509" s="20">
        <v>8.0</v>
      </c>
      <c r="D4509" s="20" t="s">
        <v>1991</v>
      </c>
    </row>
    <row r="4510">
      <c r="A4510" s="26">
        <v>44904.70149599537</v>
      </c>
      <c r="B4510" s="20" t="s">
        <v>344</v>
      </c>
      <c r="C4510" s="20">
        <v>9.0</v>
      </c>
      <c r="D4510" s="20" t="s">
        <v>1990</v>
      </c>
    </row>
    <row r="4511">
      <c r="A4511" s="26">
        <v>44904.71116466435</v>
      </c>
      <c r="B4511" s="20" t="s">
        <v>576</v>
      </c>
      <c r="C4511" s="20">
        <v>8.0</v>
      </c>
      <c r="D4511" s="20" t="s">
        <v>1991</v>
      </c>
    </row>
    <row r="4512">
      <c r="A4512" s="26">
        <v>44905.67907761574</v>
      </c>
      <c r="B4512" s="20" t="s">
        <v>2103</v>
      </c>
      <c r="C4512" s="20">
        <v>16.0</v>
      </c>
      <c r="D4512" s="20" t="s">
        <v>1991</v>
      </c>
    </row>
    <row r="4513">
      <c r="A4513" s="28">
        <v>44905.0</v>
      </c>
      <c r="B4513" s="20" t="s">
        <v>2103</v>
      </c>
      <c r="C4513" s="20">
        <v>2.0</v>
      </c>
      <c r="D4513" s="20" t="s">
        <v>1990</v>
      </c>
    </row>
    <row r="4514">
      <c r="A4514" s="28">
        <v>44905.0</v>
      </c>
      <c r="B4514" s="20" t="s">
        <v>2104</v>
      </c>
      <c r="C4514" s="20">
        <v>6.0</v>
      </c>
      <c r="D4514" s="20" t="s">
        <v>1990</v>
      </c>
    </row>
    <row r="4515">
      <c r="A4515" s="26">
        <v>44905.679145671296</v>
      </c>
      <c r="B4515" s="20" t="s">
        <v>2104</v>
      </c>
      <c r="C4515" s="20">
        <v>19.0</v>
      </c>
      <c r="D4515" s="20" t="s">
        <v>1991</v>
      </c>
    </row>
    <row r="4516">
      <c r="A4516" s="26">
        <v>44905.68091471065</v>
      </c>
      <c r="B4516" s="20" t="s">
        <v>1632</v>
      </c>
      <c r="C4516" s="20">
        <v>15.0</v>
      </c>
      <c r="D4516" s="20" t="s">
        <v>1991</v>
      </c>
    </row>
    <row r="4517">
      <c r="A4517" s="26">
        <v>44905.68109362268</v>
      </c>
      <c r="B4517" s="20" t="s">
        <v>1920</v>
      </c>
      <c r="C4517" s="20">
        <v>15.0</v>
      </c>
      <c r="D4517" s="20" t="s">
        <v>1991</v>
      </c>
    </row>
    <row r="4518">
      <c r="A4518" s="26">
        <v>44905.68353787037</v>
      </c>
      <c r="B4518" s="20" t="s">
        <v>2105</v>
      </c>
      <c r="C4518" s="20">
        <v>16.0</v>
      </c>
      <c r="D4518" s="20" t="s">
        <v>1991</v>
      </c>
    </row>
    <row r="4519">
      <c r="A4519" s="26">
        <v>44905.684034108795</v>
      </c>
      <c r="B4519" s="20" t="s">
        <v>2106</v>
      </c>
      <c r="C4519" s="20">
        <v>12.0</v>
      </c>
      <c r="D4519" s="20" t="s">
        <v>1991</v>
      </c>
    </row>
    <row r="4520">
      <c r="A4520" s="26">
        <v>44905.685385000004</v>
      </c>
      <c r="B4520" s="20" t="s">
        <v>2107</v>
      </c>
      <c r="C4520" s="20">
        <v>20.0</v>
      </c>
      <c r="D4520" s="20" t="s">
        <v>1991</v>
      </c>
    </row>
    <row r="4521">
      <c r="A4521" s="28">
        <v>44905.0</v>
      </c>
      <c r="B4521" s="20" t="s">
        <v>2107</v>
      </c>
      <c r="C4521" s="20">
        <v>1.0</v>
      </c>
      <c r="D4521" s="20" t="s">
        <v>1990</v>
      </c>
    </row>
    <row r="4522">
      <c r="A4522" s="26">
        <v>44905.69335983796</v>
      </c>
      <c r="B4522" s="20" t="s">
        <v>2108</v>
      </c>
      <c r="C4522" s="20">
        <v>20.0</v>
      </c>
      <c r="D4522" s="20" t="s">
        <v>1991</v>
      </c>
    </row>
    <row r="4523">
      <c r="A4523" s="26">
        <v>44905.69350518519</v>
      </c>
      <c r="B4523" s="20" t="s">
        <v>2109</v>
      </c>
      <c r="C4523" s="20">
        <v>1.0</v>
      </c>
      <c r="D4523" s="20" t="s">
        <v>1990</v>
      </c>
    </row>
    <row r="4524">
      <c r="A4524" s="26">
        <v>44905.69404815973</v>
      </c>
      <c r="B4524" s="20" t="s">
        <v>2110</v>
      </c>
      <c r="C4524" s="20">
        <v>20.0</v>
      </c>
      <c r="D4524" s="20" t="s">
        <v>1991</v>
      </c>
    </row>
    <row r="4525">
      <c r="A4525" s="26">
        <v>44905.69486649305</v>
      </c>
      <c r="B4525" s="20" t="s">
        <v>713</v>
      </c>
      <c r="C4525" s="20">
        <v>18.0</v>
      </c>
      <c r="D4525" s="20" t="s">
        <v>1991</v>
      </c>
    </row>
    <row r="4526">
      <c r="A4526" s="26">
        <v>44905.694976238425</v>
      </c>
      <c r="B4526" s="20" t="s">
        <v>713</v>
      </c>
      <c r="C4526" s="20">
        <v>1.0</v>
      </c>
      <c r="D4526" s="20" t="s">
        <v>1990</v>
      </c>
    </row>
    <row r="4527">
      <c r="A4527" s="26">
        <v>44905.69623243056</v>
      </c>
      <c r="B4527" s="20" t="s">
        <v>1735</v>
      </c>
      <c r="C4527" s="20">
        <v>14.0</v>
      </c>
      <c r="D4527" s="20" t="s">
        <v>1991</v>
      </c>
    </row>
    <row r="4528">
      <c r="A4528" s="26">
        <v>44905.69681658565</v>
      </c>
      <c r="B4528" s="20" t="s">
        <v>2111</v>
      </c>
      <c r="C4528" s="20">
        <v>19.0</v>
      </c>
      <c r="D4528" s="20" t="s">
        <v>1991</v>
      </c>
    </row>
    <row r="4529">
      <c r="A4529" s="26">
        <v>44905.70308601852</v>
      </c>
      <c r="B4529" s="20" t="s">
        <v>2112</v>
      </c>
      <c r="C4529" s="20">
        <v>19.0</v>
      </c>
      <c r="D4529" s="20" t="s">
        <v>1991</v>
      </c>
    </row>
    <row r="4530">
      <c r="A4530" s="26">
        <v>44905.711189953705</v>
      </c>
      <c r="B4530" s="20" t="s">
        <v>300</v>
      </c>
      <c r="C4530" s="20">
        <v>5.0</v>
      </c>
      <c r="D4530" s="20" t="s">
        <v>1991</v>
      </c>
    </row>
    <row r="4531">
      <c r="A4531" s="26">
        <v>44905.71126606481</v>
      </c>
      <c r="B4531" s="20" t="s">
        <v>300</v>
      </c>
      <c r="C4531" s="20">
        <v>2.0</v>
      </c>
      <c r="D4531" s="20" t="s">
        <v>1990</v>
      </c>
    </row>
    <row r="4532">
      <c r="A4532" s="26">
        <v>44905.71263967593</v>
      </c>
      <c r="B4532" s="20" t="s">
        <v>2113</v>
      </c>
      <c r="C4532" s="20">
        <v>11.0</v>
      </c>
      <c r="D4532" s="20" t="s">
        <v>1991</v>
      </c>
    </row>
    <row r="4533">
      <c r="A4533" s="26">
        <v>44905.713044351854</v>
      </c>
      <c r="B4533" s="20" t="s">
        <v>2096</v>
      </c>
      <c r="C4533" s="20">
        <v>11.0</v>
      </c>
      <c r="D4533" s="20" t="s">
        <v>1991</v>
      </c>
    </row>
    <row r="4534">
      <c r="A4534" s="26">
        <v>44905.72250206018</v>
      </c>
      <c r="B4534" s="20" t="s">
        <v>2114</v>
      </c>
      <c r="C4534" s="20">
        <v>11.0</v>
      </c>
      <c r="D4534" s="20" t="s">
        <v>1991</v>
      </c>
    </row>
    <row r="4535">
      <c r="A4535" s="26">
        <v>44905.72264556713</v>
      </c>
      <c r="B4535" s="20" t="s">
        <v>384</v>
      </c>
      <c r="C4535" s="20">
        <v>8.0</v>
      </c>
      <c r="D4535" s="20" t="s">
        <v>1990</v>
      </c>
    </row>
    <row r="4536">
      <c r="A4536" s="26">
        <v>44905.723400138886</v>
      </c>
      <c r="B4536" s="20" t="s">
        <v>614</v>
      </c>
      <c r="C4536" s="20">
        <v>20.0</v>
      </c>
      <c r="D4536" s="20" t="s">
        <v>1991</v>
      </c>
    </row>
    <row r="4537">
      <c r="A4537" s="26">
        <v>44905.723640393524</v>
      </c>
      <c r="B4537" s="20" t="s">
        <v>614</v>
      </c>
      <c r="C4537" s="20">
        <v>2.0</v>
      </c>
      <c r="D4537" s="20" t="s">
        <v>1990</v>
      </c>
    </row>
    <row r="4538">
      <c r="A4538" s="28">
        <v>44905.0</v>
      </c>
      <c r="B4538" s="20" t="s">
        <v>366</v>
      </c>
      <c r="C4538" s="20">
        <v>19.0</v>
      </c>
      <c r="D4538" s="20" t="s">
        <v>1991</v>
      </c>
    </row>
    <row r="4539">
      <c r="A4539" s="28">
        <v>44905.0</v>
      </c>
      <c r="B4539" s="20" t="s">
        <v>1632</v>
      </c>
      <c r="C4539" s="20">
        <v>15.0</v>
      </c>
      <c r="D4539" s="20" t="s">
        <v>1991</v>
      </c>
    </row>
    <row r="4540">
      <c r="A4540" s="28">
        <v>44905.0</v>
      </c>
      <c r="B4540" s="20" t="s">
        <v>1909</v>
      </c>
      <c r="C4540" s="20">
        <v>13.0</v>
      </c>
      <c r="D4540" s="20" t="s">
        <v>1991</v>
      </c>
    </row>
    <row r="4541">
      <c r="A4541" s="28">
        <v>44905.0</v>
      </c>
      <c r="B4541" s="20" t="s">
        <v>1909</v>
      </c>
      <c r="C4541" s="20">
        <v>6.0</v>
      </c>
      <c r="D4541" s="20" t="s">
        <v>1990</v>
      </c>
    </row>
    <row r="4542">
      <c r="A4542" s="28">
        <v>44905.0</v>
      </c>
      <c r="B4542" s="20" t="s">
        <v>1908</v>
      </c>
      <c r="C4542" s="20">
        <v>6.0</v>
      </c>
      <c r="D4542" s="20" t="s">
        <v>1990</v>
      </c>
    </row>
    <row r="4543">
      <c r="A4543" s="28">
        <v>44905.0</v>
      </c>
      <c r="B4543" s="20" t="s">
        <v>1908</v>
      </c>
      <c r="C4543" s="20">
        <v>15.0</v>
      </c>
      <c r="D4543" s="20" t="s">
        <v>1991</v>
      </c>
    </row>
    <row r="4544">
      <c r="A4544" s="28">
        <v>44905.0</v>
      </c>
      <c r="B4544" s="20" t="s">
        <v>2115</v>
      </c>
      <c r="C4544" s="20">
        <v>20.0</v>
      </c>
      <c r="D4544" s="20" t="s">
        <v>1991</v>
      </c>
    </row>
    <row r="4545">
      <c r="A4545" s="28">
        <v>44905.0</v>
      </c>
      <c r="B4545" s="20" t="s">
        <v>2116</v>
      </c>
      <c r="C4545" s="20">
        <v>13.0</v>
      </c>
      <c r="D4545" s="20" t="s">
        <v>1991</v>
      </c>
    </row>
    <row r="4546">
      <c r="A4546" s="28">
        <v>44905.0</v>
      </c>
      <c r="B4546" s="20" t="s">
        <v>2117</v>
      </c>
      <c r="C4546" s="20">
        <v>9.0</v>
      </c>
      <c r="D4546" s="20" t="s">
        <v>1991</v>
      </c>
    </row>
    <row r="4547">
      <c r="A4547" s="28">
        <v>44905.0</v>
      </c>
      <c r="B4547" s="20" t="s">
        <v>2118</v>
      </c>
      <c r="C4547" s="20">
        <v>10.0</v>
      </c>
      <c r="D4547" s="20" t="s">
        <v>1991</v>
      </c>
    </row>
    <row r="4548">
      <c r="A4548" s="28">
        <v>44905.0</v>
      </c>
      <c r="B4548" s="20" t="s">
        <v>2119</v>
      </c>
      <c r="C4548" s="20">
        <v>14.0</v>
      </c>
      <c r="D4548" s="20" t="s">
        <v>1991</v>
      </c>
    </row>
    <row r="4549">
      <c r="A4549" s="28">
        <v>44905.0</v>
      </c>
      <c r="B4549" s="20" t="s">
        <v>2120</v>
      </c>
      <c r="C4549" s="20">
        <v>4.0</v>
      </c>
      <c r="D4549" s="20" t="s">
        <v>1991</v>
      </c>
    </row>
    <row r="4550">
      <c r="A4550" s="28">
        <v>44905.0</v>
      </c>
      <c r="B4550" s="20" t="s">
        <v>2121</v>
      </c>
      <c r="C4550" s="20">
        <v>20.0</v>
      </c>
      <c r="D4550" s="20" t="s">
        <v>1991</v>
      </c>
    </row>
    <row r="4551">
      <c r="A4551" s="28">
        <v>44905.0</v>
      </c>
      <c r="B4551" s="20" t="s">
        <v>2121</v>
      </c>
      <c r="C4551" s="20">
        <v>1.0</v>
      </c>
      <c r="D4551" s="20" t="s">
        <v>1990</v>
      </c>
    </row>
    <row r="4552">
      <c r="A4552" s="28">
        <v>44905.0</v>
      </c>
      <c r="B4552" s="20" t="s">
        <v>2122</v>
      </c>
      <c r="C4552" s="20">
        <v>20.0</v>
      </c>
      <c r="D4552" s="20" t="s">
        <v>1991</v>
      </c>
    </row>
    <row r="4553">
      <c r="A4553" s="28">
        <v>44905.0</v>
      </c>
      <c r="B4553" s="20" t="s">
        <v>2123</v>
      </c>
      <c r="C4553" s="20">
        <v>14.0</v>
      </c>
      <c r="D4553" s="20" t="s">
        <v>1991</v>
      </c>
    </row>
    <row r="4554">
      <c r="A4554" s="28">
        <v>44905.0</v>
      </c>
      <c r="B4554" s="20" t="s">
        <v>2124</v>
      </c>
      <c r="C4554" s="20">
        <v>20.0</v>
      </c>
      <c r="D4554" s="20" t="s">
        <v>1991</v>
      </c>
    </row>
    <row r="4555">
      <c r="A4555" s="28">
        <v>44905.0</v>
      </c>
      <c r="B4555" s="20" t="s">
        <v>2125</v>
      </c>
      <c r="C4555" s="20">
        <v>18.0</v>
      </c>
      <c r="D4555" s="20" t="s">
        <v>1991</v>
      </c>
    </row>
    <row r="4556">
      <c r="A4556" s="28">
        <v>44905.0</v>
      </c>
      <c r="B4556" s="20" t="s">
        <v>2126</v>
      </c>
      <c r="C4556" s="20">
        <v>19.0</v>
      </c>
      <c r="D4556" s="20" t="s">
        <v>1991</v>
      </c>
    </row>
    <row r="4557">
      <c r="A4557" s="28">
        <v>44905.0</v>
      </c>
      <c r="B4557" s="20" t="s">
        <v>2126</v>
      </c>
      <c r="C4557" s="20">
        <v>1.0</v>
      </c>
      <c r="D4557" s="20" t="s">
        <v>1990</v>
      </c>
    </row>
    <row r="4558">
      <c r="A4558" s="28">
        <v>44905.0</v>
      </c>
      <c r="B4558" s="20" t="s">
        <v>2127</v>
      </c>
      <c r="C4558" s="20">
        <v>13.0</v>
      </c>
      <c r="D4558" s="20" t="s">
        <v>1991</v>
      </c>
    </row>
    <row r="4559">
      <c r="A4559" s="26">
        <v>44906.63010890046</v>
      </c>
      <c r="B4559" s="20" t="s">
        <v>1182</v>
      </c>
      <c r="C4559" s="20">
        <v>16.0</v>
      </c>
      <c r="D4559" s="20" t="s">
        <v>1991</v>
      </c>
    </row>
    <row r="4560">
      <c r="A4560" s="26">
        <v>44906.654959259264</v>
      </c>
      <c r="B4560" s="20" t="s">
        <v>553</v>
      </c>
      <c r="C4560" s="20">
        <v>20.0</v>
      </c>
      <c r="D4560" s="20" t="s">
        <v>1991</v>
      </c>
    </row>
    <row r="4561">
      <c r="A4561" s="26">
        <v>44906.66182414352</v>
      </c>
      <c r="B4561" s="20" t="s">
        <v>1969</v>
      </c>
      <c r="C4561" s="20">
        <v>20.0</v>
      </c>
      <c r="D4561" s="20" t="s">
        <v>1991</v>
      </c>
    </row>
    <row r="4562">
      <c r="A4562" s="26">
        <v>44906.662094155094</v>
      </c>
      <c r="B4562" s="20" t="s">
        <v>1969</v>
      </c>
      <c r="C4562" s="20">
        <v>44.0</v>
      </c>
      <c r="D4562" s="20" t="s">
        <v>1990</v>
      </c>
    </row>
    <row r="4563">
      <c r="A4563" s="26">
        <v>44906.66503967592</v>
      </c>
      <c r="B4563" s="20" t="s">
        <v>1943</v>
      </c>
      <c r="C4563" s="20">
        <v>20.0</v>
      </c>
      <c r="D4563" s="20" t="s">
        <v>1991</v>
      </c>
    </row>
    <row r="4564">
      <c r="A4564" s="26">
        <v>44906.665198483795</v>
      </c>
      <c r="B4564" s="20" t="s">
        <v>1943</v>
      </c>
      <c r="C4564" s="20">
        <v>35.0</v>
      </c>
      <c r="D4564" s="20" t="s">
        <v>1990</v>
      </c>
    </row>
    <row r="4565">
      <c r="A4565" s="26">
        <v>44906.66519915509</v>
      </c>
      <c r="B4565" s="20" t="s">
        <v>1997</v>
      </c>
      <c r="C4565" s="20">
        <v>17.0</v>
      </c>
      <c r="D4565" s="20" t="s">
        <v>1991</v>
      </c>
    </row>
    <row r="4566">
      <c r="A4566" s="28">
        <v>44906.0</v>
      </c>
      <c r="B4566" s="20" t="s">
        <v>1997</v>
      </c>
      <c r="C4566" s="20">
        <v>16.0</v>
      </c>
      <c r="D4566" s="20" t="s">
        <v>1990</v>
      </c>
    </row>
    <row r="4567">
      <c r="A4567" s="26">
        <v>44906.6674858912</v>
      </c>
      <c r="B4567" s="20" t="s">
        <v>411</v>
      </c>
      <c r="C4567" s="20">
        <v>8.0</v>
      </c>
      <c r="D4567" s="20" t="s">
        <v>1991</v>
      </c>
    </row>
    <row r="4568">
      <c r="A4568" s="26">
        <v>44906.66798931713</v>
      </c>
      <c r="B4568" s="20" t="s">
        <v>528</v>
      </c>
      <c r="C4568" s="20">
        <v>20.0</v>
      </c>
      <c r="D4568" s="20" t="s">
        <v>1991</v>
      </c>
    </row>
    <row r="4569">
      <c r="A4569" s="26">
        <v>44906.66814819444</v>
      </c>
      <c r="B4569" s="20" t="s">
        <v>528</v>
      </c>
      <c r="C4569" s="20">
        <v>16.0</v>
      </c>
      <c r="D4569" s="20" t="s">
        <v>1990</v>
      </c>
    </row>
    <row r="4570">
      <c r="A4570" s="26">
        <v>44906.66881806713</v>
      </c>
      <c r="B4570" s="20" t="s">
        <v>193</v>
      </c>
      <c r="C4570" s="20">
        <v>36.0</v>
      </c>
      <c r="D4570" s="20" t="s">
        <v>1990</v>
      </c>
    </row>
    <row r="4571">
      <c r="A4571" s="26">
        <v>44906.675160115745</v>
      </c>
      <c r="B4571" s="20" t="s">
        <v>1933</v>
      </c>
      <c r="C4571" s="20">
        <v>20.0</v>
      </c>
      <c r="D4571" s="20" t="s">
        <v>1991</v>
      </c>
    </row>
    <row r="4572">
      <c r="A4572" s="26">
        <v>44906.68126402778</v>
      </c>
      <c r="B4572" s="20" t="s">
        <v>596</v>
      </c>
      <c r="C4572" s="20">
        <v>16.0</v>
      </c>
      <c r="D4572" s="20" t="s">
        <v>1991</v>
      </c>
    </row>
    <row r="4573">
      <c r="A4573" s="28">
        <v>44906.0</v>
      </c>
      <c r="B4573" s="20" t="s">
        <v>366</v>
      </c>
      <c r="C4573" s="20">
        <v>20.0</v>
      </c>
      <c r="D4573" s="20" t="s">
        <v>1991</v>
      </c>
    </row>
    <row r="4574">
      <c r="A4574" s="28">
        <v>44906.0</v>
      </c>
      <c r="B4574" s="20" t="s">
        <v>366</v>
      </c>
      <c r="C4574" s="20">
        <v>19.0</v>
      </c>
      <c r="D4574" s="20" t="s">
        <v>1990</v>
      </c>
    </row>
    <row r="4575">
      <c r="A4575" s="26">
        <v>44906.68155318287</v>
      </c>
      <c r="B4575" s="20" t="s">
        <v>193</v>
      </c>
      <c r="C4575" s="20">
        <v>26.0</v>
      </c>
      <c r="D4575" s="20" t="s">
        <v>1991</v>
      </c>
    </row>
    <row r="4576">
      <c r="A4576" s="28">
        <v>44908.0</v>
      </c>
      <c r="B4576" s="20" t="s">
        <v>1137</v>
      </c>
      <c r="C4576" s="20">
        <v>20.0</v>
      </c>
      <c r="D4576" s="20" t="s">
        <v>1991</v>
      </c>
    </row>
    <row r="4577">
      <c r="A4577" s="28">
        <v>44908.0</v>
      </c>
      <c r="B4577" s="20" t="s">
        <v>1137</v>
      </c>
      <c r="C4577" s="20">
        <v>28.0</v>
      </c>
      <c r="D4577" s="20" t="s">
        <v>1990</v>
      </c>
    </row>
    <row r="4578">
      <c r="A4578" s="28">
        <v>44908.0</v>
      </c>
      <c r="B4578" s="20" t="s">
        <v>995</v>
      </c>
      <c r="C4578" s="20">
        <v>20.0</v>
      </c>
      <c r="D4578" s="20" t="s">
        <v>1991</v>
      </c>
    </row>
    <row r="4579">
      <c r="A4579" s="28">
        <v>44908.0</v>
      </c>
      <c r="B4579" s="20" t="s">
        <v>995</v>
      </c>
      <c r="C4579" s="20">
        <v>15.0</v>
      </c>
      <c r="D4579" s="20" t="s">
        <v>1990</v>
      </c>
    </row>
    <row r="4580">
      <c r="A4580" s="28">
        <v>44908.0</v>
      </c>
      <c r="B4580" s="20" t="s">
        <v>124</v>
      </c>
      <c r="C4580" s="20">
        <v>7.0</v>
      </c>
      <c r="D4580" s="20" t="s">
        <v>1991</v>
      </c>
    </row>
    <row r="4581">
      <c r="A4581" s="28">
        <v>44908.0</v>
      </c>
      <c r="B4581" s="20" t="s">
        <v>124</v>
      </c>
      <c r="C4581" s="20">
        <v>13.0</v>
      </c>
      <c r="D4581" s="20" t="s">
        <v>1990</v>
      </c>
    </row>
    <row r="4582">
      <c r="A4582" s="28">
        <v>44908.0</v>
      </c>
      <c r="B4582" s="20" t="s">
        <v>163</v>
      </c>
      <c r="C4582" s="20">
        <v>4.0</v>
      </c>
      <c r="D4582" s="20" t="s">
        <v>1991</v>
      </c>
    </row>
    <row r="4583">
      <c r="A4583" s="26">
        <v>44908.69315864584</v>
      </c>
      <c r="B4583" s="20" t="s">
        <v>1899</v>
      </c>
      <c r="C4583" s="20">
        <v>18.0</v>
      </c>
      <c r="D4583" s="20" t="s">
        <v>1991</v>
      </c>
    </row>
    <row r="4584">
      <c r="A4584" s="28">
        <v>44908.0</v>
      </c>
      <c r="B4584" s="20" t="s">
        <v>1899</v>
      </c>
      <c r="C4584" s="20">
        <v>3.0</v>
      </c>
      <c r="D4584" s="20" t="s">
        <v>1990</v>
      </c>
    </row>
    <row r="4585">
      <c r="A4585" s="26">
        <v>44908.69562646991</v>
      </c>
      <c r="B4585" s="20" t="s">
        <v>1970</v>
      </c>
      <c r="C4585" s="20">
        <v>15.0</v>
      </c>
      <c r="D4585" s="20" t="s">
        <v>1991</v>
      </c>
    </row>
    <row r="4586">
      <c r="A4586" s="26">
        <v>44908.695899212966</v>
      </c>
      <c r="B4586" s="20" t="s">
        <v>1970</v>
      </c>
      <c r="C4586" s="20">
        <v>1.0</v>
      </c>
      <c r="D4586" s="20" t="s">
        <v>1990</v>
      </c>
    </row>
    <row r="4587">
      <c r="A4587" s="26">
        <v>44908.69641282407</v>
      </c>
      <c r="B4587" s="20" t="s">
        <v>1946</v>
      </c>
      <c r="C4587" s="20">
        <v>20.0</v>
      </c>
      <c r="D4587" s="20" t="s">
        <v>1991</v>
      </c>
    </row>
    <row r="4588">
      <c r="A4588" s="26">
        <v>44908.698049108796</v>
      </c>
      <c r="B4588" s="20" t="s">
        <v>2057</v>
      </c>
      <c r="C4588" s="20">
        <v>11.0</v>
      </c>
      <c r="D4588" s="20" t="s">
        <v>1991</v>
      </c>
    </row>
    <row r="4589">
      <c r="A4589" s="26">
        <v>44908.69827324074</v>
      </c>
      <c r="B4589" s="20" t="s">
        <v>2057</v>
      </c>
      <c r="C4589" s="20">
        <v>1.0</v>
      </c>
      <c r="D4589" s="20" t="s">
        <v>1990</v>
      </c>
    </row>
    <row r="4590">
      <c r="A4590" s="26">
        <v>44908.69967405093</v>
      </c>
      <c r="B4590" s="20" t="s">
        <v>2035</v>
      </c>
      <c r="C4590" s="20">
        <v>20.0</v>
      </c>
      <c r="D4590" s="20" t="s">
        <v>1991</v>
      </c>
    </row>
    <row r="4591">
      <c r="A4591" s="26">
        <v>44908.69990384259</v>
      </c>
      <c r="B4591" s="20" t="s">
        <v>2035</v>
      </c>
      <c r="C4591" s="20">
        <v>10.0</v>
      </c>
      <c r="D4591" s="20" t="s">
        <v>1990</v>
      </c>
    </row>
    <row r="4592">
      <c r="A4592" s="26">
        <v>44908.70321309028</v>
      </c>
      <c r="B4592" s="20" t="s">
        <v>614</v>
      </c>
      <c r="C4592" s="20">
        <v>19.0</v>
      </c>
      <c r="D4592" s="20" t="s">
        <v>1991</v>
      </c>
    </row>
    <row r="4593">
      <c r="A4593" s="26">
        <v>44908.703549178244</v>
      </c>
      <c r="B4593" s="20" t="s">
        <v>614</v>
      </c>
      <c r="C4593" s="20">
        <v>6.0</v>
      </c>
      <c r="D4593" s="20" t="s">
        <v>1990</v>
      </c>
    </row>
    <row r="4594">
      <c r="A4594" s="26">
        <v>44908.90765826389</v>
      </c>
      <c r="B4594" s="20" t="s">
        <v>1996</v>
      </c>
      <c r="C4594" s="20">
        <v>19.0</v>
      </c>
      <c r="D4594" s="20" t="s">
        <v>1991</v>
      </c>
    </row>
    <row r="4595">
      <c r="A4595" s="26">
        <v>44908.90776278936</v>
      </c>
      <c r="B4595" s="20" t="s">
        <v>1996</v>
      </c>
      <c r="C4595" s="20">
        <v>21.0</v>
      </c>
      <c r="D4595" s="20" t="s">
        <v>1990</v>
      </c>
    </row>
    <row r="4596">
      <c r="A4596" s="28">
        <v>44909.0</v>
      </c>
      <c r="B4596" s="20" t="s">
        <v>366</v>
      </c>
      <c r="C4596" s="20">
        <v>12.0</v>
      </c>
      <c r="D4596" s="20" t="s">
        <v>1991</v>
      </c>
    </row>
    <row r="4597">
      <c r="A4597" s="28">
        <v>44909.0</v>
      </c>
      <c r="B4597" s="20" t="s">
        <v>366</v>
      </c>
      <c r="C4597" s="20">
        <v>13.0</v>
      </c>
      <c r="D4597" s="20" t="s">
        <v>1990</v>
      </c>
    </row>
    <row r="4598">
      <c r="A4598" s="28">
        <v>44909.0</v>
      </c>
      <c r="B4598" s="20" t="s">
        <v>2086</v>
      </c>
      <c r="C4598" s="20">
        <v>12.0</v>
      </c>
      <c r="D4598" s="20" t="s">
        <v>1991</v>
      </c>
    </row>
    <row r="4599">
      <c r="A4599" s="28">
        <v>44909.0</v>
      </c>
      <c r="B4599" s="20" t="s">
        <v>1803</v>
      </c>
      <c r="C4599" s="20">
        <v>20.0</v>
      </c>
      <c r="D4599" s="20" t="s">
        <v>1991</v>
      </c>
    </row>
    <row r="4600">
      <c r="A4600" s="28">
        <v>44909.0</v>
      </c>
      <c r="B4600" s="20" t="s">
        <v>552</v>
      </c>
      <c r="C4600" s="20">
        <v>11.0</v>
      </c>
      <c r="D4600" s="20" t="s">
        <v>1991</v>
      </c>
    </row>
    <row r="4601">
      <c r="A4601" s="28">
        <v>44909.0</v>
      </c>
      <c r="B4601" s="20" t="s">
        <v>1357</v>
      </c>
      <c r="C4601" s="20">
        <v>5.0</v>
      </c>
      <c r="D4601" s="20" t="s">
        <v>1990</v>
      </c>
    </row>
    <row r="4602">
      <c r="A4602" s="26">
        <v>44909.57266666667</v>
      </c>
      <c r="B4602" s="20" t="s">
        <v>2128</v>
      </c>
      <c r="C4602" s="20">
        <v>11.0</v>
      </c>
      <c r="D4602" s="20" t="s">
        <v>1991</v>
      </c>
    </row>
    <row r="4603">
      <c r="A4603" s="26">
        <v>44909.711308032405</v>
      </c>
      <c r="B4603" s="20" t="s">
        <v>2015</v>
      </c>
      <c r="C4603" s="20">
        <v>5.0</v>
      </c>
      <c r="D4603" s="20" t="s">
        <v>1991</v>
      </c>
    </row>
    <row r="4604">
      <c r="A4604" s="26">
        <v>44909.711422418986</v>
      </c>
      <c r="B4604" s="20" t="s">
        <v>2096</v>
      </c>
      <c r="C4604" s="20">
        <v>12.0</v>
      </c>
      <c r="D4604" s="20" t="s">
        <v>1991</v>
      </c>
    </row>
    <row r="4605">
      <c r="A4605" s="26">
        <v>44909.85812373842</v>
      </c>
      <c r="B4605" s="20" t="s">
        <v>614</v>
      </c>
      <c r="C4605" s="20">
        <v>17.0</v>
      </c>
      <c r="D4605" s="20" t="s">
        <v>1991</v>
      </c>
    </row>
    <row r="4606">
      <c r="A4606" s="26">
        <v>44909.86233517361</v>
      </c>
      <c r="B4606" s="20" t="s">
        <v>804</v>
      </c>
      <c r="C4606" s="20">
        <v>7.0</v>
      </c>
      <c r="D4606" s="20" t="s">
        <v>1991</v>
      </c>
    </row>
    <row r="4607">
      <c r="A4607" s="26">
        <v>44909.86755871528</v>
      </c>
      <c r="B4607" s="20" t="s">
        <v>824</v>
      </c>
      <c r="C4607" s="20">
        <v>20.0</v>
      </c>
      <c r="D4607" s="20" t="s">
        <v>1991</v>
      </c>
    </row>
    <row r="4608">
      <c r="A4608" s="26">
        <v>44909.86770293981</v>
      </c>
      <c r="B4608" s="20" t="s">
        <v>824</v>
      </c>
      <c r="C4608" s="20">
        <v>7.0</v>
      </c>
      <c r="D4608" s="20" t="s">
        <v>1990</v>
      </c>
    </row>
    <row r="4609">
      <c r="A4609" s="28">
        <v>44910.0</v>
      </c>
      <c r="B4609" s="20" t="s">
        <v>2038</v>
      </c>
      <c r="C4609" s="20">
        <v>20.0</v>
      </c>
      <c r="D4609" s="20" t="s">
        <v>1991</v>
      </c>
    </row>
    <row r="4610">
      <c r="A4610" s="28">
        <v>44910.0</v>
      </c>
      <c r="B4610" s="20" t="s">
        <v>2129</v>
      </c>
      <c r="C4610" s="20">
        <v>20.0</v>
      </c>
      <c r="D4610" s="20" t="s">
        <v>1991</v>
      </c>
    </row>
    <row r="4611">
      <c r="A4611" s="28">
        <v>44910.0</v>
      </c>
      <c r="B4611" s="20" t="s">
        <v>2129</v>
      </c>
      <c r="C4611" s="20">
        <v>8.0</v>
      </c>
      <c r="D4611" s="20" t="s">
        <v>1990</v>
      </c>
    </row>
    <row r="4612">
      <c r="A4612" s="26">
        <v>44910.69697469907</v>
      </c>
      <c r="B4612" s="20" t="s">
        <v>327</v>
      </c>
      <c r="C4612" s="20">
        <v>6.0</v>
      </c>
      <c r="D4612" s="20" t="s">
        <v>1991</v>
      </c>
    </row>
    <row r="4613">
      <c r="A4613" s="26">
        <v>44910.70001444445</v>
      </c>
      <c r="B4613" s="20" t="s">
        <v>163</v>
      </c>
      <c r="C4613" s="20">
        <v>22.0</v>
      </c>
      <c r="D4613" s="20" t="s">
        <v>1991</v>
      </c>
    </row>
    <row r="4614">
      <c r="A4614" s="26">
        <v>44910.73173590278</v>
      </c>
      <c r="B4614" s="20" t="s">
        <v>163</v>
      </c>
      <c r="C4614" s="20">
        <v>1.0</v>
      </c>
      <c r="D4614" s="20" t="s">
        <v>1991</v>
      </c>
    </row>
    <row r="4615">
      <c r="A4615" s="26">
        <v>44910.85426565973</v>
      </c>
      <c r="B4615" s="20" t="s">
        <v>1562</v>
      </c>
      <c r="C4615" s="20">
        <v>15.0</v>
      </c>
      <c r="D4615" s="20" t="s">
        <v>1991</v>
      </c>
    </row>
    <row r="4616">
      <c r="A4616" s="28">
        <v>44911.0</v>
      </c>
      <c r="B4616" s="20" t="s">
        <v>366</v>
      </c>
      <c r="C4616" s="20">
        <v>8.0</v>
      </c>
      <c r="D4616" s="20" t="s">
        <v>1990</v>
      </c>
    </row>
    <row r="4617">
      <c r="A4617" s="28">
        <v>44911.0</v>
      </c>
      <c r="B4617" s="20" t="s">
        <v>1965</v>
      </c>
      <c r="C4617" s="20">
        <v>10.0</v>
      </c>
      <c r="D4617" s="20" t="s">
        <v>1991</v>
      </c>
    </row>
    <row r="4618">
      <c r="A4618" s="28">
        <v>44911.0</v>
      </c>
      <c r="B4618" s="20" t="s">
        <v>1965</v>
      </c>
      <c r="C4618" s="20">
        <v>5.0</v>
      </c>
      <c r="D4618" s="20" t="s">
        <v>1990</v>
      </c>
    </row>
    <row r="4619">
      <c r="A4619" s="26">
        <v>44911.70959622685</v>
      </c>
      <c r="B4619" s="20" t="s">
        <v>591</v>
      </c>
      <c r="C4619" s="20">
        <v>8.0</v>
      </c>
      <c r="D4619" s="20" t="s">
        <v>1991</v>
      </c>
    </row>
    <row r="4620">
      <c r="A4620" s="26">
        <v>44911.712339618054</v>
      </c>
      <c r="B4620" s="20" t="s">
        <v>344</v>
      </c>
      <c r="C4620" s="20">
        <v>6.0</v>
      </c>
      <c r="D4620" s="20" t="s">
        <v>1991</v>
      </c>
    </row>
    <row r="4621">
      <c r="A4621" s="26">
        <v>44911.71250569445</v>
      </c>
      <c r="B4621" s="20" t="s">
        <v>344</v>
      </c>
      <c r="C4621" s="20">
        <v>10.0</v>
      </c>
      <c r="D4621" s="20" t="s">
        <v>1990</v>
      </c>
    </row>
    <row r="4622">
      <c r="A4622" s="28">
        <v>44912.0</v>
      </c>
      <c r="B4622" s="20" t="s">
        <v>366</v>
      </c>
      <c r="C4622" s="20">
        <v>6.0</v>
      </c>
      <c r="D4622" s="20" t="s">
        <v>1991</v>
      </c>
    </row>
    <row r="4623">
      <c r="A4623" s="28">
        <v>44912.0</v>
      </c>
      <c r="B4623" s="20" t="s">
        <v>1835</v>
      </c>
      <c r="C4623" s="20">
        <v>9.0</v>
      </c>
      <c r="D4623" s="20" t="s">
        <v>1991</v>
      </c>
    </row>
    <row r="4624">
      <c r="A4624" s="28">
        <v>44912.0</v>
      </c>
      <c r="B4624" s="20" t="s">
        <v>1834</v>
      </c>
      <c r="C4624" s="20">
        <v>3.0</v>
      </c>
      <c r="D4624" s="20" t="s">
        <v>1991</v>
      </c>
    </row>
    <row r="4625">
      <c r="A4625" s="26">
        <v>44912.507398229165</v>
      </c>
      <c r="B4625" s="20" t="s">
        <v>2130</v>
      </c>
      <c r="C4625" s="20">
        <v>7.0</v>
      </c>
      <c r="D4625" s="20" t="s">
        <v>1991</v>
      </c>
    </row>
    <row r="4626">
      <c r="A4626" s="26">
        <v>44912.70699127315</v>
      </c>
      <c r="B4626" s="20" t="s">
        <v>300</v>
      </c>
      <c r="C4626" s="20">
        <v>15.0</v>
      </c>
      <c r="D4626" s="20" t="s">
        <v>1991</v>
      </c>
    </row>
    <row r="4627">
      <c r="A4627" s="26">
        <v>44912.711070046294</v>
      </c>
      <c r="B4627" s="20" t="s">
        <v>178</v>
      </c>
      <c r="C4627" s="20">
        <v>10.0</v>
      </c>
      <c r="D4627" s="20" t="s">
        <v>1991</v>
      </c>
    </row>
    <row r="4628">
      <c r="A4628" s="28">
        <v>44913.0</v>
      </c>
      <c r="B4628" s="20" t="s">
        <v>366</v>
      </c>
      <c r="C4628" s="20">
        <v>12.0</v>
      </c>
      <c r="D4628" s="20" t="s">
        <v>1991</v>
      </c>
    </row>
    <row r="4629">
      <c r="A4629" s="28">
        <v>44913.0</v>
      </c>
      <c r="B4629" s="20" t="s">
        <v>366</v>
      </c>
      <c r="C4629" s="20">
        <v>25.0</v>
      </c>
      <c r="D4629" s="20" t="s">
        <v>1990</v>
      </c>
    </row>
    <row r="4630">
      <c r="A4630" s="26">
        <v>44913.671695509256</v>
      </c>
      <c r="B4630" s="20" t="s">
        <v>1228</v>
      </c>
      <c r="C4630" s="20">
        <v>9.0</v>
      </c>
      <c r="D4630" s="20" t="s">
        <v>1991</v>
      </c>
    </row>
    <row r="4631">
      <c r="A4631" s="26">
        <v>44913.67341831018</v>
      </c>
      <c r="B4631" s="20" t="s">
        <v>2054</v>
      </c>
      <c r="C4631" s="20">
        <v>9.0</v>
      </c>
      <c r="D4631" s="20" t="s">
        <v>1990</v>
      </c>
    </row>
    <row r="4632">
      <c r="A4632" s="26">
        <v>44913.67431125</v>
      </c>
      <c r="B4632" s="20" t="s">
        <v>2054</v>
      </c>
      <c r="C4632" s="20">
        <v>7.0</v>
      </c>
      <c r="D4632" s="20" t="s">
        <v>1991</v>
      </c>
    </row>
    <row r="4633">
      <c r="A4633" s="26">
        <v>44913.68499822917</v>
      </c>
      <c r="B4633" s="20" t="s">
        <v>683</v>
      </c>
      <c r="C4633" s="20">
        <v>11.0</v>
      </c>
      <c r="D4633" s="20" t="s">
        <v>1991</v>
      </c>
    </row>
    <row r="4634">
      <c r="A4634" s="26">
        <v>44913.68549462963</v>
      </c>
      <c r="B4634" s="20" t="s">
        <v>411</v>
      </c>
      <c r="C4634" s="20">
        <v>16.0</v>
      </c>
      <c r="D4634" s="20" t="s">
        <v>1991</v>
      </c>
    </row>
    <row r="4635">
      <c r="A4635" s="26">
        <v>44913.68740869213</v>
      </c>
      <c r="B4635" s="20" t="s">
        <v>995</v>
      </c>
      <c r="C4635" s="20">
        <v>20.0</v>
      </c>
      <c r="D4635" s="20" t="s">
        <v>1991</v>
      </c>
    </row>
    <row r="4636">
      <c r="A4636" s="26">
        <v>44913.68758013889</v>
      </c>
      <c r="B4636" s="20" t="s">
        <v>995</v>
      </c>
      <c r="C4636" s="20">
        <v>30.0</v>
      </c>
      <c r="D4636" s="20" t="s">
        <v>1990</v>
      </c>
    </row>
    <row r="4637">
      <c r="A4637" s="28">
        <v>44915.0</v>
      </c>
      <c r="B4637" s="20" t="s">
        <v>2057</v>
      </c>
      <c r="C4637" s="20">
        <v>14.0</v>
      </c>
      <c r="D4637" s="20" t="s">
        <v>1991</v>
      </c>
    </row>
    <row r="4638">
      <c r="A4638" s="28">
        <v>44915.0</v>
      </c>
      <c r="B4638" s="20" t="s">
        <v>2057</v>
      </c>
      <c r="C4638" s="20">
        <v>2.0</v>
      </c>
      <c r="D4638" s="20" t="s">
        <v>1990</v>
      </c>
    </row>
    <row r="4639">
      <c r="A4639" s="28">
        <v>44915.0</v>
      </c>
      <c r="B4639" s="20" t="s">
        <v>962</v>
      </c>
      <c r="C4639" s="20">
        <v>26.0</v>
      </c>
      <c r="D4639" s="20" t="s">
        <v>1991</v>
      </c>
    </row>
    <row r="4640">
      <c r="A4640" s="28">
        <v>44915.0</v>
      </c>
      <c r="B4640" s="20" t="s">
        <v>163</v>
      </c>
      <c r="C4640" s="20">
        <v>46.0</v>
      </c>
      <c r="D4640" s="20" t="s">
        <v>1990</v>
      </c>
    </row>
    <row r="4641">
      <c r="A4641" s="28">
        <v>44915.0</v>
      </c>
      <c r="B4641" s="20" t="s">
        <v>995</v>
      </c>
      <c r="C4641" s="20">
        <v>20.0</v>
      </c>
      <c r="D4641" s="20" t="s">
        <v>1991</v>
      </c>
    </row>
    <row r="4642">
      <c r="A4642" s="28">
        <v>44915.0</v>
      </c>
      <c r="B4642" s="20" t="s">
        <v>995</v>
      </c>
      <c r="C4642" s="20">
        <v>28.0</v>
      </c>
      <c r="D4642" s="20" t="s">
        <v>1990</v>
      </c>
    </row>
    <row r="4643">
      <c r="A4643" s="28">
        <v>44915.0</v>
      </c>
      <c r="B4643" s="20" t="s">
        <v>1137</v>
      </c>
      <c r="C4643" s="20">
        <v>20.0</v>
      </c>
      <c r="D4643" s="20" t="s">
        <v>1991</v>
      </c>
    </row>
    <row r="4644">
      <c r="A4644" s="28">
        <v>44915.0</v>
      </c>
      <c r="B4644" s="20" t="s">
        <v>1137</v>
      </c>
      <c r="C4644" s="20">
        <v>46.0</v>
      </c>
      <c r="D4644" s="20" t="s">
        <v>1990</v>
      </c>
    </row>
    <row r="4645">
      <c r="A4645" s="26">
        <v>44915.70686332176</v>
      </c>
      <c r="B4645" s="20" t="s">
        <v>1946</v>
      </c>
      <c r="C4645" s="20">
        <v>10.0</v>
      </c>
      <c r="D4645" s="20" t="s">
        <v>1991</v>
      </c>
    </row>
    <row r="4646">
      <c r="A4646" s="26">
        <v>44915.70710170139</v>
      </c>
      <c r="B4646" s="20" t="s">
        <v>1946</v>
      </c>
      <c r="C4646" s="20">
        <v>14.0</v>
      </c>
      <c r="D4646" s="20" t="s">
        <v>1990</v>
      </c>
    </row>
    <row r="4647">
      <c r="A4647" s="26">
        <v>44915.70775480324</v>
      </c>
      <c r="B4647" s="20" t="s">
        <v>1970</v>
      </c>
      <c r="C4647" s="20">
        <v>9.0</v>
      </c>
      <c r="D4647" s="20" t="s">
        <v>1991</v>
      </c>
    </row>
    <row r="4648">
      <c r="A4648" s="26">
        <v>44915.70819185185</v>
      </c>
      <c r="B4648" s="20" t="s">
        <v>1970</v>
      </c>
      <c r="C4648" s="20">
        <v>9.0</v>
      </c>
      <c r="D4648" s="20" t="s">
        <v>1990</v>
      </c>
    </row>
    <row r="4649">
      <c r="A4649" s="26">
        <v>44915.70901153935</v>
      </c>
      <c r="B4649" s="20" t="s">
        <v>2035</v>
      </c>
      <c r="C4649" s="20">
        <v>13.0</v>
      </c>
      <c r="D4649" s="20" t="s">
        <v>1991</v>
      </c>
    </row>
    <row r="4650">
      <c r="A4650" s="26">
        <v>44915.70927724537</v>
      </c>
      <c r="B4650" s="20" t="s">
        <v>2035</v>
      </c>
      <c r="C4650" s="20">
        <v>8.0</v>
      </c>
      <c r="D4650" s="20" t="s">
        <v>1990</v>
      </c>
    </row>
    <row r="4651">
      <c r="A4651" s="26">
        <v>44915.714434814814</v>
      </c>
      <c r="B4651" s="20" t="s">
        <v>1996</v>
      </c>
      <c r="C4651" s="20">
        <v>20.0</v>
      </c>
      <c r="D4651" s="20" t="s">
        <v>1991</v>
      </c>
    </row>
    <row r="4652">
      <c r="A4652" s="26">
        <v>44915.71458959491</v>
      </c>
      <c r="B4652" s="20" t="s">
        <v>1996</v>
      </c>
      <c r="C4652" s="20">
        <v>33.0</v>
      </c>
      <c r="D4652" s="20" t="s">
        <v>1990</v>
      </c>
    </row>
    <row r="4653">
      <c r="A4653" s="26">
        <v>44915.71871439814</v>
      </c>
      <c r="B4653" s="20" t="s">
        <v>614</v>
      </c>
      <c r="C4653" s="20">
        <v>20.0</v>
      </c>
      <c r="D4653" s="20" t="s">
        <v>1991</v>
      </c>
    </row>
    <row r="4654">
      <c r="A4654" s="26">
        <v>44915.71906186343</v>
      </c>
      <c r="B4654" s="20" t="s">
        <v>614</v>
      </c>
      <c r="C4654" s="20">
        <v>40.0</v>
      </c>
      <c r="D4654" s="20" t="s">
        <v>1990</v>
      </c>
    </row>
    <row r="4655">
      <c r="A4655" s="26">
        <v>44916.572097303244</v>
      </c>
      <c r="B4655" s="20" t="s">
        <v>1759</v>
      </c>
      <c r="C4655" s="20">
        <v>2.0</v>
      </c>
      <c r="D4655" s="20" t="s">
        <v>1991</v>
      </c>
    </row>
    <row r="4656">
      <c r="A4656" s="26">
        <v>44916.749470625</v>
      </c>
      <c r="B4656" s="20" t="s">
        <v>177</v>
      </c>
      <c r="C4656" s="20">
        <v>7.0</v>
      </c>
      <c r="D4656" s="20" t="s">
        <v>1991</v>
      </c>
    </row>
    <row r="4657">
      <c r="A4657" s="28">
        <v>44916.0</v>
      </c>
      <c r="B4657" s="20" t="s">
        <v>366</v>
      </c>
      <c r="C4657" s="20">
        <v>7.0</v>
      </c>
      <c r="D4657" s="20" t="s">
        <v>1991</v>
      </c>
    </row>
    <row r="4658">
      <c r="A4658" s="28">
        <v>44916.0</v>
      </c>
      <c r="B4658" s="20" t="s">
        <v>366</v>
      </c>
      <c r="C4658" s="20">
        <v>13.0</v>
      </c>
      <c r="D4658" s="20" t="s">
        <v>1990</v>
      </c>
    </row>
    <row r="4659">
      <c r="A4659" s="28">
        <v>44916.0</v>
      </c>
      <c r="B4659" s="20" t="s">
        <v>2086</v>
      </c>
      <c r="C4659" s="20">
        <v>13.0</v>
      </c>
      <c r="D4659" s="20" t="s">
        <v>1991</v>
      </c>
    </row>
    <row r="4660">
      <c r="A4660" s="26">
        <v>44916.901118009264</v>
      </c>
      <c r="B4660" s="20" t="s">
        <v>1551</v>
      </c>
      <c r="C4660" s="20">
        <v>7.0</v>
      </c>
      <c r="D4660" s="20" t="s">
        <v>1991</v>
      </c>
    </row>
    <row r="4661">
      <c r="A4661" s="26">
        <v>44916.90572138889</v>
      </c>
      <c r="B4661" s="20" t="s">
        <v>614</v>
      </c>
      <c r="C4661" s="20">
        <v>20.0</v>
      </c>
      <c r="D4661" s="20" t="s">
        <v>1991</v>
      </c>
    </row>
    <row r="4662">
      <c r="A4662" s="26">
        <v>44916.91404229167</v>
      </c>
      <c r="B4662" s="20" t="s">
        <v>1588</v>
      </c>
      <c r="C4662" s="20">
        <v>13.0</v>
      </c>
      <c r="D4662" s="20" t="s">
        <v>1991</v>
      </c>
    </row>
    <row r="4663">
      <c r="A4663" s="26">
        <v>44916.91422377314</v>
      </c>
      <c r="B4663" s="20" t="s">
        <v>824</v>
      </c>
      <c r="C4663" s="20">
        <v>19.0</v>
      </c>
      <c r="D4663" s="20" t="s">
        <v>1991</v>
      </c>
    </row>
    <row r="4664">
      <c r="A4664" s="26">
        <v>44916.91435172454</v>
      </c>
      <c r="B4664" s="20" t="s">
        <v>760</v>
      </c>
      <c r="C4664" s="20">
        <v>20.0</v>
      </c>
      <c r="D4664" s="20" t="s">
        <v>1990</v>
      </c>
    </row>
    <row r="4665">
      <c r="A4665" s="26">
        <v>44916.91480622685</v>
      </c>
      <c r="B4665" s="20" t="s">
        <v>2003</v>
      </c>
      <c r="C4665" s="20">
        <v>20.0</v>
      </c>
      <c r="D4665" s="20" t="s">
        <v>1991</v>
      </c>
    </row>
    <row r="4666">
      <c r="A4666" s="26">
        <v>44916.914924895835</v>
      </c>
      <c r="B4666" s="20" t="s">
        <v>1943</v>
      </c>
      <c r="C4666" s="20">
        <v>15.0</v>
      </c>
      <c r="D4666" s="20" t="s">
        <v>1990</v>
      </c>
    </row>
    <row r="4667">
      <c r="A4667" s="28">
        <v>44916.0</v>
      </c>
      <c r="B4667" s="20" t="s">
        <v>2131</v>
      </c>
      <c r="C4667" s="20">
        <v>14.0</v>
      </c>
      <c r="D4667" s="20" t="s">
        <v>1991</v>
      </c>
    </row>
    <row r="4668">
      <c r="A4668" s="28">
        <v>44916.0</v>
      </c>
      <c r="B4668" s="20" t="s">
        <v>1834</v>
      </c>
      <c r="C4668" s="20">
        <v>20.0</v>
      </c>
      <c r="D4668" s="20" t="s">
        <v>1991</v>
      </c>
    </row>
    <row r="4669">
      <c r="A4669" s="28">
        <v>44916.0</v>
      </c>
      <c r="B4669" s="20" t="s">
        <v>1834</v>
      </c>
      <c r="C4669" s="20">
        <v>4.0</v>
      </c>
      <c r="D4669" s="20" t="s">
        <v>1990</v>
      </c>
    </row>
    <row r="4670">
      <c r="A4670" s="28">
        <v>44916.0</v>
      </c>
      <c r="B4670" s="20" t="s">
        <v>1871</v>
      </c>
      <c r="C4670" s="20">
        <v>20.0</v>
      </c>
      <c r="D4670" s="20" t="s">
        <v>1991</v>
      </c>
    </row>
    <row r="4671">
      <c r="A4671" s="28">
        <v>44916.0</v>
      </c>
      <c r="B4671" s="20" t="s">
        <v>1871</v>
      </c>
      <c r="C4671" s="20">
        <v>11.0</v>
      </c>
      <c r="D4671" s="20" t="s">
        <v>1990</v>
      </c>
    </row>
    <row r="4672">
      <c r="A4672" s="28">
        <v>44916.0</v>
      </c>
      <c r="B4672" s="20" t="s">
        <v>2132</v>
      </c>
      <c r="C4672" s="20">
        <v>8.0</v>
      </c>
      <c r="D4672" s="20" t="s">
        <v>1991</v>
      </c>
    </row>
    <row r="4673">
      <c r="A4673" s="28">
        <v>44916.0</v>
      </c>
      <c r="B4673" s="20" t="s">
        <v>2132</v>
      </c>
      <c r="C4673" s="20">
        <v>7.0</v>
      </c>
      <c r="D4673" s="20" t="s">
        <v>1990</v>
      </c>
    </row>
    <row r="4674">
      <c r="A4674" s="28">
        <v>44916.0</v>
      </c>
      <c r="B4674" s="20" t="s">
        <v>2133</v>
      </c>
      <c r="C4674" s="20">
        <v>14.0</v>
      </c>
      <c r="D4674" s="20" t="s">
        <v>1991</v>
      </c>
    </row>
    <row r="4675">
      <c r="A4675" s="28">
        <v>44916.0</v>
      </c>
      <c r="B4675" s="20" t="s">
        <v>2133</v>
      </c>
      <c r="C4675" s="20">
        <v>28.0</v>
      </c>
      <c r="D4675" s="20" t="s">
        <v>1990</v>
      </c>
    </row>
    <row r="4676">
      <c r="A4676" s="28">
        <v>44916.0</v>
      </c>
      <c r="B4676" s="20" t="s">
        <v>1908</v>
      </c>
      <c r="C4676" s="20">
        <v>14.0</v>
      </c>
      <c r="D4676" s="20" t="s">
        <v>1991</v>
      </c>
    </row>
    <row r="4677">
      <c r="A4677" s="28">
        <v>44916.0</v>
      </c>
      <c r="B4677" s="20" t="s">
        <v>1908</v>
      </c>
      <c r="C4677" s="20">
        <v>5.0</v>
      </c>
      <c r="D4677" s="20" t="s">
        <v>1990</v>
      </c>
    </row>
    <row r="4678">
      <c r="A4678" s="28">
        <v>44916.0</v>
      </c>
      <c r="B4678" s="20" t="s">
        <v>1909</v>
      </c>
      <c r="C4678" s="20">
        <v>17.0</v>
      </c>
      <c r="D4678" s="20" t="s">
        <v>1991</v>
      </c>
    </row>
    <row r="4679">
      <c r="A4679" s="28">
        <v>44916.0</v>
      </c>
      <c r="B4679" s="20" t="s">
        <v>1909</v>
      </c>
      <c r="C4679" s="20">
        <v>12.0</v>
      </c>
      <c r="D4679" s="20" t="s">
        <v>1990</v>
      </c>
    </row>
    <row r="4680">
      <c r="A4680" s="26">
        <v>44917.628577881944</v>
      </c>
      <c r="B4680" s="20" t="s">
        <v>637</v>
      </c>
      <c r="C4680" s="20">
        <v>25.0</v>
      </c>
      <c r="D4680" s="20" t="s">
        <v>1990</v>
      </c>
    </row>
    <row r="4681">
      <c r="A4681" s="26">
        <v>44917.62876097222</v>
      </c>
      <c r="B4681" s="20" t="s">
        <v>2134</v>
      </c>
      <c r="C4681" s="20">
        <v>18.0</v>
      </c>
      <c r="D4681" s="20" t="s">
        <v>1991</v>
      </c>
    </row>
    <row r="4682">
      <c r="A4682" s="26">
        <v>44917.698257199074</v>
      </c>
      <c r="B4682" s="20" t="s">
        <v>163</v>
      </c>
      <c r="C4682" s="20">
        <v>50.0</v>
      </c>
      <c r="D4682" s="20" t="s">
        <v>1991</v>
      </c>
    </row>
    <row r="4683">
      <c r="A4683" s="26">
        <v>44917.69849952546</v>
      </c>
      <c r="B4683" s="20" t="s">
        <v>163</v>
      </c>
      <c r="C4683" s="20">
        <v>18.0</v>
      </c>
      <c r="D4683" s="20" t="s">
        <v>1990</v>
      </c>
    </row>
    <row r="4684">
      <c r="A4684" s="26">
        <v>44917.69987693287</v>
      </c>
      <c r="B4684" s="20" t="s">
        <v>966</v>
      </c>
      <c r="C4684" s="20">
        <v>10.0</v>
      </c>
      <c r="D4684" s="20" t="s">
        <v>1991</v>
      </c>
    </row>
    <row r="4685">
      <c r="A4685" s="28">
        <v>44922.0</v>
      </c>
      <c r="B4685" s="20" t="s">
        <v>2035</v>
      </c>
      <c r="C4685" s="20">
        <v>19.0</v>
      </c>
      <c r="D4685" s="20" t="s">
        <v>1991</v>
      </c>
    </row>
    <row r="4686">
      <c r="A4686" s="28">
        <v>44922.0</v>
      </c>
      <c r="B4686" s="20" t="s">
        <v>2035</v>
      </c>
      <c r="C4686" s="20">
        <v>7.0</v>
      </c>
      <c r="D4686" s="20" t="s">
        <v>1990</v>
      </c>
    </row>
    <row r="4687">
      <c r="A4687" s="28">
        <v>44922.0</v>
      </c>
      <c r="B4687" s="20" t="s">
        <v>1137</v>
      </c>
      <c r="C4687" s="20">
        <v>17.0</v>
      </c>
      <c r="D4687" s="20" t="s">
        <v>1991</v>
      </c>
    </row>
    <row r="4688">
      <c r="A4688" s="28">
        <v>44922.0</v>
      </c>
      <c r="B4688" s="20" t="s">
        <v>1137</v>
      </c>
      <c r="C4688" s="20">
        <v>17.0</v>
      </c>
      <c r="D4688" s="20" t="s">
        <v>1990</v>
      </c>
    </row>
    <row r="4689">
      <c r="A4689" s="26">
        <v>44922.6835502662</v>
      </c>
      <c r="B4689" s="20" t="s">
        <v>2057</v>
      </c>
      <c r="C4689" s="20">
        <v>13.0</v>
      </c>
      <c r="D4689" s="20" t="s">
        <v>1991</v>
      </c>
    </row>
    <row r="4690">
      <c r="A4690" s="26">
        <v>44922.68627450231</v>
      </c>
      <c r="B4690" s="20" t="s">
        <v>2035</v>
      </c>
      <c r="C4690" s="20">
        <v>19.0</v>
      </c>
      <c r="D4690" s="20" t="s">
        <v>1991</v>
      </c>
    </row>
    <row r="4691">
      <c r="A4691" s="26">
        <v>44922.686546365745</v>
      </c>
      <c r="B4691" s="20" t="s">
        <v>2035</v>
      </c>
      <c r="C4691" s="20">
        <v>7.0</v>
      </c>
      <c r="D4691" s="20" t="s">
        <v>1990</v>
      </c>
    </row>
    <row r="4692">
      <c r="A4692" s="26">
        <v>44922.68713333333</v>
      </c>
      <c r="B4692" s="20" t="s">
        <v>614</v>
      </c>
      <c r="C4692" s="20">
        <v>20.0</v>
      </c>
      <c r="D4692" s="20" t="s">
        <v>1991</v>
      </c>
    </row>
    <row r="4693">
      <c r="A4693" s="26">
        <v>44922.68721682871</v>
      </c>
      <c r="B4693" s="20" t="s">
        <v>1946</v>
      </c>
      <c r="C4693" s="20">
        <v>12.0</v>
      </c>
      <c r="D4693" s="20" t="s">
        <v>1991</v>
      </c>
    </row>
    <row r="4694">
      <c r="A4694" s="26">
        <v>44922.68726510416</v>
      </c>
      <c r="B4694" s="20" t="s">
        <v>614</v>
      </c>
      <c r="C4694" s="20">
        <v>6.0</v>
      </c>
      <c r="D4694" s="20" t="s">
        <v>1990</v>
      </c>
    </row>
    <row r="4695">
      <c r="A4695" s="26">
        <v>44922.68794877315</v>
      </c>
      <c r="B4695" s="20" t="s">
        <v>1970</v>
      </c>
      <c r="C4695" s="20">
        <v>11.0</v>
      </c>
      <c r="D4695" s="20" t="s">
        <v>1991</v>
      </c>
    </row>
    <row r="4696">
      <c r="A4696" s="26">
        <v>44922.6909456713</v>
      </c>
      <c r="B4696" s="20" t="s">
        <v>163</v>
      </c>
      <c r="C4696" s="20">
        <v>5.0</v>
      </c>
      <c r="D4696" s="20" t="s">
        <v>1991</v>
      </c>
    </row>
    <row r="4697">
      <c r="A4697" s="26">
        <v>44922.69104207176</v>
      </c>
      <c r="B4697" s="20" t="s">
        <v>1996</v>
      </c>
      <c r="C4697" s="20">
        <v>19.0</v>
      </c>
      <c r="D4697" s="20" t="s">
        <v>1991</v>
      </c>
    </row>
    <row r="4698">
      <c r="A4698" s="26">
        <v>44922.69121377315</v>
      </c>
      <c r="B4698" s="20" t="s">
        <v>1996</v>
      </c>
      <c r="C4698" s="20">
        <v>4.0</v>
      </c>
      <c r="D4698" s="20" t="s">
        <v>1990</v>
      </c>
    </row>
    <row r="4699">
      <c r="A4699" s="26">
        <v>44922.691260520834</v>
      </c>
      <c r="B4699" s="20" t="s">
        <v>163</v>
      </c>
      <c r="C4699" s="20">
        <v>1.0</v>
      </c>
      <c r="D4699" s="20" t="s">
        <v>1990</v>
      </c>
    </row>
    <row r="4700">
      <c r="A4700" s="26">
        <v>44922.692071122685</v>
      </c>
      <c r="B4700" s="20" t="s">
        <v>1350</v>
      </c>
      <c r="C4700" s="20">
        <v>20.0</v>
      </c>
      <c r="D4700" s="20" t="s">
        <v>1991</v>
      </c>
    </row>
    <row r="4701">
      <c r="A4701" s="28">
        <v>44922.0</v>
      </c>
      <c r="B4701" s="20" t="s">
        <v>1350</v>
      </c>
      <c r="C4701" s="20">
        <v>16.0</v>
      </c>
      <c r="D4701" s="20" t="s">
        <v>1990</v>
      </c>
    </row>
    <row r="4702">
      <c r="A4702" s="26">
        <v>44922.69417027778</v>
      </c>
      <c r="B4702" s="20" t="s">
        <v>528</v>
      </c>
      <c r="C4702" s="20">
        <v>20.0</v>
      </c>
      <c r="D4702" s="20" t="s">
        <v>1991</v>
      </c>
    </row>
    <row r="4703">
      <c r="A4703" s="26">
        <v>44922.69437856482</v>
      </c>
      <c r="B4703" s="20" t="s">
        <v>528</v>
      </c>
      <c r="C4703" s="20">
        <v>16.0</v>
      </c>
      <c r="D4703" s="20" t="s">
        <v>1990</v>
      </c>
    </row>
    <row r="4704">
      <c r="A4704" s="28">
        <v>44923.0</v>
      </c>
      <c r="B4704" s="20" t="s">
        <v>366</v>
      </c>
      <c r="C4704" s="20">
        <v>10.0</v>
      </c>
      <c r="D4704" s="20" t="s">
        <v>1991</v>
      </c>
    </row>
    <row r="4705">
      <c r="A4705" s="28">
        <v>44923.0</v>
      </c>
      <c r="B4705" s="20" t="s">
        <v>366</v>
      </c>
      <c r="C4705" s="20">
        <v>18.0</v>
      </c>
      <c r="D4705" s="20" t="s">
        <v>1990</v>
      </c>
    </row>
    <row r="4706">
      <c r="A4706" s="28">
        <v>44923.0</v>
      </c>
      <c r="B4706" s="20" t="s">
        <v>1803</v>
      </c>
      <c r="C4706" s="20">
        <v>13.0</v>
      </c>
      <c r="D4706" s="20" t="s">
        <v>1991</v>
      </c>
    </row>
    <row r="4707">
      <c r="A4707" s="28">
        <v>44923.0</v>
      </c>
      <c r="B4707" s="20" t="s">
        <v>1803</v>
      </c>
      <c r="C4707" s="20">
        <v>7.0</v>
      </c>
      <c r="D4707" s="20" t="s">
        <v>1990</v>
      </c>
    </row>
    <row r="4708">
      <c r="A4708" s="26">
        <v>44923.66853216435</v>
      </c>
      <c r="B4708" s="20" t="s">
        <v>2135</v>
      </c>
      <c r="C4708" s="20">
        <v>10.0</v>
      </c>
      <c r="D4708" s="20" t="s">
        <v>1991</v>
      </c>
    </row>
    <row r="4709">
      <c r="A4709" s="26">
        <v>44923.67092041667</v>
      </c>
      <c r="B4709" s="20" t="s">
        <v>1892</v>
      </c>
      <c r="C4709" s="20">
        <v>4.0</v>
      </c>
      <c r="D4709" s="20" t="s">
        <v>1991</v>
      </c>
    </row>
    <row r="4710">
      <c r="A4710" s="26">
        <v>44923.80780016204</v>
      </c>
      <c r="B4710" s="20" t="s">
        <v>2136</v>
      </c>
      <c r="C4710" s="20">
        <v>5.0</v>
      </c>
      <c r="D4710" s="20" t="s">
        <v>1991</v>
      </c>
    </row>
    <row r="4711">
      <c r="A4711" s="26">
        <v>44923.80805180555</v>
      </c>
      <c r="B4711" s="20" t="s">
        <v>2137</v>
      </c>
      <c r="C4711" s="20">
        <v>11.0</v>
      </c>
      <c r="D4711" s="20" t="s">
        <v>1990</v>
      </c>
    </row>
    <row r="4712">
      <c r="A4712" s="26">
        <v>44923.810011712965</v>
      </c>
      <c r="B4712" s="20" t="s">
        <v>824</v>
      </c>
      <c r="C4712" s="20">
        <v>18.0</v>
      </c>
      <c r="D4712" s="20" t="s">
        <v>1991</v>
      </c>
    </row>
    <row r="4713">
      <c r="A4713" s="26">
        <v>44923.810279467594</v>
      </c>
      <c r="B4713" s="20" t="s">
        <v>824</v>
      </c>
      <c r="C4713" s="20">
        <v>9.0</v>
      </c>
      <c r="D4713" s="20" t="s">
        <v>1990</v>
      </c>
    </row>
    <row r="4714">
      <c r="A4714" s="26">
        <v>44924.65598601852</v>
      </c>
      <c r="B4714" s="20" t="s">
        <v>596</v>
      </c>
      <c r="C4714" s="20">
        <v>17.0</v>
      </c>
      <c r="D4714" s="20" t="s">
        <v>1991</v>
      </c>
    </row>
    <row r="4715">
      <c r="A4715" s="26">
        <v>44924.65925415509</v>
      </c>
      <c r="B4715" s="20" t="s">
        <v>411</v>
      </c>
      <c r="C4715" s="20">
        <v>15.0</v>
      </c>
      <c r="D4715" s="20" t="s">
        <v>1991</v>
      </c>
    </row>
    <row r="4716">
      <c r="A4716" s="26">
        <v>44924.703919340274</v>
      </c>
      <c r="B4716" s="20" t="s">
        <v>163</v>
      </c>
      <c r="C4716" s="20">
        <v>34.0</v>
      </c>
      <c r="D4716" s="20" t="s">
        <v>1991</v>
      </c>
    </row>
    <row r="4717">
      <c r="A4717" s="26">
        <v>44924.704336215276</v>
      </c>
      <c r="B4717" s="20" t="s">
        <v>163</v>
      </c>
      <c r="C4717" s="20">
        <v>2.0</v>
      </c>
      <c r="D4717" s="20" t="s">
        <v>1990</v>
      </c>
    </row>
    <row r="4718">
      <c r="A4718" s="26">
        <v>44924.70480369213</v>
      </c>
      <c r="B4718" s="20" t="s">
        <v>327</v>
      </c>
      <c r="C4718" s="20" t="s">
        <v>2138</v>
      </c>
      <c r="D4718" s="20" t="s">
        <v>1991</v>
      </c>
    </row>
    <row r="4719">
      <c r="A4719" s="26">
        <v>44924.8432544213</v>
      </c>
      <c r="B4719" s="20" t="s">
        <v>1914</v>
      </c>
      <c r="C4719" s="20">
        <v>19.0</v>
      </c>
      <c r="D4719" s="20" t="s">
        <v>1991</v>
      </c>
    </row>
    <row r="4720">
      <c r="A4720" s="28">
        <v>44924.0</v>
      </c>
      <c r="B4720" s="20" t="s">
        <v>1914</v>
      </c>
      <c r="C4720" s="20">
        <v>14.0</v>
      </c>
      <c r="D4720" s="20" t="s">
        <v>1990</v>
      </c>
    </row>
    <row r="4721">
      <c r="A4721" s="26">
        <v>44924.843632511576</v>
      </c>
      <c r="B4721" s="20" t="s">
        <v>800</v>
      </c>
      <c r="C4721" s="20">
        <v>17.0</v>
      </c>
      <c r="D4721" s="20" t="s">
        <v>1991</v>
      </c>
    </row>
    <row r="4722">
      <c r="A4722" s="26">
        <v>44924.84370140046</v>
      </c>
      <c r="B4722" s="20" t="s">
        <v>1325</v>
      </c>
      <c r="C4722" s="20">
        <v>20.0</v>
      </c>
      <c r="D4722" s="20" t="s">
        <v>1991</v>
      </c>
    </row>
    <row r="4723">
      <c r="A4723" s="26">
        <v>44924.84372282407</v>
      </c>
      <c r="B4723" s="20" t="s">
        <v>800</v>
      </c>
      <c r="C4723" s="20">
        <v>6.0</v>
      </c>
      <c r="D4723" s="20" t="s">
        <v>1990</v>
      </c>
    </row>
    <row r="4724">
      <c r="A4724" s="26">
        <v>44924.84382065972</v>
      </c>
      <c r="B4724" s="20" t="s">
        <v>1325</v>
      </c>
      <c r="C4724" s="20">
        <v>5.0</v>
      </c>
      <c r="D4724" s="20" t="s">
        <v>1990</v>
      </c>
    </row>
    <row r="4725">
      <c r="A4725" s="28">
        <v>44924.0</v>
      </c>
      <c r="B4725" s="20" t="s">
        <v>1924</v>
      </c>
      <c r="C4725" s="20">
        <v>18.0</v>
      </c>
      <c r="D4725" s="20" t="s">
        <v>1991</v>
      </c>
    </row>
    <row r="4726">
      <c r="A4726" s="28">
        <v>44924.0</v>
      </c>
      <c r="B4726" s="20" t="s">
        <v>1871</v>
      </c>
      <c r="C4726" s="20">
        <v>20.0</v>
      </c>
      <c r="D4726" s="20" t="s">
        <v>1991</v>
      </c>
    </row>
    <row r="4727">
      <c r="A4727" s="28">
        <v>44924.0</v>
      </c>
      <c r="B4727" s="20" t="s">
        <v>1871</v>
      </c>
      <c r="C4727" s="20">
        <v>11.0</v>
      </c>
      <c r="D4727" s="20" t="s">
        <v>1990</v>
      </c>
    </row>
    <row r="4728">
      <c r="A4728" s="28">
        <v>44924.0</v>
      </c>
      <c r="B4728" s="20" t="s">
        <v>777</v>
      </c>
      <c r="C4728" s="20">
        <v>17.0</v>
      </c>
      <c r="D4728" s="20" t="s">
        <v>1991</v>
      </c>
    </row>
    <row r="4729">
      <c r="A4729" s="28">
        <v>44924.0</v>
      </c>
      <c r="B4729" s="20" t="s">
        <v>777</v>
      </c>
      <c r="C4729" s="20">
        <v>5.0</v>
      </c>
      <c r="D4729" s="20" t="s">
        <v>1990</v>
      </c>
    </row>
    <row r="4730">
      <c r="A4730" s="26">
        <v>44925.67223138889</v>
      </c>
      <c r="B4730" s="20" t="s">
        <v>1350</v>
      </c>
      <c r="C4730" s="20">
        <v>20.0</v>
      </c>
      <c r="D4730" s="20" t="s">
        <v>1991</v>
      </c>
    </row>
    <row r="4731">
      <c r="A4731" s="26">
        <v>44925.672411064814</v>
      </c>
      <c r="B4731" s="20" t="s">
        <v>1350</v>
      </c>
      <c r="C4731" s="20">
        <v>5.0</v>
      </c>
      <c r="D4731" s="20" t="s">
        <v>1990</v>
      </c>
    </row>
    <row r="4732">
      <c r="A4732" s="26">
        <v>44925.67302241898</v>
      </c>
      <c r="B4732" s="20" t="s">
        <v>344</v>
      </c>
      <c r="C4732" s="20">
        <v>20.0</v>
      </c>
      <c r="D4732" s="20" t="s">
        <v>1991</v>
      </c>
    </row>
    <row r="4733">
      <c r="A4733" s="26">
        <v>44925.67317256944</v>
      </c>
      <c r="B4733" s="20" t="s">
        <v>344</v>
      </c>
      <c r="C4733" s="20">
        <v>2.0</v>
      </c>
      <c r="D4733" s="20" t="s">
        <v>1990</v>
      </c>
    </row>
    <row r="4734">
      <c r="A4734" s="26">
        <v>44925.68556658565</v>
      </c>
      <c r="B4734" s="20" t="s">
        <v>576</v>
      </c>
      <c r="C4734" s="20">
        <v>7.0</v>
      </c>
      <c r="D4734" s="20" t="s">
        <v>1991</v>
      </c>
    </row>
    <row r="4735">
      <c r="A4735" s="28">
        <v>44925.0</v>
      </c>
      <c r="B4735" s="20" t="s">
        <v>1357</v>
      </c>
      <c r="C4735" s="20">
        <v>18.0</v>
      </c>
      <c r="D4735" s="20" t="s">
        <v>1991</v>
      </c>
    </row>
    <row r="4736">
      <c r="A4736" s="28">
        <v>44925.0</v>
      </c>
      <c r="B4736" s="20" t="s">
        <v>1357</v>
      </c>
      <c r="C4736" s="20">
        <v>10.0</v>
      </c>
      <c r="D4736" s="20" t="s">
        <v>1990</v>
      </c>
    </row>
    <row r="4737">
      <c r="A4737" s="28">
        <v>44925.0</v>
      </c>
      <c r="B4737" s="20" t="s">
        <v>366</v>
      </c>
      <c r="C4737" s="20">
        <v>10.0</v>
      </c>
      <c r="D4737" s="20" t="s">
        <v>1991</v>
      </c>
    </row>
    <row r="4738">
      <c r="A4738" s="28">
        <v>44925.0</v>
      </c>
      <c r="B4738" s="20" t="s">
        <v>366</v>
      </c>
      <c r="C4738" s="20">
        <v>18.0</v>
      </c>
      <c r="D4738" s="20" t="s">
        <v>1990</v>
      </c>
    </row>
    <row r="4739">
      <c r="A4739" s="26">
        <v>44926.52288178241</v>
      </c>
      <c r="B4739" s="20" t="s">
        <v>861</v>
      </c>
      <c r="C4739" s="20">
        <v>15.0</v>
      </c>
      <c r="D4739" s="20" t="s">
        <v>1991</v>
      </c>
    </row>
    <row r="4740">
      <c r="A4740" s="26">
        <v>44926.66713939815</v>
      </c>
      <c r="B4740" s="20" t="s">
        <v>614</v>
      </c>
      <c r="C4740" s="20">
        <v>11.0</v>
      </c>
      <c r="D4740" s="20" t="s">
        <v>1991</v>
      </c>
    </row>
    <row r="4741">
      <c r="A4741" s="26">
        <v>44926.68262608796</v>
      </c>
      <c r="B4741" s="20" t="s">
        <v>2139</v>
      </c>
      <c r="C4741" s="20">
        <v>10.0</v>
      </c>
      <c r="D4741" s="20" t="s">
        <v>1991</v>
      </c>
    </row>
    <row r="4742">
      <c r="A4742" s="26">
        <v>44926.68438309028</v>
      </c>
      <c r="B4742" s="20" t="s">
        <v>713</v>
      </c>
      <c r="C4742" s="20">
        <v>15.0</v>
      </c>
      <c r="D4742" s="20" t="s">
        <v>1991</v>
      </c>
    </row>
    <row r="4743">
      <c r="A4743" s="26">
        <v>44926.68449179398</v>
      </c>
      <c r="B4743" s="20" t="s">
        <v>713</v>
      </c>
      <c r="C4743" s="20">
        <v>4.0</v>
      </c>
      <c r="D4743" s="20" t="s">
        <v>1990</v>
      </c>
    </row>
    <row r="4744">
      <c r="A4744" s="26">
        <v>44926.68514538194</v>
      </c>
      <c r="B4744" s="20" t="s">
        <v>1996</v>
      </c>
      <c r="C4744" s="20">
        <v>20.0</v>
      </c>
      <c r="D4744" s="20" t="s">
        <v>1991</v>
      </c>
    </row>
    <row r="4745">
      <c r="A4745" s="26">
        <v>44926.696406006944</v>
      </c>
      <c r="B4745" s="20" t="s">
        <v>2140</v>
      </c>
      <c r="C4745" s="20">
        <v>3.0</v>
      </c>
      <c r="D4745" s="20" t="s">
        <v>1990</v>
      </c>
    </row>
    <row r="4746">
      <c r="A4746" s="28">
        <v>44926.0</v>
      </c>
      <c r="B4746" s="20" t="s">
        <v>1357</v>
      </c>
      <c r="C4746" s="20">
        <v>9.0</v>
      </c>
      <c r="D4746" s="20" t="s">
        <v>1991</v>
      </c>
    </row>
    <row r="4747">
      <c r="A4747" s="28">
        <v>44926.0</v>
      </c>
      <c r="B4747" s="20" t="s">
        <v>1969</v>
      </c>
      <c r="C4747" s="20">
        <v>19.0</v>
      </c>
      <c r="D4747" s="20" t="s">
        <v>1991</v>
      </c>
    </row>
    <row r="4748">
      <c r="A4748" s="28">
        <v>44926.0</v>
      </c>
      <c r="B4748" s="20" t="s">
        <v>1969</v>
      </c>
      <c r="C4748" s="20">
        <v>7.0</v>
      </c>
      <c r="D4748" s="20" t="s">
        <v>1990</v>
      </c>
    </row>
    <row r="4749">
      <c r="A4749" s="28">
        <v>44926.0</v>
      </c>
      <c r="B4749" s="20" t="s">
        <v>1965</v>
      </c>
      <c r="C4749" s="20">
        <v>14.0</v>
      </c>
      <c r="D4749" s="20" t="s">
        <v>1991</v>
      </c>
    </row>
    <row r="4750">
      <c r="A4750" s="28">
        <v>44926.0</v>
      </c>
      <c r="B4750" s="20" t="s">
        <v>1965</v>
      </c>
      <c r="C4750" s="20">
        <v>1.0</v>
      </c>
      <c r="D4750" s="20" t="s">
        <v>1990</v>
      </c>
    </row>
    <row r="4751">
      <c r="A4751" s="28">
        <v>44926.0</v>
      </c>
      <c r="B4751" s="20" t="s">
        <v>366</v>
      </c>
      <c r="C4751" s="20">
        <v>8.0</v>
      </c>
      <c r="D4751" s="20" t="s">
        <v>1991</v>
      </c>
    </row>
    <row r="4752">
      <c r="A4752" s="28">
        <v>44926.0</v>
      </c>
      <c r="B4752" s="20" t="s">
        <v>366</v>
      </c>
      <c r="C4752" s="20">
        <v>9.0</v>
      </c>
      <c r="D4752" s="20" t="s">
        <v>1990</v>
      </c>
    </row>
    <row r="4753">
      <c r="A4753" s="28"/>
    </row>
    <row r="4754">
      <c r="A4754" s="28"/>
    </row>
    <row r="4755">
      <c r="A4755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2" width="18.88"/>
  </cols>
  <sheetData>
    <row r="1">
      <c r="A1" s="24" t="s">
        <v>28</v>
      </c>
      <c r="B1" s="24" t="s">
        <v>29</v>
      </c>
      <c r="C1" s="24" t="s">
        <v>2141</v>
      </c>
      <c r="D1" s="24" t="s">
        <v>2142</v>
      </c>
      <c r="E1" s="24" t="s">
        <v>31</v>
      </c>
      <c r="F1" s="20" t="s">
        <v>2143</v>
      </c>
    </row>
    <row r="2">
      <c r="A2" s="26">
        <v>44565.76051607639</v>
      </c>
      <c r="B2" s="20" t="s">
        <v>55</v>
      </c>
      <c r="C2" s="20">
        <v>680.0</v>
      </c>
      <c r="D2" s="20" t="s">
        <v>2144</v>
      </c>
      <c r="E2" s="20" t="s">
        <v>80</v>
      </c>
      <c r="F2" s="27"/>
    </row>
    <row r="3">
      <c r="A3" s="26">
        <v>44565.76073277778</v>
      </c>
      <c r="B3" s="20" t="s">
        <v>55</v>
      </c>
      <c r="C3" s="20">
        <v>983.0</v>
      </c>
      <c r="D3" s="20" t="s">
        <v>2144</v>
      </c>
      <c r="E3" s="20" t="s">
        <v>467</v>
      </c>
      <c r="F3" s="27"/>
    </row>
    <row r="4">
      <c r="A4" s="26">
        <v>44565.76087733796</v>
      </c>
      <c r="B4" s="20" t="s">
        <v>55</v>
      </c>
      <c r="C4" s="20">
        <v>796.0</v>
      </c>
      <c r="D4" s="20" t="s">
        <v>2144</v>
      </c>
      <c r="E4" s="20" t="s">
        <v>47</v>
      </c>
      <c r="F4" s="27"/>
    </row>
    <row r="5">
      <c r="A5" s="26">
        <v>44565.761119131945</v>
      </c>
      <c r="B5" s="20" t="s">
        <v>55</v>
      </c>
      <c r="C5" s="20">
        <v>667.0</v>
      </c>
      <c r="D5" s="20" t="s">
        <v>2144</v>
      </c>
      <c r="E5" s="20" t="s">
        <v>2145</v>
      </c>
      <c r="F5" s="27"/>
    </row>
    <row r="6">
      <c r="A6" s="26">
        <v>44565.76139475695</v>
      </c>
      <c r="B6" s="20" t="s">
        <v>55</v>
      </c>
      <c r="C6" s="20">
        <v>1809.0</v>
      </c>
      <c r="D6" s="20" t="s">
        <v>2144</v>
      </c>
      <c r="E6" s="20" t="s">
        <v>279</v>
      </c>
      <c r="F6" s="27"/>
    </row>
    <row r="7">
      <c r="A7" s="26">
        <v>44567.61855655092</v>
      </c>
      <c r="B7" s="20" t="s">
        <v>129</v>
      </c>
      <c r="C7" s="20">
        <v>673.0</v>
      </c>
      <c r="D7" s="20" t="s">
        <v>2144</v>
      </c>
      <c r="E7" s="20" t="s">
        <v>80</v>
      </c>
      <c r="F7" s="27"/>
    </row>
    <row r="8">
      <c r="A8" s="26">
        <v>44567.61915618056</v>
      </c>
      <c r="B8" s="20" t="s">
        <v>129</v>
      </c>
      <c r="C8" s="20">
        <v>809.0</v>
      </c>
      <c r="D8" s="20" t="s">
        <v>2144</v>
      </c>
      <c r="E8" s="20" t="s">
        <v>40</v>
      </c>
      <c r="F8" s="27"/>
    </row>
    <row r="9">
      <c r="A9" s="26">
        <v>44567.61948245371</v>
      </c>
      <c r="B9" s="20" t="s">
        <v>129</v>
      </c>
      <c r="C9" s="20">
        <v>994.0</v>
      </c>
      <c r="D9" s="20" t="s">
        <v>2144</v>
      </c>
      <c r="E9" s="20" t="s">
        <v>2146</v>
      </c>
      <c r="F9" s="27"/>
    </row>
    <row r="10">
      <c r="A10" s="26">
        <v>44567.619953518515</v>
      </c>
      <c r="B10" s="20" t="s">
        <v>129</v>
      </c>
      <c r="C10" s="20">
        <v>818.0</v>
      </c>
      <c r="D10" s="20" t="s">
        <v>2144</v>
      </c>
      <c r="E10" s="20" t="s">
        <v>40</v>
      </c>
      <c r="F10" s="27"/>
    </row>
    <row r="11">
      <c r="A11" s="26">
        <v>44567.62018060185</v>
      </c>
      <c r="B11" s="20" t="s">
        <v>129</v>
      </c>
      <c r="C11" s="20">
        <v>366.0</v>
      </c>
      <c r="D11" s="20" t="s">
        <v>2144</v>
      </c>
      <c r="E11" s="20" t="s">
        <v>40</v>
      </c>
      <c r="F11" s="27"/>
    </row>
    <row r="12">
      <c r="A12" s="26">
        <v>44568.79679303241</v>
      </c>
      <c r="B12" s="20" t="s">
        <v>55</v>
      </c>
      <c r="C12" s="20">
        <v>414.0</v>
      </c>
      <c r="D12" s="20" t="s">
        <v>2144</v>
      </c>
      <c r="E12" s="20" t="s">
        <v>40</v>
      </c>
      <c r="F12" s="27"/>
    </row>
    <row r="13">
      <c r="A13" s="26">
        <v>44568.79700024305</v>
      </c>
      <c r="B13" s="20" t="s">
        <v>173</v>
      </c>
      <c r="C13" s="20">
        <v>390.0</v>
      </c>
      <c r="D13" s="20" t="s">
        <v>2144</v>
      </c>
      <c r="E13" s="20" t="s">
        <v>80</v>
      </c>
      <c r="F13" s="27"/>
    </row>
    <row r="14">
      <c r="A14" s="26">
        <v>44568.797230219905</v>
      </c>
      <c r="B14" s="20" t="s">
        <v>55</v>
      </c>
      <c r="C14" s="20">
        <v>817.0</v>
      </c>
      <c r="D14" s="20" t="s">
        <v>2144</v>
      </c>
      <c r="E14" s="20" t="s">
        <v>467</v>
      </c>
      <c r="F14" s="27"/>
    </row>
    <row r="15">
      <c r="A15" s="26">
        <v>44568.797424398144</v>
      </c>
      <c r="B15" s="20" t="s">
        <v>55</v>
      </c>
      <c r="C15" s="20">
        <v>373.0</v>
      </c>
      <c r="D15" s="20" t="s">
        <v>2144</v>
      </c>
      <c r="E15" s="20" t="s">
        <v>80</v>
      </c>
      <c r="F15" s="27"/>
    </row>
    <row r="16">
      <c r="A16" s="26">
        <v>44568.79783236111</v>
      </c>
      <c r="B16" s="20" t="s">
        <v>2147</v>
      </c>
      <c r="C16" s="20">
        <v>114.0</v>
      </c>
      <c r="D16" s="20" t="s">
        <v>2144</v>
      </c>
      <c r="E16" s="20" t="s">
        <v>47</v>
      </c>
      <c r="F16" s="27"/>
    </row>
    <row r="17">
      <c r="A17" s="26">
        <v>44568.79803372685</v>
      </c>
      <c r="B17" s="20" t="s">
        <v>55</v>
      </c>
      <c r="C17" s="20">
        <v>1133.0</v>
      </c>
      <c r="D17" s="20" t="s">
        <v>2144</v>
      </c>
      <c r="E17" s="20" t="s">
        <v>47</v>
      </c>
      <c r="F17" s="27"/>
    </row>
    <row r="18">
      <c r="A18" s="26">
        <v>44568.79823180556</v>
      </c>
      <c r="B18" s="20" t="s">
        <v>55</v>
      </c>
      <c r="C18" s="20">
        <v>649.0</v>
      </c>
      <c r="D18" s="20" t="s">
        <v>2144</v>
      </c>
      <c r="E18" s="20" t="s">
        <v>53</v>
      </c>
      <c r="F18" s="27"/>
    </row>
    <row r="19">
      <c r="A19" s="26">
        <v>44568.79848346065</v>
      </c>
      <c r="B19" s="20" t="s">
        <v>55</v>
      </c>
      <c r="C19" s="20">
        <v>530.0</v>
      </c>
      <c r="D19" s="20" t="s">
        <v>2144</v>
      </c>
      <c r="E19" s="20" t="s">
        <v>80</v>
      </c>
      <c r="F19" s="27"/>
    </row>
    <row r="20">
      <c r="A20" s="26">
        <v>44568.79864554398</v>
      </c>
      <c r="B20" s="20" t="s">
        <v>55</v>
      </c>
      <c r="C20" s="20">
        <v>330.0</v>
      </c>
      <c r="D20" s="20" t="s">
        <v>2144</v>
      </c>
      <c r="E20" s="20" t="s">
        <v>40</v>
      </c>
      <c r="F20" s="27"/>
    </row>
    <row r="21">
      <c r="A21" s="26">
        <v>44568.798883703705</v>
      </c>
      <c r="B21" s="20" t="s">
        <v>55</v>
      </c>
      <c r="C21" s="20">
        <v>570.0</v>
      </c>
      <c r="D21" s="20" t="s">
        <v>2144</v>
      </c>
      <c r="E21" s="20" t="s">
        <v>36</v>
      </c>
      <c r="F21" s="27"/>
    </row>
    <row r="22">
      <c r="A22" s="26">
        <v>44568.79912972222</v>
      </c>
      <c r="B22" s="20" t="s">
        <v>55</v>
      </c>
      <c r="C22" s="20">
        <v>854.0</v>
      </c>
      <c r="D22" s="20" t="s">
        <v>2144</v>
      </c>
      <c r="E22" s="20" t="s">
        <v>36</v>
      </c>
      <c r="F22" s="27"/>
    </row>
    <row r="23">
      <c r="A23" s="26">
        <v>44568.7994105324</v>
      </c>
      <c r="B23" s="20" t="s">
        <v>55</v>
      </c>
      <c r="C23" s="20">
        <v>1696.0</v>
      </c>
      <c r="D23" s="20" t="s">
        <v>2144</v>
      </c>
      <c r="E23" s="20" t="s">
        <v>53</v>
      </c>
      <c r="F23" s="27"/>
    </row>
    <row r="24">
      <c r="A24" s="26">
        <v>44568.79966292824</v>
      </c>
      <c r="B24" s="20" t="s">
        <v>55</v>
      </c>
      <c r="C24" s="20">
        <v>1896.0</v>
      </c>
      <c r="D24" s="20" t="s">
        <v>2144</v>
      </c>
      <c r="E24" s="20" t="s">
        <v>53</v>
      </c>
      <c r="F24" s="27"/>
    </row>
    <row r="25">
      <c r="A25" s="26">
        <v>44568.8009096412</v>
      </c>
      <c r="B25" s="20" t="s">
        <v>55</v>
      </c>
      <c r="C25" s="20">
        <v>576.0</v>
      </c>
      <c r="D25" s="20" t="s">
        <v>2144</v>
      </c>
      <c r="E25" s="20" t="s">
        <v>47</v>
      </c>
      <c r="F25" s="27"/>
    </row>
    <row r="26">
      <c r="A26" s="26">
        <v>44568.801245243056</v>
      </c>
      <c r="B26" s="20" t="s">
        <v>55</v>
      </c>
      <c r="C26" s="20">
        <v>537.0</v>
      </c>
      <c r="D26" s="20" t="s">
        <v>2144</v>
      </c>
      <c r="E26" s="20" t="s">
        <v>467</v>
      </c>
      <c r="F26" s="27"/>
    </row>
    <row r="27">
      <c r="A27" s="26">
        <v>44568.801436828704</v>
      </c>
      <c r="B27" s="20" t="s">
        <v>55</v>
      </c>
      <c r="C27" s="20">
        <v>733.0</v>
      </c>
      <c r="D27" s="20" t="s">
        <v>2144</v>
      </c>
      <c r="E27" s="20" t="s">
        <v>40</v>
      </c>
      <c r="F27" s="27"/>
    </row>
    <row r="28">
      <c r="A28" s="26">
        <v>44568.8016384375</v>
      </c>
      <c r="B28" s="20" t="s">
        <v>55</v>
      </c>
      <c r="C28" s="20">
        <v>546.0</v>
      </c>
      <c r="D28" s="20" t="s">
        <v>2144</v>
      </c>
      <c r="E28" s="20" t="s">
        <v>80</v>
      </c>
      <c r="F28" s="27"/>
    </row>
    <row r="29">
      <c r="A29" s="26">
        <v>44568.801888263886</v>
      </c>
      <c r="B29" s="20" t="s">
        <v>55</v>
      </c>
      <c r="C29" s="20">
        <v>460.0</v>
      </c>
      <c r="D29" s="20" t="s">
        <v>2144</v>
      </c>
      <c r="E29" s="20" t="s">
        <v>40</v>
      </c>
      <c r="F29" s="27"/>
    </row>
    <row r="30">
      <c r="A30" s="26">
        <v>44568.80207733796</v>
      </c>
      <c r="B30" s="20" t="s">
        <v>55</v>
      </c>
      <c r="C30" s="20">
        <v>566.0</v>
      </c>
      <c r="D30" s="20" t="s">
        <v>2144</v>
      </c>
      <c r="E30" s="20" t="s">
        <v>80</v>
      </c>
      <c r="F30" s="27"/>
    </row>
    <row r="31">
      <c r="A31" s="26">
        <v>44568.80270556713</v>
      </c>
      <c r="B31" s="20" t="s">
        <v>55</v>
      </c>
      <c r="C31" s="20">
        <v>861.0</v>
      </c>
      <c r="D31" s="20" t="s">
        <v>2148</v>
      </c>
      <c r="E31" s="20" t="s">
        <v>40</v>
      </c>
      <c r="F31" s="27"/>
    </row>
    <row r="32">
      <c r="A32" s="26">
        <v>44568.80299326389</v>
      </c>
      <c r="B32" s="20" t="s">
        <v>55</v>
      </c>
      <c r="C32" s="20">
        <v>862.0</v>
      </c>
      <c r="D32" s="20" t="s">
        <v>2148</v>
      </c>
      <c r="E32" s="20" t="s">
        <v>40</v>
      </c>
      <c r="F32" s="27"/>
    </row>
    <row r="33">
      <c r="A33" s="26">
        <v>44568.80320407407</v>
      </c>
      <c r="B33" s="20" t="s">
        <v>55</v>
      </c>
      <c r="C33" s="20">
        <v>781.0</v>
      </c>
      <c r="D33" s="20" t="s">
        <v>2148</v>
      </c>
      <c r="E33" s="20" t="s">
        <v>40</v>
      </c>
      <c r="F33" s="27"/>
    </row>
    <row r="34">
      <c r="A34" s="26">
        <v>44568.80342519676</v>
      </c>
      <c r="B34" s="20" t="s">
        <v>55</v>
      </c>
      <c r="C34" s="20">
        <v>734.0</v>
      </c>
      <c r="D34" s="20" t="s">
        <v>2148</v>
      </c>
      <c r="E34" s="20" t="s">
        <v>40</v>
      </c>
      <c r="F34" s="27"/>
    </row>
    <row r="35">
      <c r="A35" s="26">
        <v>44568.80360818287</v>
      </c>
      <c r="B35" s="20" t="s">
        <v>55</v>
      </c>
      <c r="C35" s="20">
        <v>812.0</v>
      </c>
      <c r="D35" s="20" t="s">
        <v>2148</v>
      </c>
      <c r="E35" s="20" t="s">
        <v>40</v>
      </c>
      <c r="F35" s="27"/>
    </row>
    <row r="36">
      <c r="A36" s="26">
        <v>44570.50001171297</v>
      </c>
      <c r="B36" s="20" t="s">
        <v>49</v>
      </c>
      <c r="C36" s="20">
        <v>435.0</v>
      </c>
      <c r="D36" s="20" t="s">
        <v>2144</v>
      </c>
      <c r="E36" s="20" t="s">
        <v>40</v>
      </c>
      <c r="F36" s="27"/>
    </row>
    <row r="37">
      <c r="A37" s="26">
        <v>44570.50071233796</v>
      </c>
      <c r="B37" s="20" t="s">
        <v>49</v>
      </c>
      <c r="C37" s="20">
        <v>1127.0</v>
      </c>
      <c r="D37" s="20" t="s">
        <v>2144</v>
      </c>
      <c r="E37" s="20" t="s">
        <v>36</v>
      </c>
      <c r="F37" s="27"/>
    </row>
    <row r="38">
      <c r="A38" s="26">
        <v>44570.501139872686</v>
      </c>
      <c r="B38" s="20" t="s">
        <v>49</v>
      </c>
      <c r="C38" s="20">
        <v>1612.0</v>
      </c>
      <c r="D38" s="20" t="s">
        <v>2144</v>
      </c>
      <c r="E38" s="20" t="s">
        <v>36</v>
      </c>
      <c r="F38" s="27"/>
    </row>
    <row r="39">
      <c r="A39" s="26">
        <v>44570.501438611114</v>
      </c>
      <c r="B39" s="20" t="s">
        <v>49</v>
      </c>
      <c r="C39" s="20">
        <v>1153.0</v>
      </c>
      <c r="D39" s="20" t="s">
        <v>2144</v>
      </c>
      <c r="E39" s="20" t="s">
        <v>36</v>
      </c>
      <c r="F39" s="27"/>
    </row>
    <row r="40">
      <c r="A40" s="26">
        <v>44570.50272229167</v>
      </c>
      <c r="B40" s="20" t="s">
        <v>49</v>
      </c>
      <c r="C40" s="20">
        <v>843.0</v>
      </c>
      <c r="D40" s="20" t="s">
        <v>2144</v>
      </c>
      <c r="E40" s="20" t="s">
        <v>40</v>
      </c>
      <c r="F40" s="27"/>
    </row>
    <row r="41">
      <c r="A41" s="26">
        <v>44570.530018564816</v>
      </c>
      <c r="B41" s="20" t="s">
        <v>49</v>
      </c>
      <c r="C41" s="20">
        <v>202.0</v>
      </c>
      <c r="D41" s="20" t="s">
        <v>2149</v>
      </c>
      <c r="E41" s="20" t="s">
        <v>267</v>
      </c>
      <c r="F41" s="27"/>
    </row>
    <row r="42">
      <c r="A42" s="26">
        <v>44570.67100365741</v>
      </c>
      <c r="B42" s="20" t="s">
        <v>69</v>
      </c>
      <c r="C42" s="20">
        <v>202.0</v>
      </c>
      <c r="D42" s="20" t="s">
        <v>2149</v>
      </c>
      <c r="E42" s="20" t="s">
        <v>267</v>
      </c>
      <c r="F42" s="27"/>
    </row>
    <row r="43">
      <c r="A43" s="26">
        <v>44572.753011574074</v>
      </c>
      <c r="B43" s="20" t="s">
        <v>2150</v>
      </c>
      <c r="C43" s="20">
        <v>218.0</v>
      </c>
      <c r="D43" s="20" t="s">
        <v>2144</v>
      </c>
      <c r="E43" s="20" t="s">
        <v>40</v>
      </c>
      <c r="F43" s="27"/>
    </row>
    <row r="44">
      <c r="A44" s="26">
        <v>44572.75330265047</v>
      </c>
      <c r="B44" s="20" t="s">
        <v>2150</v>
      </c>
      <c r="C44" s="20">
        <v>188.0</v>
      </c>
      <c r="D44" s="20" t="s">
        <v>2144</v>
      </c>
      <c r="E44" s="20" t="s">
        <v>80</v>
      </c>
      <c r="F44" s="27"/>
    </row>
    <row r="45">
      <c r="A45" s="26">
        <v>44572.75349800926</v>
      </c>
      <c r="B45" s="20" t="s">
        <v>2150</v>
      </c>
      <c r="C45" s="20">
        <v>508.0</v>
      </c>
      <c r="D45" s="20" t="s">
        <v>2144</v>
      </c>
      <c r="E45" s="20" t="s">
        <v>80</v>
      </c>
      <c r="F45" s="27"/>
    </row>
    <row r="46">
      <c r="A46" s="26">
        <v>44572.75373003472</v>
      </c>
      <c r="B46" s="20" t="s">
        <v>2150</v>
      </c>
      <c r="C46" s="20">
        <v>754.0</v>
      </c>
      <c r="D46" s="20" t="s">
        <v>2144</v>
      </c>
      <c r="E46" s="20" t="s">
        <v>467</v>
      </c>
      <c r="F46" s="27"/>
    </row>
    <row r="47">
      <c r="A47" s="26">
        <v>44572.75391357639</v>
      </c>
      <c r="B47" s="20" t="s">
        <v>2150</v>
      </c>
      <c r="C47" s="20">
        <v>707.0</v>
      </c>
      <c r="D47" s="20" t="s">
        <v>2144</v>
      </c>
      <c r="E47" s="20" t="s">
        <v>38</v>
      </c>
      <c r="F47" s="27"/>
    </row>
    <row r="48">
      <c r="A48" s="26">
        <v>44572.754096226854</v>
      </c>
      <c r="B48" s="20" t="s">
        <v>2150</v>
      </c>
      <c r="C48" s="20">
        <v>532.0</v>
      </c>
      <c r="D48" s="20" t="s">
        <v>2144</v>
      </c>
      <c r="E48" s="20" t="s">
        <v>80</v>
      </c>
      <c r="F48" s="27"/>
    </row>
    <row r="49">
      <c r="A49" s="26">
        <v>44572.75431004629</v>
      </c>
      <c r="B49" s="20" t="s">
        <v>2150</v>
      </c>
      <c r="C49" s="20">
        <v>517.0</v>
      </c>
      <c r="D49" s="20" t="s">
        <v>2144</v>
      </c>
      <c r="E49" s="20" t="s">
        <v>467</v>
      </c>
      <c r="F49" s="27"/>
    </row>
    <row r="50">
      <c r="A50" s="26">
        <v>44572.754640127314</v>
      </c>
      <c r="B50" s="20" t="s">
        <v>2150</v>
      </c>
      <c r="C50" s="20">
        <v>235.0</v>
      </c>
      <c r="D50" s="20" t="s">
        <v>2144</v>
      </c>
      <c r="E50" s="20" t="s">
        <v>80</v>
      </c>
      <c r="F50" s="27"/>
    </row>
    <row r="51">
      <c r="A51" s="26">
        <v>44572.75483548611</v>
      </c>
      <c r="B51" s="20" t="s">
        <v>2150</v>
      </c>
      <c r="C51" s="20">
        <v>124.0</v>
      </c>
      <c r="D51" s="20" t="s">
        <v>2144</v>
      </c>
      <c r="E51" s="20" t="s">
        <v>80</v>
      </c>
      <c r="F51" s="27"/>
    </row>
    <row r="52">
      <c r="A52" s="26">
        <v>44572.75502607639</v>
      </c>
      <c r="B52" s="20" t="s">
        <v>2150</v>
      </c>
      <c r="C52" s="20">
        <v>280.0</v>
      </c>
      <c r="D52" s="20" t="s">
        <v>2144</v>
      </c>
      <c r="E52" s="20" t="s">
        <v>80</v>
      </c>
      <c r="F52" s="27"/>
    </row>
    <row r="53">
      <c r="A53" s="26">
        <v>44574.497942974536</v>
      </c>
      <c r="B53" s="20" t="s">
        <v>55</v>
      </c>
      <c r="C53" s="20">
        <v>264.0</v>
      </c>
      <c r="D53" s="20" t="s">
        <v>2144</v>
      </c>
      <c r="E53" s="20" t="s">
        <v>38</v>
      </c>
      <c r="F53" s="27"/>
    </row>
    <row r="54">
      <c r="A54" s="26">
        <v>44574.49826155092</v>
      </c>
      <c r="B54" s="20" t="s">
        <v>55</v>
      </c>
      <c r="C54" s="20">
        <v>709.0</v>
      </c>
      <c r="D54" s="20" t="s">
        <v>2144</v>
      </c>
      <c r="E54" s="20" t="s">
        <v>40</v>
      </c>
      <c r="F54" s="27"/>
    </row>
    <row r="55">
      <c r="A55" s="26">
        <v>44574.49854195602</v>
      </c>
      <c r="B55" s="20" t="s">
        <v>55</v>
      </c>
      <c r="C55" s="20">
        <v>534.0</v>
      </c>
      <c r="D55" s="20" t="s">
        <v>2144</v>
      </c>
      <c r="E55" s="20" t="s">
        <v>80</v>
      </c>
      <c r="F55" s="27"/>
    </row>
    <row r="56">
      <c r="A56" s="26">
        <v>44574.49886878472</v>
      </c>
      <c r="B56" s="20" t="s">
        <v>55</v>
      </c>
      <c r="C56" s="20">
        <v>700.0</v>
      </c>
      <c r="D56" s="20" t="s">
        <v>2144</v>
      </c>
      <c r="E56" s="20" t="s">
        <v>80</v>
      </c>
      <c r="F56" s="27"/>
    </row>
    <row r="57">
      <c r="A57" s="26">
        <v>44574.49921317129</v>
      </c>
      <c r="B57" s="20" t="s">
        <v>55</v>
      </c>
      <c r="C57" s="20">
        <v>1388.0</v>
      </c>
      <c r="D57" s="20" t="s">
        <v>2144</v>
      </c>
      <c r="E57" s="20" t="s">
        <v>40</v>
      </c>
      <c r="F57" s="27"/>
    </row>
    <row r="58">
      <c r="A58" s="26">
        <v>44575.65795597222</v>
      </c>
      <c r="B58" s="20" t="s">
        <v>55</v>
      </c>
      <c r="C58" s="20">
        <v>821.0</v>
      </c>
      <c r="D58" s="20" t="s">
        <v>2148</v>
      </c>
      <c r="E58" s="20" t="s">
        <v>40</v>
      </c>
      <c r="F58" s="27"/>
    </row>
    <row r="59">
      <c r="A59" s="26">
        <v>44575.658255648144</v>
      </c>
      <c r="B59" s="20" t="s">
        <v>55</v>
      </c>
      <c r="C59" s="20">
        <v>870.0</v>
      </c>
      <c r="D59" s="20" t="s">
        <v>2148</v>
      </c>
      <c r="E59" s="20" t="s">
        <v>40</v>
      </c>
      <c r="F59" s="27"/>
    </row>
    <row r="60">
      <c r="A60" s="26">
        <v>44575.6585606713</v>
      </c>
      <c r="B60" s="20" t="s">
        <v>55</v>
      </c>
      <c r="C60" s="20">
        <v>907.0</v>
      </c>
      <c r="D60" s="20" t="s">
        <v>2148</v>
      </c>
      <c r="E60" s="20" t="s">
        <v>40</v>
      </c>
      <c r="F60" s="27"/>
    </row>
    <row r="61">
      <c r="A61" s="26">
        <v>44575.65883543981</v>
      </c>
      <c r="B61" s="20" t="s">
        <v>55</v>
      </c>
      <c r="C61" s="20">
        <v>920.0</v>
      </c>
      <c r="D61" s="20" t="s">
        <v>2148</v>
      </c>
      <c r="E61" s="20" t="s">
        <v>40</v>
      </c>
      <c r="F61" s="27"/>
    </row>
    <row r="62">
      <c r="A62" s="26">
        <v>44575.65939184028</v>
      </c>
      <c r="B62" s="20" t="s">
        <v>55</v>
      </c>
      <c r="C62" s="20">
        <v>927.0</v>
      </c>
      <c r="D62" s="20" t="s">
        <v>2148</v>
      </c>
      <c r="E62" s="20" t="s">
        <v>40</v>
      </c>
      <c r="F62" s="27"/>
    </row>
    <row r="63">
      <c r="A63" s="26">
        <v>44575.85059202547</v>
      </c>
      <c r="B63" s="20" t="s">
        <v>49</v>
      </c>
      <c r="C63" s="20">
        <v>163.0</v>
      </c>
      <c r="D63" s="20" t="s">
        <v>2144</v>
      </c>
      <c r="E63" s="20" t="s">
        <v>47</v>
      </c>
      <c r="F63" s="27"/>
    </row>
    <row r="64">
      <c r="A64" s="26">
        <v>44575.85123699074</v>
      </c>
      <c r="B64" s="20" t="s">
        <v>49</v>
      </c>
      <c r="C64" s="20">
        <v>574.0</v>
      </c>
      <c r="D64" s="20" t="s">
        <v>2144</v>
      </c>
      <c r="E64" s="20" t="s">
        <v>80</v>
      </c>
      <c r="F64" s="27"/>
    </row>
    <row r="65">
      <c r="A65" s="26">
        <v>44575.85187601852</v>
      </c>
      <c r="B65" s="20" t="s">
        <v>49</v>
      </c>
      <c r="C65" s="20">
        <v>574.0</v>
      </c>
      <c r="D65" s="20" t="s">
        <v>2144</v>
      </c>
      <c r="E65" s="20" t="s">
        <v>80</v>
      </c>
      <c r="F65" s="27"/>
    </row>
    <row r="66">
      <c r="A66" s="26">
        <v>44575.852182048606</v>
      </c>
      <c r="B66" s="20" t="s">
        <v>49</v>
      </c>
      <c r="C66" s="20">
        <v>590.0</v>
      </c>
      <c r="D66" s="20" t="s">
        <v>2144</v>
      </c>
      <c r="E66" s="20" t="s">
        <v>80</v>
      </c>
      <c r="F66" s="27"/>
    </row>
    <row r="67">
      <c r="A67" s="26">
        <v>44575.85261778935</v>
      </c>
      <c r="B67" s="20" t="s">
        <v>49</v>
      </c>
      <c r="C67" s="20">
        <v>590.0</v>
      </c>
      <c r="D67" s="20" t="s">
        <v>2144</v>
      </c>
      <c r="E67" s="20" t="s">
        <v>80</v>
      </c>
      <c r="F67" s="27"/>
    </row>
    <row r="68">
      <c r="A68" s="26">
        <v>44575.85331225695</v>
      </c>
      <c r="C68" s="20">
        <v>640.0</v>
      </c>
      <c r="D68" s="20" t="s">
        <v>2144</v>
      </c>
      <c r="E68" s="20" t="s">
        <v>80</v>
      </c>
      <c r="F68" s="27"/>
    </row>
    <row r="69">
      <c r="A69" s="26">
        <v>44575.85361864584</v>
      </c>
      <c r="B69" s="20" t="s">
        <v>49</v>
      </c>
      <c r="C69" s="20">
        <v>903.0</v>
      </c>
      <c r="D69" s="20" t="s">
        <v>2144</v>
      </c>
      <c r="E69" s="20" t="s">
        <v>36</v>
      </c>
      <c r="F69" s="27"/>
    </row>
    <row r="70">
      <c r="A70" s="26">
        <v>44577.601798020834</v>
      </c>
      <c r="B70" s="20" t="s">
        <v>79</v>
      </c>
      <c r="C70" s="20">
        <v>505.0</v>
      </c>
      <c r="D70" s="20" t="s">
        <v>2144</v>
      </c>
      <c r="E70" s="20" t="s">
        <v>99</v>
      </c>
      <c r="F70" s="27"/>
    </row>
    <row r="71">
      <c r="A71" s="26">
        <v>44577.603304317134</v>
      </c>
      <c r="B71" s="20" t="s">
        <v>79</v>
      </c>
      <c r="C71" s="20">
        <v>404.0</v>
      </c>
      <c r="D71" s="20" t="s">
        <v>2144</v>
      </c>
      <c r="E71" s="20" t="s">
        <v>40</v>
      </c>
      <c r="F71" s="27"/>
    </row>
    <row r="72">
      <c r="A72" s="26">
        <v>44577.606053483796</v>
      </c>
      <c r="B72" s="20" t="s">
        <v>79</v>
      </c>
      <c r="C72" s="20">
        <v>1599.0</v>
      </c>
      <c r="D72" s="20" t="s">
        <v>2144</v>
      </c>
      <c r="E72" s="20" t="s">
        <v>40</v>
      </c>
      <c r="F72" s="27"/>
    </row>
    <row r="73">
      <c r="A73" s="26">
        <v>44577.609038483795</v>
      </c>
      <c r="B73" s="20" t="s">
        <v>79</v>
      </c>
      <c r="C73" s="20">
        <v>585.0</v>
      </c>
      <c r="D73" s="20" t="s">
        <v>2144</v>
      </c>
      <c r="E73" s="20" t="s">
        <v>40</v>
      </c>
      <c r="F73" s="27"/>
    </row>
    <row r="74">
      <c r="A74" s="26">
        <v>44577.61108538194</v>
      </c>
      <c r="B74" s="20" t="s">
        <v>79</v>
      </c>
      <c r="C74" s="20">
        <v>670.0</v>
      </c>
      <c r="D74" s="20" t="s">
        <v>2144</v>
      </c>
      <c r="E74" s="20" t="s">
        <v>38</v>
      </c>
      <c r="F74" s="27"/>
    </row>
    <row r="75">
      <c r="A75" s="26">
        <v>44577.61355172454</v>
      </c>
      <c r="B75" s="20" t="s">
        <v>79</v>
      </c>
      <c r="C75" s="20">
        <v>1162.0</v>
      </c>
      <c r="D75" s="20" t="s">
        <v>2144</v>
      </c>
      <c r="E75" s="20" t="s">
        <v>38</v>
      </c>
      <c r="F75" s="27"/>
    </row>
    <row r="76">
      <c r="A76" s="26">
        <v>44577.61639283565</v>
      </c>
      <c r="B76" s="20" t="s">
        <v>79</v>
      </c>
      <c r="C76" s="20">
        <v>522.0</v>
      </c>
      <c r="D76" s="20" t="s">
        <v>2144</v>
      </c>
      <c r="E76" s="20" t="s">
        <v>2151</v>
      </c>
      <c r="F76" s="27"/>
    </row>
    <row r="77">
      <c r="A77" s="26">
        <v>44577.61907728009</v>
      </c>
      <c r="B77" s="20" t="s">
        <v>79</v>
      </c>
      <c r="C77" s="20">
        <v>818.0</v>
      </c>
      <c r="D77" s="20" t="s">
        <v>2144</v>
      </c>
      <c r="E77" s="20" t="s">
        <v>36</v>
      </c>
      <c r="F77" s="27"/>
    </row>
    <row r="78">
      <c r="A78" s="26">
        <v>44577.62178674768</v>
      </c>
      <c r="B78" s="20" t="s">
        <v>79</v>
      </c>
      <c r="C78" s="20">
        <v>709.0</v>
      </c>
      <c r="D78" s="20" t="s">
        <v>2144</v>
      </c>
      <c r="E78" s="20" t="s">
        <v>80</v>
      </c>
      <c r="F78" s="27"/>
    </row>
    <row r="79">
      <c r="A79" s="26">
        <v>44577.62567310185</v>
      </c>
      <c r="B79" s="20" t="s">
        <v>79</v>
      </c>
      <c r="C79" s="20">
        <v>1167.0</v>
      </c>
      <c r="D79" s="20" t="s">
        <v>2144</v>
      </c>
      <c r="E79" s="20" t="s">
        <v>93</v>
      </c>
      <c r="F79" s="27"/>
    </row>
    <row r="80">
      <c r="A80" s="26">
        <v>44577.628183611116</v>
      </c>
      <c r="B80" s="20" t="s">
        <v>79</v>
      </c>
      <c r="C80" s="20">
        <v>296.0</v>
      </c>
      <c r="D80" s="20" t="s">
        <v>2144</v>
      </c>
      <c r="E80" s="20" t="s">
        <v>80</v>
      </c>
      <c r="F80" s="27"/>
    </row>
    <row r="81">
      <c r="A81" s="26">
        <v>44577.632506064816</v>
      </c>
      <c r="B81" s="20" t="s">
        <v>79</v>
      </c>
      <c r="C81" s="20">
        <v>877.0</v>
      </c>
      <c r="D81" s="20" t="s">
        <v>2144</v>
      </c>
      <c r="E81" s="20" t="s">
        <v>40</v>
      </c>
      <c r="F81" s="27"/>
    </row>
    <row r="82">
      <c r="A82" s="26">
        <v>44577.63595296296</v>
      </c>
      <c r="B82" s="20" t="s">
        <v>79</v>
      </c>
      <c r="C82" s="20">
        <v>454.0</v>
      </c>
      <c r="D82" s="20" t="s">
        <v>2144</v>
      </c>
      <c r="E82" s="20" t="s">
        <v>38</v>
      </c>
      <c r="F82" s="27"/>
    </row>
    <row r="83">
      <c r="A83" s="26">
        <v>44577.63752582176</v>
      </c>
      <c r="B83" s="20" t="s">
        <v>79</v>
      </c>
      <c r="C83" s="20">
        <v>47.0</v>
      </c>
      <c r="D83" s="20" t="s">
        <v>2144</v>
      </c>
      <c r="E83" s="20" t="s">
        <v>99</v>
      </c>
      <c r="F83" s="27"/>
    </row>
    <row r="84">
      <c r="A84" s="26">
        <v>44577.63770340278</v>
      </c>
      <c r="B84" s="20" t="s">
        <v>79</v>
      </c>
      <c r="C84" s="20">
        <v>60.0</v>
      </c>
      <c r="D84" s="20" t="s">
        <v>2144</v>
      </c>
      <c r="E84" s="20" t="s">
        <v>87</v>
      </c>
      <c r="F84" s="27"/>
    </row>
    <row r="85">
      <c r="A85" s="26">
        <v>44579.56533329861</v>
      </c>
      <c r="B85" s="20" t="s">
        <v>55</v>
      </c>
      <c r="C85" s="20">
        <v>240.0</v>
      </c>
      <c r="D85" s="20" t="s">
        <v>2144</v>
      </c>
      <c r="E85" s="20" t="s">
        <v>80</v>
      </c>
      <c r="F85" s="27"/>
    </row>
    <row r="86">
      <c r="A86" s="26">
        <v>44579.565547708335</v>
      </c>
      <c r="B86" s="20" t="s">
        <v>55</v>
      </c>
      <c r="C86" s="20">
        <v>893.0</v>
      </c>
      <c r="D86" s="20" t="s">
        <v>2144</v>
      </c>
      <c r="E86" s="20" t="s">
        <v>467</v>
      </c>
      <c r="F86" s="27"/>
    </row>
    <row r="87">
      <c r="A87" s="26">
        <v>44579.565855520836</v>
      </c>
      <c r="B87" s="20" t="s">
        <v>55</v>
      </c>
      <c r="C87" s="20">
        <v>174.0</v>
      </c>
      <c r="D87" s="20" t="s">
        <v>2144</v>
      </c>
      <c r="E87" s="20" t="s">
        <v>47</v>
      </c>
      <c r="F87" s="27"/>
    </row>
    <row r="88">
      <c r="A88" s="26">
        <v>44579.566012407406</v>
      </c>
      <c r="B88" s="20" t="s">
        <v>55</v>
      </c>
      <c r="C88" s="20">
        <v>620.0</v>
      </c>
      <c r="D88" s="20" t="s">
        <v>2144</v>
      </c>
      <c r="E88" s="20" t="s">
        <v>80</v>
      </c>
      <c r="F88" s="27"/>
    </row>
    <row r="89">
      <c r="A89" s="26">
        <v>44579.57699072917</v>
      </c>
      <c r="B89" s="20" t="s">
        <v>55</v>
      </c>
      <c r="C89" s="20">
        <v>682.0</v>
      </c>
      <c r="D89" s="20" t="s">
        <v>2144</v>
      </c>
      <c r="E89" s="20" t="s">
        <v>80</v>
      </c>
      <c r="F89" s="27"/>
    </row>
    <row r="90">
      <c r="A90" s="26">
        <v>44579.57739961805</v>
      </c>
      <c r="B90" s="20" t="s">
        <v>55</v>
      </c>
      <c r="C90" s="20">
        <v>1938.0</v>
      </c>
      <c r="D90" s="20" t="s">
        <v>2144</v>
      </c>
      <c r="E90" s="20" t="s">
        <v>559</v>
      </c>
      <c r="F90" s="27"/>
    </row>
    <row r="91">
      <c r="A91" s="26">
        <v>44579.7095280787</v>
      </c>
      <c r="B91" s="20" t="s">
        <v>2152</v>
      </c>
      <c r="C91" s="20">
        <v>11.0</v>
      </c>
      <c r="D91" s="20" t="s">
        <v>2153</v>
      </c>
      <c r="E91" s="20" t="s">
        <v>40</v>
      </c>
      <c r="F91" s="27"/>
    </row>
    <row r="92">
      <c r="A92" s="26">
        <v>44579.71005677083</v>
      </c>
      <c r="B92" s="20" t="s">
        <v>922</v>
      </c>
      <c r="C92" s="20">
        <v>15.0</v>
      </c>
      <c r="D92" s="20" t="s">
        <v>2153</v>
      </c>
      <c r="E92" s="20" t="s">
        <v>2154</v>
      </c>
      <c r="F92" s="27"/>
    </row>
    <row r="93">
      <c r="A93" s="26">
        <v>44581.51912162037</v>
      </c>
      <c r="B93" s="20" t="s">
        <v>49</v>
      </c>
      <c r="C93" s="20">
        <v>756.0</v>
      </c>
      <c r="D93" s="20" t="s">
        <v>2144</v>
      </c>
      <c r="E93" s="20" t="s">
        <v>40</v>
      </c>
      <c r="F93" s="27"/>
    </row>
    <row r="94">
      <c r="A94" s="26">
        <v>44581.51933364583</v>
      </c>
      <c r="B94" s="20" t="s">
        <v>49</v>
      </c>
      <c r="C94" s="20">
        <v>263.0</v>
      </c>
      <c r="D94" s="20" t="s">
        <v>2144</v>
      </c>
      <c r="E94" s="20" t="s">
        <v>80</v>
      </c>
      <c r="F94" s="27"/>
    </row>
    <row r="95">
      <c r="A95" s="26">
        <v>44581.519574907405</v>
      </c>
      <c r="B95" s="20" t="s">
        <v>49</v>
      </c>
      <c r="C95" s="20">
        <v>726.0</v>
      </c>
      <c r="D95" s="20" t="s">
        <v>2144</v>
      </c>
      <c r="E95" s="20" t="s">
        <v>40</v>
      </c>
      <c r="F95" s="27"/>
    </row>
    <row r="96">
      <c r="A96" s="26">
        <v>44581.51978048611</v>
      </c>
      <c r="B96" s="20" t="s">
        <v>49</v>
      </c>
      <c r="C96" s="20">
        <v>733.0</v>
      </c>
      <c r="D96" s="20" t="s">
        <v>2144</v>
      </c>
      <c r="E96" s="20" t="s">
        <v>36</v>
      </c>
      <c r="F96" s="27"/>
    </row>
    <row r="97">
      <c r="A97" s="26">
        <v>44581.51998358796</v>
      </c>
      <c r="B97" s="20" t="s">
        <v>49</v>
      </c>
      <c r="C97" s="20">
        <v>61.0</v>
      </c>
      <c r="D97" s="20" t="s">
        <v>2144</v>
      </c>
      <c r="E97" s="20" t="s">
        <v>95</v>
      </c>
      <c r="F97" s="27"/>
    </row>
    <row r="98">
      <c r="A98" s="26">
        <v>44581.845316782405</v>
      </c>
      <c r="B98" s="20" t="s">
        <v>129</v>
      </c>
      <c r="C98" s="20">
        <v>1857.0</v>
      </c>
      <c r="D98" s="20" t="s">
        <v>2144</v>
      </c>
      <c r="E98" s="20" t="s">
        <v>36</v>
      </c>
      <c r="F98" s="27"/>
    </row>
    <row r="99">
      <c r="A99" s="26">
        <v>44581.84583777778</v>
      </c>
      <c r="B99" s="20" t="s">
        <v>2155</v>
      </c>
      <c r="C99" s="20">
        <v>1045.0</v>
      </c>
      <c r="D99" s="20" t="s">
        <v>2144</v>
      </c>
      <c r="E99" s="20" t="s">
        <v>559</v>
      </c>
      <c r="F99" s="27"/>
    </row>
    <row r="100">
      <c r="A100" s="26">
        <v>44581.84610875</v>
      </c>
      <c r="B100" s="20" t="s">
        <v>129</v>
      </c>
      <c r="C100" s="20">
        <v>352.0</v>
      </c>
      <c r="D100" s="20" t="s">
        <v>2144</v>
      </c>
      <c r="E100" s="20" t="s">
        <v>80</v>
      </c>
      <c r="F100" s="27"/>
    </row>
    <row r="101">
      <c r="A101" s="26">
        <v>44583.54526155093</v>
      </c>
      <c r="B101" s="20" t="s">
        <v>91</v>
      </c>
      <c r="C101" s="20">
        <v>821.0</v>
      </c>
      <c r="D101" s="20" t="s">
        <v>2148</v>
      </c>
      <c r="E101" s="20" t="s">
        <v>40</v>
      </c>
      <c r="F101" s="27"/>
    </row>
    <row r="102">
      <c r="A102" s="26">
        <v>44583.545455405096</v>
      </c>
      <c r="B102" s="20" t="s">
        <v>92</v>
      </c>
      <c r="C102" s="20">
        <v>861.0</v>
      </c>
      <c r="D102" s="20" t="s">
        <v>2148</v>
      </c>
      <c r="E102" s="20" t="s">
        <v>40</v>
      </c>
      <c r="F102" s="27"/>
    </row>
    <row r="103">
      <c r="A103" s="26">
        <v>44583.5456666088</v>
      </c>
      <c r="B103" s="20" t="s">
        <v>92</v>
      </c>
      <c r="C103" s="20">
        <v>807.0</v>
      </c>
      <c r="D103" s="20" t="s">
        <v>2148</v>
      </c>
      <c r="E103" s="20" t="s">
        <v>40</v>
      </c>
      <c r="F103" s="27"/>
    </row>
    <row r="104">
      <c r="A104" s="26">
        <v>44583.54583097222</v>
      </c>
      <c r="B104" s="20" t="s">
        <v>92</v>
      </c>
      <c r="C104" s="20">
        <v>880.0</v>
      </c>
      <c r="D104" s="20" t="s">
        <v>2148</v>
      </c>
      <c r="E104" s="20" t="s">
        <v>40</v>
      </c>
      <c r="F104" s="27"/>
    </row>
    <row r="105">
      <c r="A105" s="26">
        <v>44583.69696239583</v>
      </c>
      <c r="B105" s="20" t="s">
        <v>112</v>
      </c>
      <c r="C105" s="20">
        <v>241.0</v>
      </c>
      <c r="D105" s="20" t="s">
        <v>2144</v>
      </c>
      <c r="E105" s="20" t="s">
        <v>64</v>
      </c>
      <c r="F105" s="27"/>
    </row>
    <row r="106">
      <c r="A106" s="26">
        <v>44583.69737065972</v>
      </c>
      <c r="B106" s="20" t="s">
        <v>112</v>
      </c>
      <c r="C106" s="20">
        <v>603.0</v>
      </c>
      <c r="D106" s="20" t="s">
        <v>2144</v>
      </c>
      <c r="E106" s="20" t="s">
        <v>40</v>
      </c>
      <c r="F106" s="27"/>
    </row>
    <row r="107">
      <c r="A107" s="26">
        <v>44583.69776967593</v>
      </c>
      <c r="B107" s="20" t="s">
        <v>112</v>
      </c>
      <c r="C107" s="20">
        <v>878.0</v>
      </c>
      <c r="D107" s="20" t="s">
        <v>2144</v>
      </c>
      <c r="E107" s="20" t="s">
        <v>38</v>
      </c>
      <c r="F107" s="27"/>
    </row>
    <row r="108">
      <c r="A108" s="26">
        <v>44583.69817952546</v>
      </c>
      <c r="B108" s="20" t="s">
        <v>112</v>
      </c>
      <c r="C108" s="20">
        <v>1309.0</v>
      </c>
      <c r="D108" s="20" t="s">
        <v>2144</v>
      </c>
      <c r="E108" s="20" t="s">
        <v>36</v>
      </c>
      <c r="F108" s="27"/>
    </row>
    <row r="109">
      <c r="A109" s="26">
        <v>44583.69855048611</v>
      </c>
      <c r="B109" s="20" t="s">
        <v>2156</v>
      </c>
      <c r="C109" s="20">
        <v>899.0</v>
      </c>
      <c r="D109" s="20" t="s">
        <v>2144</v>
      </c>
      <c r="E109" s="20" t="s">
        <v>36</v>
      </c>
      <c r="F109" s="27"/>
    </row>
    <row r="110">
      <c r="A110" s="26">
        <v>44583.6989265625</v>
      </c>
      <c r="B110" s="20" t="s">
        <v>112</v>
      </c>
      <c r="C110" s="20">
        <v>966.0</v>
      </c>
      <c r="D110" s="20" t="s">
        <v>2144</v>
      </c>
      <c r="E110" s="20" t="s">
        <v>36</v>
      </c>
      <c r="F110" s="27"/>
    </row>
    <row r="111">
      <c r="A111" s="26">
        <v>44583.69926765046</v>
      </c>
      <c r="B111" s="20" t="s">
        <v>112</v>
      </c>
      <c r="C111" s="29">
        <v>1168.0</v>
      </c>
      <c r="D111" s="20" t="s">
        <v>2144</v>
      </c>
      <c r="E111" s="20" t="s">
        <v>40</v>
      </c>
      <c r="F111" s="27"/>
    </row>
    <row r="112">
      <c r="A112" s="26">
        <v>44583.69963540509</v>
      </c>
      <c r="B112" s="20" t="s">
        <v>112</v>
      </c>
      <c r="C112" s="20">
        <v>1092.0</v>
      </c>
      <c r="D112" s="20" t="s">
        <v>2144</v>
      </c>
      <c r="E112" s="20" t="s">
        <v>40</v>
      </c>
      <c r="F112" s="27"/>
    </row>
    <row r="113">
      <c r="A113" s="26">
        <v>44583.69998334491</v>
      </c>
      <c r="B113" s="20" t="s">
        <v>112</v>
      </c>
      <c r="C113" s="20">
        <v>672.0</v>
      </c>
      <c r="D113" s="20" t="s">
        <v>2144</v>
      </c>
      <c r="E113" s="20" t="s">
        <v>40</v>
      </c>
      <c r="F113" s="27"/>
    </row>
    <row r="114">
      <c r="A114" s="26">
        <v>44583.70041048611</v>
      </c>
      <c r="B114" s="20" t="s">
        <v>112</v>
      </c>
      <c r="C114" s="20">
        <v>1270.0</v>
      </c>
      <c r="D114" s="20" t="s">
        <v>2144</v>
      </c>
      <c r="E114" s="20" t="s">
        <v>38</v>
      </c>
      <c r="F114" s="27"/>
    </row>
    <row r="115">
      <c r="A115" s="26">
        <v>44583.70077650463</v>
      </c>
      <c r="B115" s="20" t="s">
        <v>112</v>
      </c>
      <c r="C115" s="20">
        <v>1338.0</v>
      </c>
      <c r="D115" s="20" t="s">
        <v>2144</v>
      </c>
      <c r="E115" s="20" t="s">
        <v>38</v>
      </c>
      <c r="F115" s="27"/>
    </row>
    <row r="116">
      <c r="A116" s="26">
        <v>44583.70122387732</v>
      </c>
      <c r="B116" s="20" t="s">
        <v>112</v>
      </c>
      <c r="C116" s="20">
        <v>937.0</v>
      </c>
      <c r="D116" s="20" t="s">
        <v>2144</v>
      </c>
      <c r="E116" s="20" t="s">
        <v>40</v>
      </c>
      <c r="F116" s="27"/>
    </row>
    <row r="117">
      <c r="A117" s="26">
        <v>44583.70173315972</v>
      </c>
      <c r="B117" s="20" t="s">
        <v>112</v>
      </c>
      <c r="C117" s="20">
        <v>901.0</v>
      </c>
      <c r="D117" s="20" t="s">
        <v>2144</v>
      </c>
      <c r="E117" s="20" t="s">
        <v>40</v>
      </c>
      <c r="F117" s="27"/>
    </row>
    <row r="118">
      <c r="A118" s="26">
        <v>44583.70211846065</v>
      </c>
      <c r="B118" s="20" t="s">
        <v>112</v>
      </c>
      <c r="C118" s="20">
        <v>1083.0</v>
      </c>
      <c r="D118" s="20" t="s">
        <v>2144</v>
      </c>
      <c r="E118" s="20" t="s">
        <v>38</v>
      </c>
      <c r="F118" s="27"/>
    </row>
    <row r="119">
      <c r="A119" s="26">
        <v>44584.60833679399</v>
      </c>
      <c r="C119" s="20">
        <v>313.0</v>
      </c>
      <c r="D119" s="20" t="s">
        <v>2144</v>
      </c>
      <c r="E119" s="20" t="s">
        <v>47</v>
      </c>
      <c r="F119" s="27"/>
    </row>
    <row r="120">
      <c r="A120" s="26">
        <v>44584.60867516204</v>
      </c>
      <c r="C120" s="20">
        <v>412.0</v>
      </c>
      <c r="D120" s="20" t="s">
        <v>2144</v>
      </c>
      <c r="E120" s="20" t="s">
        <v>80</v>
      </c>
      <c r="F120" s="27"/>
    </row>
    <row r="121">
      <c r="A121" s="26">
        <v>44584.609978692126</v>
      </c>
      <c r="C121" s="20">
        <v>604.0</v>
      </c>
      <c r="D121" s="20" t="s">
        <v>2144</v>
      </c>
      <c r="E121" s="20" t="s">
        <v>80</v>
      </c>
      <c r="F121" s="27"/>
    </row>
    <row r="122">
      <c r="A122" s="26">
        <v>44584.61352784722</v>
      </c>
      <c r="C122" s="20">
        <v>617.0</v>
      </c>
      <c r="D122" s="20" t="s">
        <v>2144</v>
      </c>
      <c r="E122" s="20" t="s">
        <v>40</v>
      </c>
      <c r="F122" s="27"/>
    </row>
    <row r="123">
      <c r="A123" s="26">
        <v>44584.61832688657</v>
      </c>
      <c r="C123" s="20">
        <v>1561.0</v>
      </c>
      <c r="D123" s="20" t="s">
        <v>2144</v>
      </c>
      <c r="E123" s="20" t="s">
        <v>40</v>
      </c>
      <c r="F123" s="27"/>
    </row>
    <row r="124">
      <c r="A124" s="26">
        <v>44584.621948217595</v>
      </c>
      <c r="C124" s="20">
        <v>326.0</v>
      </c>
      <c r="D124" s="20" t="s">
        <v>2144</v>
      </c>
      <c r="E124" s="20" t="s">
        <v>40</v>
      </c>
      <c r="F124" s="27"/>
    </row>
    <row r="125">
      <c r="A125" s="26">
        <v>44584.68138274306</v>
      </c>
      <c r="B125" s="20" t="s">
        <v>69</v>
      </c>
      <c r="C125" s="20">
        <v>18.0</v>
      </c>
      <c r="D125" s="20" t="s">
        <v>2149</v>
      </c>
      <c r="E125" s="20" t="s">
        <v>2157</v>
      </c>
      <c r="F125" s="27"/>
    </row>
    <row r="126">
      <c r="A126" s="26">
        <v>44586.72407607639</v>
      </c>
      <c r="B126" s="20" t="s">
        <v>67</v>
      </c>
      <c r="C126" s="20">
        <v>389.0</v>
      </c>
      <c r="D126" s="20" t="s">
        <v>2144</v>
      </c>
      <c r="E126" s="20" t="s">
        <v>40</v>
      </c>
      <c r="F126" s="27"/>
    </row>
    <row r="127">
      <c r="A127" s="26">
        <v>44586.724568819445</v>
      </c>
      <c r="B127" s="20" t="s">
        <v>67</v>
      </c>
      <c r="C127" s="20">
        <v>531.0</v>
      </c>
      <c r="D127" s="20" t="s">
        <v>2144</v>
      </c>
      <c r="E127" s="20" t="s">
        <v>40</v>
      </c>
      <c r="F127" s="27"/>
    </row>
    <row r="128">
      <c r="A128" s="26">
        <v>44586.72494921296</v>
      </c>
      <c r="B128" s="20" t="s">
        <v>67</v>
      </c>
      <c r="C128" s="20">
        <v>654.0</v>
      </c>
      <c r="D128" s="20" t="s">
        <v>2144</v>
      </c>
      <c r="E128" s="20" t="s">
        <v>80</v>
      </c>
      <c r="F128" s="27"/>
    </row>
    <row r="129">
      <c r="A129" s="26">
        <v>44586.72612762732</v>
      </c>
      <c r="B129" s="20" t="s">
        <v>67</v>
      </c>
      <c r="C129" s="20">
        <v>868.0</v>
      </c>
      <c r="D129" s="20" t="s">
        <v>2144</v>
      </c>
      <c r="E129" s="20" t="s">
        <v>80</v>
      </c>
      <c r="F129" s="27"/>
    </row>
    <row r="130">
      <c r="A130" s="26">
        <v>44586.726438275466</v>
      </c>
      <c r="B130" s="20" t="s">
        <v>67</v>
      </c>
      <c r="C130" s="20">
        <v>789.0</v>
      </c>
      <c r="D130" s="20" t="s">
        <v>2144</v>
      </c>
      <c r="E130" s="20" t="s">
        <v>80</v>
      </c>
      <c r="F130" s="27"/>
    </row>
    <row r="131">
      <c r="A131" s="26">
        <v>44586.72671390046</v>
      </c>
      <c r="B131" s="20" t="s">
        <v>67</v>
      </c>
      <c r="C131" s="20">
        <v>825.0</v>
      </c>
      <c r="D131" s="20" t="s">
        <v>2144</v>
      </c>
      <c r="E131" s="20" t="s">
        <v>80</v>
      </c>
      <c r="F131" s="27"/>
    </row>
    <row r="132">
      <c r="A132" s="26">
        <v>44586.72737255787</v>
      </c>
      <c r="C132" s="20">
        <v>713.0</v>
      </c>
      <c r="D132" s="20" t="s">
        <v>2144</v>
      </c>
      <c r="E132" s="20" t="s">
        <v>80</v>
      </c>
      <c r="F132" s="27"/>
    </row>
    <row r="133">
      <c r="A133" s="26">
        <v>44586.7276346875</v>
      </c>
      <c r="B133" s="20" t="s">
        <v>67</v>
      </c>
      <c r="C133" s="20">
        <v>537.0</v>
      </c>
      <c r="D133" s="20" t="s">
        <v>2144</v>
      </c>
      <c r="E133" s="20" t="s">
        <v>80</v>
      </c>
      <c r="F133" s="27"/>
    </row>
    <row r="134">
      <c r="A134" s="26">
        <v>44586.72792232639</v>
      </c>
      <c r="B134" s="20" t="s">
        <v>67</v>
      </c>
      <c r="C134" s="20">
        <v>661.0</v>
      </c>
      <c r="D134" s="20" t="s">
        <v>2144</v>
      </c>
      <c r="E134" s="20" t="s">
        <v>80</v>
      </c>
      <c r="F134" s="27"/>
    </row>
    <row r="135">
      <c r="A135" s="26">
        <v>44587.608116574076</v>
      </c>
      <c r="B135" s="20" t="s">
        <v>49</v>
      </c>
      <c r="C135" s="20">
        <v>466.0</v>
      </c>
      <c r="D135" s="20" t="s">
        <v>2144</v>
      </c>
      <c r="E135" s="20" t="s">
        <v>80</v>
      </c>
      <c r="F135" s="27"/>
    </row>
    <row r="136">
      <c r="A136" s="26">
        <v>44587.6083061574</v>
      </c>
      <c r="B136" s="20" t="s">
        <v>49</v>
      </c>
      <c r="C136" s="20">
        <v>288.0</v>
      </c>
      <c r="D136" s="20" t="s">
        <v>2144</v>
      </c>
      <c r="E136" s="20" t="s">
        <v>80</v>
      </c>
      <c r="F136" s="27"/>
    </row>
    <row r="137">
      <c r="A137" s="26">
        <v>44587.60849888889</v>
      </c>
      <c r="B137" s="20" t="s">
        <v>49</v>
      </c>
      <c r="C137" s="20">
        <v>564.0</v>
      </c>
      <c r="D137" s="20" t="s">
        <v>2144</v>
      </c>
      <c r="E137" s="20" t="s">
        <v>40</v>
      </c>
      <c r="F137" s="27"/>
    </row>
    <row r="138">
      <c r="A138" s="26">
        <v>44587.60874984953</v>
      </c>
      <c r="B138" s="20" t="s">
        <v>49</v>
      </c>
      <c r="C138" s="20">
        <v>661.0</v>
      </c>
      <c r="D138" s="20" t="s">
        <v>2144</v>
      </c>
      <c r="E138" s="20" t="s">
        <v>80</v>
      </c>
      <c r="F138" s="27"/>
    </row>
    <row r="139">
      <c r="A139" s="26">
        <v>44587.60893797454</v>
      </c>
      <c r="B139" s="20" t="s">
        <v>49</v>
      </c>
      <c r="C139" s="20">
        <v>537.0</v>
      </c>
      <c r="D139" s="20" t="s">
        <v>2144</v>
      </c>
      <c r="E139" s="20" t="s">
        <v>80</v>
      </c>
      <c r="F139" s="27"/>
    </row>
    <row r="140">
      <c r="A140" s="26">
        <v>44587.60943277778</v>
      </c>
      <c r="B140" s="20" t="s">
        <v>49</v>
      </c>
      <c r="C140" s="20">
        <v>713.0</v>
      </c>
      <c r="D140" s="20" t="s">
        <v>2144</v>
      </c>
      <c r="E140" s="20" t="s">
        <v>99</v>
      </c>
      <c r="F140" s="27"/>
    </row>
    <row r="141">
      <c r="A141" s="26">
        <v>44587.610017858795</v>
      </c>
      <c r="B141" s="20" t="s">
        <v>49</v>
      </c>
      <c r="C141" s="20">
        <v>825.0</v>
      </c>
      <c r="D141" s="20" t="s">
        <v>2144</v>
      </c>
      <c r="E141" s="20" t="s">
        <v>40</v>
      </c>
      <c r="F141" s="27"/>
    </row>
    <row r="142">
      <c r="A142" s="26">
        <v>44587.61035912037</v>
      </c>
      <c r="B142" s="20" t="s">
        <v>49</v>
      </c>
      <c r="C142" s="20">
        <v>789.0</v>
      </c>
      <c r="D142" s="20" t="s">
        <v>2144</v>
      </c>
      <c r="E142" s="20" t="s">
        <v>80</v>
      </c>
      <c r="F142" s="27"/>
    </row>
    <row r="143">
      <c r="A143" s="26">
        <v>44587.61060314815</v>
      </c>
      <c r="B143" s="20" t="s">
        <v>49</v>
      </c>
      <c r="C143" s="20">
        <v>868.0</v>
      </c>
      <c r="D143" s="20" t="s">
        <v>2144</v>
      </c>
      <c r="E143" s="20" t="s">
        <v>80</v>
      </c>
      <c r="F143" s="27"/>
    </row>
    <row r="144">
      <c r="A144" s="26">
        <v>44587.610812962965</v>
      </c>
      <c r="B144" s="20" t="s">
        <v>49</v>
      </c>
      <c r="C144" s="20">
        <v>654.0</v>
      </c>
      <c r="D144" s="20" t="s">
        <v>2144</v>
      </c>
      <c r="E144" s="20" t="s">
        <v>80</v>
      </c>
      <c r="F144" s="27"/>
    </row>
    <row r="145">
      <c r="A145" s="26">
        <v>44587.61103539352</v>
      </c>
      <c r="B145" s="20" t="s">
        <v>49</v>
      </c>
      <c r="C145" s="20">
        <v>531.0</v>
      </c>
      <c r="D145" s="20" t="s">
        <v>2144</v>
      </c>
      <c r="E145" s="20" t="s">
        <v>40</v>
      </c>
      <c r="F145" s="27"/>
    </row>
    <row r="146">
      <c r="A146" s="26">
        <v>44587.61127355324</v>
      </c>
      <c r="B146" s="20" t="s">
        <v>49</v>
      </c>
      <c r="C146" s="20">
        <v>389.0</v>
      </c>
      <c r="D146" s="20" t="s">
        <v>2144</v>
      </c>
      <c r="E146" s="20" t="s">
        <v>40</v>
      </c>
      <c r="F146" s="27"/>
    </row>
    <row r="147">
      <c r="A147" s="26">
        <v>44587.86976760416</v>
      </c>
      <c r="B147" s="20" t="s">
        <v>1177</v>
      </c>
      <c r="C147" s="20">
        <v>20.0</v>
      </c>
      <c r="D147" s="20" t="s">
        <v>2144</v>
      </c>
      <c r="E147" s="20" t="s">
        <v>38</v>
      </c>
      <c r="F147" s="27"/>
    </row>
    <row r="148">
      <c r="A148" s="26">
        <v>44590.5403815625</v>
      </c>
      <c r="B148" s="20" t="s">
        <v>112</v>
      </c>
      <c r="C148" s="20">
        <v>2530.0</v>
      </c>
      <c r="D148" s="20" t="s">
        <v>2144</v>
      </c>
      <c r="E148" s="20" t="s">
        <v>2158</v>
      </c>
      <c r="F148" s="27"/>
    </row>
    <row r="149">
      <c r="A149" s="26">
        <v>44590.5460755324</v>
      </c>
      <c r="B149" s="20" t="s">
        <v>112</v>
      </c>
      <c r="C149" s="20">
        <v>1606.0</v>
      </c>
      <c r="D149" s="20" t="s">
        <v>2144</v>
      </c>
      <c r="E149" s="20" t="s">
        <v>53</v>
      </c>
      <c r="F149" s="27"/>
    </row>
    <row r="150">
      <c r="A150" s="26">
        <v>44590.54928925926</v>
      </c>
      <c r="B150" s="20" t="s">
        <v>112</v>
      </c>
      <c r="C150" s="20">
        <v>1537.0</v>
      </c>
      <c r="D150" s="20" t="s">
        <v>2153</v>
      </c>
      <c r="E150" s="20" t="s">
        <v>36</v>
      </c>
      <c r="F150" s="27"/>
    </row>
    <row r="151">
      <c r="A151" s="26">
        <v>44590.55941782407</v>
      </c>
      <c r="B151" s="20" t="s">
        <v>112</v>
      </c>
      <c r="C151" s="20">
        <v>2748.0</v>
      </c>
      <c r="D151" s="20" t="s">
        <v>2144</v>
      </c>
      <c r="E151" s="20" t="s">
        <v>2159</v>
      </c>
      <c r="F151" s="27"/>
    </row>
    <row r="152">
      <c r="A152" s="26">
        <v>44590.563731863425</v>
      </c>
      <c r="B152" s="20" t="s">
        <v>112</v>
      </c>
      <c r="C152" s="20">
        <v>2574.0</v>
      </c>
      <c r="D152" s="20" t="s">
        <v>2144</v>
      </c>
      <c r="E152" s="20" t="s">
        <v>53</v>
      </c>
      <c r="F152" s="27"/>
    </row>
    <row r="153">
      <c r="A153" s="26">
        <v>44590.56413368056</v>
      </c>
      <c r="B153" s="20" t="s">
        <v>112</v>
      </c>
      <c r="C153" s="20">
        <v>2748.0</v>
      </c>
      <c r="D153" s="20" t="s">
        <v>2144</v>
      </c>
      <c r="E153" s="20" t="s">
        <v>53</v>
      </c>
      <c r="F153" s="27"/>
    </row>
    <row r="154">
      <c r="A154" s="26">
        <v>44590.57669</v>
      </c>
      <c r="B154" s="20" t="s">
        <v>112</v>
      </c>
      <c r="C154" s="20">
        <v>1147.0</v>
      </c>
      <c r="D154" s="20" t="s">
        <v>2144</v>
      </c>
      <c r="E154" s="20" t="s">
        <v>53</v>
      </c>
      <c r="F154" s="27"/>
    </row>
    <row r="155">
      <c r="A155" s="26">
        <v>44590.587996030095</v>
      </c>
      <c r="B155" s="20" t="s">
        <v>112</v>
      </c>
      <c r="C155" s="20">
        <v>1147.0</v>
      </c>
      <c r="D155" s="20" t="s">
        <v>2144</v>
      </c>
      <c r="E155" s="20" t="s">
        <v>53</v>
      </c>
      <c r="F155" s="27"/>
    </row>
    <row r="156">
      <c r="A156" s="26">
        <v>44590.58848623843</v>
      </c>
      <c r="B156" s="20" t="s">
        <v>112</v>
      </c>
      <c r="C156" s="20">
        <v>605.0</v>
      </c>
      <c r="D156" s="20" t="s">
        <v>2144</v>
      </c>
      <c r="E156" s="20" t="s">
        <v>115</v>
      </c>
      <c r="F156" s="27"/>
    </row>
    <row r="157">
      <c r="A157" s="26">
        <v>44590.594475868056</v>
      </c>
      <c r="C157" s="20">
        <v>832.0</v>
      </c>
      <c r="D157" s="20" t="s">
        <v>2144</v>
      </c>
      <c r="E157" s="20" t="s">
        <v>115</v>
      </c>
      <c r="F157" s="27"/>
    </row>
    <row r="158">
      <c r="A158" s="26">
        <v>44590.598442789356</v>
      </c>
      <c r="B158" s="20" t="s">
        <v>112</v>
      </c>
      <c r="C158" s="20">
        <v>2481.0</v>
      </c>
      <c r="D158" s="20" t="s">
        <v>2144</v>
      </c>
      <c r="E158" s="20" t="s">
        <v>53</v>
      </c>
      <c r="F158" s="27"/>
    </row>
    <row r="159">
      <c r="A159" s="26">
        <v>44590.60455842593</v>
      </c>
      <c r="B159" s="20" t="s">
        <v>112</v>
      </c>
      <c r="C159" s="20">
        <v>2019.0</v>
      </c>
      <c r="D159" s="20" t="s">
        <v>2144</v>
      </c>
      <c r="E159" s="20" t="s">
        <v>115</v>
      </c>
      <c r="F159" s="27"/>
    </row>
    <row r="160">
      <c r="A160" s="26">
        <v>44590.612148472224</v>
      </c>
      <c r="B160" s="20" t="s">
        <v>67</v>
      </c>
      <c r="C160" s="20">
        <v>2137.0</v>
      </c>
      <c r="D160" s="20" t="s">
        <v>2144</v>
      </c>
      <c r="E160" s="20" t="s">
        <v>76</v>
      </c>
      <c r="F160" s="27"/>
    </row>
    <row r="161">
      <c r="A161" s="26">
        <v>44590.65133395833</v>
      </c>
      <c r="B161" s="20" t="s">
        <v>112</v>
      </c>
      <c r="C161" s="20">
        <v>2137.0</v>
      </c>
      <c r="D161" s="20" t="s">
        <v>2144</v>
      </c>
      <c r="E161" s="20" t="s">
        <v>115</v>
      </c>
      <c r="F161" s="27"/>
    </row>
    <row r="162">
      <c r="A162" s="26">
        <v>44590.65173561343</v>
      </c>
      <c r="B162" s="20" t="s">
        <v>112</v>
      </c>
      <c r="C162" s="20">
        <v>2427.0</v>
      </c>
      <c r="D162" s="20" t="s">
        <v>2144</v>
      </c>
      <c r="E162" s="20" t="s">
        <v>53</v>
      </c>
      <c r="F162" s="27"/>
    </row>
    <row r="163">
      <c r="A163" s="26">
        <v>44590.65215743055</v>
      </c>
      <c r="B163" s="20" t="s">
        <v>112</v>
      </c>
      <c r="C163" s="20">
        <v>316.0</v>
      </c>
      <c r="D163" s="20" t="s">
        <v>2144</v>
      </c>
      <c r="E163" s="20" t="s">
        <v>115</v>
      </c>
      <c r="F163" s="27"/>
    </row>
    <row r="164">
      <c r="A164" s="26">
        <v>44590.6729593287</v>
      </c>
      <c r="B164" s="20" t="s">
        <v>112</v>
      </c>
      <c r="C164" s="20">
        <v>377.0</v>
      </c>
      <c r="D164" s="20" t="s">
        <v>2144</v>
      </c>
      <c r="E164" s="20" t="s">
        <v>76</v>
      </c>
      <c r="F164" s="27"/>
    </row>
    <row r="165">
      <c r="A165" s="26">
        <v>44590.67333466435</v>
      </c>
      <c r="B165" s="20" t="s">
        <v>112</v>
      </c>
      <c r="C165" s="20">
        <v>427.0</v>
      </c>
      <c r="D165" s="20" t="s">
        <v>2144</v>
      </c>
      <c r="E165" s="20" t="s">
        <v>115</v>
      </c>
      <c r="F165" s="27"/>
    </row>
    <row r="166">
      <c r="A166" s="26">
        <v>44590.673651516205</v>
      </c>
      <c r="B166" s="20" t="s">
        <v>112</v>
      </c>
      <c r="C166" s="20">
        <v>1419.0</v>
      </c>
      <c r="D166" s="20" t="s">
        <v>2144</v>
      </c>
      <c r="E166" s="20" t="s">
        <v>53</v>
      </c>
      <c r="F166" s="27"/>
    </row>
    <row r="167">
      <c r="A167" s="26">
        <v>44590.67407952546</v>
      </c>
      <c r="B167" s="20" t="s">
        <v>112</v>
      </c>
      <c r="C167" s="20">
        <v>927.0</v>
      </c>
      <c r="D167" s="20" t="s">
        <v>2144</v>
      </c>
      <c r="E167" s="20" t="s">
        <v>115</v>
      </c>
      <c r="F167" s="27"/>
    </row>
    <row r="168">
      <c r="A168" s="26">
        <v>44590.67576646991</v>
      </c>
      <c r="B168" s="20" t="s">
        <v>112</v>
      </c>
      <c r="C168" s="20">
        <v>1450.0</v>
      </c>
      <c r="D168" s="20" t="s">
        <v>2144</v>
      </c>
      <c r="E168" s="20" t="s">
        <v>115</v>
      </c>
      <c r="F168" s="27"/>
    </row>
    <row r="169">
      <c r="A169" s="26">
        <v>44590.67782208334</v>
      </c>
      <c r="B169" s="20" t="s">
        <v>112</v>
      </c>
      <c r="C169" s="20">
        <v>68.0</v>
      </c>
      <c r="D169" s="20" t="s">
        <v>2144</v>
      </c>
      <c r="E169" s="20" t="s">
        <v>38</v>
      </c>
      <c r="F169" s="27"/>
    </row>
    <row r="170">
      <c r="A170" s="26">
        <v>44591.544853831016</v>
      </c>
      <c r="C170" s="20">
        <v>948.0</v>
      </c>
      <c r="D170" s="20" t="s">
        <v>2144</v>
      </c>
      <c r="E170" s="20" t="s">
        <v>40</v>
      </c>
      <c r="F170" s="27"/>
    </row>
    <row r="171">
      <c r="A171" s="26">
        <v>44591.54514578704</v>
      </c>
      <c r="C171" s="20">
        <v>1115.0</v>
      </c>
      <c r="D171" s="20" t="s">
        <v>2144</v>
      </c>
      <c r="E171" s="20" t="s">
        <v>80</v>
      </c>
      <c r="F171" s="27"/>
    </row>
    <row r="172">
      <c r="A172" s="26">
        <v>44591.54538322917</v>
      </c>
      <c r="C172" s="20">
        <v>2342.0</v>
      </c>
      <c r="D172" s="20" t="s">
        <v>2144</v>
      </c>
      <c r="E172" s="20" t="s">
        <v>38</v>
      </c>
      <c r="F172" s="27"/>
    </row>
    <row r="173">
      <c r="A173" s="26">
        <v>44591.54550578704</v>
      </c>
      <c r="C173" s="20">
        <v>1090.0</v>
      </c>
      <c r="D173" s="20" t="s">
        <v>2144</v>
      </c>
      <c r="E173" s="20" t="s">
        <v>40</v>
      </c>
      <c r="F173" s="27"/>
    </row>
    <row r="174">
      <c r="A174" s="26">
        <v>44591.54566259259</v>
      </c>
      <c r="C174" s="20">
        <v>1998.0</v>
      </c>
      <c r="D174" s="20" t="s">
        <v>2144</v>
      </c>
      <c r="E174" s="20" t="s">
        <v>36</v>
      </c>
      <c r="F174" s="27"/>
    </row>
    <row r="175">
      <c r="A175" s="26">
        <v>44591.54580407408</v>
      </c>
      <c r="C175" s="20">
        <v>1981.0</v>
      </c>
      <c r="D175" s="20" t="s">
        <v>2144</v>
      </c>
      <c r="E175" s="20" t="s">
        <v>36</v>
      </c>
      <c r="F175" s="27"/>
    </row>
    <row r="176">
      <c r="A176" s="26">
        <v>44591.54598043981</v>
      </c>
      <c r="C176" s="20">
        <v>243.0</v>
      </c>
      <c r="D176" s="20" t="s">
        <v>2144</v>
      </c>
      <c r="E176" s="20" t="s">
        <v>80</v>
      </c>
      <c r="F176" s="27"/>
    </row>
    <row r="177">
      <c r="A177" s="26">
        <v>44591.5461449537</v>
      </c>
      <c r="C177" s="20">
        <v>835.0</v>
      </c>
      <c r="D177" s="20" t="s">
        <v>2144</v>
      </c>
      <c r="E177" s="20" t="s">
        <v>47</v>
      </c>
      <c r="F177" s="27"/>
    </row>
    <row r="178">
      <c r="A178" s="26">
        <v>44591.54632905092</v>
      </c>
      <c r="C178" s="20">
        <v>802.0</v>
      </c>
      <c r="D178" s="20" t="s">
        <v>2144</v>
      </c>
      <c r="E178" s="20" t="s">
        <v>47</v>
      </c>
      <c r="F178" s="27"/>
    </row>
    <row r="179">
      <c r="A179" s="26">
        <v>44591.54644237268</v>
      </c>
      <c r="C179" s="20">
        <v>812.0</v>
      </c>
      <c r="D179" s="20" t="s">
        <v>2144</v>
      </c>
      <c r="E179" s="20" t="s">
        <v>47</v>
      </c>
      <c r="F179" s="27"/>
    </row>
    <row r="180">
      <c r="A180" s="26">
        <v>44591.546569467595</v>
      </c>
      <c r="C180" s="20">
        <v>966.0</v>
      </c>
      <c r="D180" s="20" t="s">
        <v>2144</v>
      </c>
      <c r="E180" s="20" t="s">
        <v>47</v>
      </c>
      <c r="F180" s="27"/>
    </row>
    <row r="181">
      <c r="A181" s="26">
        <v>44591.54669416667</v>
      </c>
      <c r="C181" s="20">
        <v>989.0</v>
      </c>
      <c r="D181" s="20" t="s">
        <v>2144</v>
      </c>
      <c r="E181" s="20" t="s">
        <v>47</v>
      </c>
      <c r="F181" s="27"/>
    </row>
    <row r="182">
      <c r="A182" s="26">
        <v>44591.54682146991</v>
      </c>
      <c r="C182" s="20">
        <v>1011.0</v>
      </c>
      <c r="D182" s="20" t="s">
        <v>2144</v>
      </c>
      <c r="E182" s="20" t="s">
        <v>47</v>
      </c>
      <c r="F182" s="27"/>
    </row>
    <row r="183">
      <c r="A183" s="26">
        <v>44591.5541271875</v>
      </c>
      <c r="C183" s="20">
        <v>68.0</v>
      </c>
      <c r="D183" s="20" t="s">
        <v>2144</v>
      </c>
      <c r="E183" s="20" t="s">
        <v>38</v>
      </c>
      <c r="F183" s="27"/>
    </row>
    <row r="184">
      <c r="A184" s="26">
        <v>44591.55421956019</v>
      </c>
      <c r="C184" s="20">
        <v>936.0</v>
      </c>
      <c r="D184" s="20" t="s">
        <v>2144</v>
      </c>
      <c r="E184" s="20" t="s">
        <v>38</v>
      </c>
      <c r="F184" s="27"/>
    </row>
    <row r="185">
      <c r="A185" s="26">
        <v>44591.55431561342</v>
      </c>
      <c r="C185" s="20">
        <v>847.0</v>
      </c>
      <c r="D185" s="20" t="s">
        <v>2144</v>
      </c>
      <c r="E185" s="20" t="s">
        <v>40</v>
      </c>
      <c r="F185" s="27"/>
    </row>
    <row r="186">
      <c r="A186" s="26">
        <v>44591.55442584491</v>
      </c>
      <c r="C186" s="20">
        <v>752.0</v>
      </c>
      <c r="D186" s="20" t="s">
        <v>2144</v>
      </c>
      <c r="E186" s="20" t="s">
        <v>40</v>
      </c>
      <c r="F186" s="27"/>
    </row>
    <row r="187">
      <c r="A187" s="26">
        <v>44591.55457724537</v>
      </c>
      <c r="C187" s="20">
        <v>671.0</v>
      </c>
      <c r="D187" s="20" t="s">
        <v>2144</v>
      </c>
      <c r="E187" s="20" t="s">
        <v>40</v>
      </c>
      <c r="F187" s="27"/>
    </row>
    <row r="188">
      <c r="A188" s="26">
        <v>44591.55467346065</v>
      </c>
      <c r="C188" s="20">
        <v>828.0</v>
      </c>
      <c r="D188" s="20" t="s">
        <v>2144</v>
      </c>
      <c r="E188" s="20" t="s">
        <v>40</v>
      </c>
      <c r="F188" s="27"/>
    </row>
    <row r="189">
      <c r="A189" s="26">
        <v>44591.55477328703</v>
      </c>
      <c r="C189" s="20">
        <v>955.0</v>
      </c>
      <c r="D189" s="20" t="s">
        <v>2144</v>
      </c>
      <c r="E189" s="20" t="s">
        <v>40</v>
      </c>
      <c r="F189" s="27"/>
    </row>
    <row r="190">
      <c r="A190" s="26">
        <v>44591.759011608796</v>
      </c>
      <c r="B190" s="20" t="s">
        <v>49</v>
      </c>
      <c r="C190" s="20">
        <v>600.0</v>
      </c>
      <c r="D190" s="20" t="s">
        <v>2144</v>
      </c>
      <c r="E190" s="20" t="s">
        <v>40</v>
      </c>
      <c r="F190" s="27"/>
    </row>
    <row r="191">
      <c r="A191" s="26">
        <v>44591.75930715278</v>
      </c>
      <c r="B191" s="20" t="s">
        <v>49</v>
      </c>
      <c r="C191" s="20">
        <v>572.0</v>
      </c>
      <c r="D191" s="20" t="s">
        <v>2144</v>
      </c>
      <c r="E191" s="20" t="s">
        <v>40</v>
      </c>
      <c r="F191" s="27"/>
    </row>
    <row r="192">
      <c r="A192" s="26">
        <v>44591.75962809028</v>
      </c>
      <c r="B192" s="20" t="s">
        <v>49</v>
      </c>
      <c r="C192" s="20">
        <v>508.0</v>
      </c>
      <c r="D192" s="20" t="s">
        <v>2144</v>
      </c>
      <c r="E192" s="20" t="s">
        <v>80</v>
      </c>
      <c r="F192" s="27"/>
    </row>
    <row r="193">
      <c r="A193" s="26">
        <v>44591.75986878472</v>
      </c>
      <c r="B193" s="20" t="s">
        <v>49</v>
      </c>
      <c r="C193" s="20">
        <v>760.0</v>
      </c>
      <c r="D193" s="20" t="s">
        <v>2144</v>
      </c>
      <c r="E193" s="20" t="s">
        <v>40</v>
      </c>
      <c r="F193" s="27"/>
    </row>
    <row r="194">
      <c r="A194" s="26">
        <v>44591.760279317125</v>
      </c>
      <c r="B194" s="20" t="s">
        <v>49</v>
      </c>
      <c r="C194" s="20">
        <v>800.0</v>
      </c>
      <c r="D194" s="20" t="s">
        <v>2144</v>
      </c>
      <c r="E194" s="20" t="s">
        <v>2160</v>
      </c>
      <c r="F194" s="27"/>
    </row>
    <row r="195">
      <c r="A195" s="20" t="s">
        <v>2161</v>
      </c>
      <c r="C195" s="24">
        <f>sum(C2:C188)</f>
        <v>154523</v>
      </c>
      <c r="D195" s="20"/>
      <c r="E195" s="20"/>
      <c r="F195" s="27"/>
    </row>
    <row r="196">
      <c r="A196" s="26">
        <v>44593.56237771991</v>
      </c>
      <c r="B196" s="20" t="s">
        <v>67</v>
      </c>
      <c r="C196" s="20">
        <v>85.0</v>
      </c>
      <c r="D196" s="20" t="s">
        <v>2144</v>
      </c>
      <c r="E196" s="20" t="s">
        <v>47</v>
      </c>
      <c r="F196" s="27"/>
    </row>
    <row r="197">
      <c r="A197" s="26">
        <v>44593.57349622685</v>
      </c>
      <c r="B197" s="20" t="s">
        <v>67</v>
      </c>
      <c r="C197" s="20">
        <v>647.0</v>
      </c>
      <c r="D197" s="20" t="s">
        <v>2144</v>
      </c>
      <c r="E197" s="20" t="s">
        <v>87</v>
      </c>
      <c r="F197" s="27"/>
    </row>
    <row r="198">
      <c r="A198" s="26">
        <v>44593.57849560185</v>
      </c>
      <c r="B198" s="20" t="s">
        <v>67</v>
      </c>
      <c r="C198" s="20">
        <v>977.0</v>
      </c>
      <c r="D198" s="20" t="s">
        <v>2144</v>
      </c>
      <c r="E198" s="20" t="s">
        <v>40</v>
      </c>
      <c r="F198" s="27"/>
    </row>
    <row r="199">
      <c r="A199" s="26">
        <v>44593.583901527774</v>
      </c>
      <c r="B199" s="20" t="s">
        <v>67</v>
      </c>
      <c r="C199" s="20">
        <v>657.0</v>
      </c>
      <c r="D199" s="20" t="s">
        <v>2144</v>
      </c>
      <c r="E199" s="20" t="s">
        <v>40</v>
      </c>
      <c r="F199" s="27"/>
    </row>
    <row r="200">
      <c r="A200" s="26">
        <v>44593.58869412037</v>
      </c>
      <c r="B200" s="20" t="s">
        <v>67</v>
      </c>
      <c r="C200" s="20">
        <v>761.0</v>
      </c>
      <c r="D200" s="20" t="s">
        <v>2144</v>
      </c>
      <c r="E200" s="20" t="s">
        <v>80</v>
      </c>
      <c r="F200" s="27"/>
    </row>
    <row r="201">
      <c r="A201" s="26">
        <v>44594.78995987268</v>
      </c>
      <c r="B201" s="20" t="s">
        <v>124</v>
      </c>
      <c r="C201" s="20">
        <v>760.0</v>
      </c>
      <c r="D201" s="20" t="s">
        <v>2149</v>
      </c>
      <c r="E201" s="20" t="s">
        <v>607</v>
      </c>
      <c r="F201" s="27"/>
    </row>
    <row r="202">
      <c r="A202" s="26">
        <v>44594.79029773148</v>
      </c>
      <c r="B202" s="20" t="s">
        <v>124</v>
      </c>
      <c r="C202" s="20">
        <v>1153.0</v>
      </c>
      <c r="D202" s="20" t="s">
        <v>2149</v>
      </c>
      <c r="E202" s="20" t="s">
        <v>607</v>
      </c>
      <c r="F202" s="27"/>
    </row>
    <row r="203">
      <c r="A203" s="26">
        <v>44594.79051634259</v>
      </c>
      <c r="B203" s="20" t="s">
        <v>124</v>
      </c>
      <c r="C203" s="20">
        <v>2185.0</v>
      </c>
      <c r="D203" s="20" t="s">
        <v>2144</v>
      </c>
      <c r="E203" s="20" t="s">
        <v>53</v>
      </c>
      <c r="F203" s="27"/>
    </row>
    <row r="204">
      <c r="A204" s="26">
        <v>44594.79074615741</v>
      </c>
      <c r="B204" s="20" t="s">
        <v>124</v>
      </c>
      <c r="C204" s="20">
        <v>1121.0</v>
      </c>
      <c r="D204" s="20" t="s">
        <v>2144</v>
      </c>
      <c r="E204" s="20" t="s">
        <v>53</v>
      </c>
      <c r="F204" s="27"/>
    </row>
    <row r="205">
      <c r="A205" s="26">
        <v>44594.79119967592</v>
      </c>
      <c r="B205" s="20" t="s">
        <v>124</v>
      </c>
      <c r="C205" s="20">
        <v>1139.0</v>
      </c>
      <c r="D205" s="20" t="s">
        <v>2144</v>
      </c>
      <c r="E205" s="20" t="s">
        <v>115</v>
      </c>
      <c r="F205" s="27"/>
    </row>
    <row r="206">
      <c r="A206" s="26">
        <v>44594.791555821765</v>
      </c>
      <c r="B206" s="20" t="s">
        <v>124</v>
      </c>
      <c r="C206" s="20">
        <v>547.0</v>
      </c>
      <c r="D206" s="20" t="s">
        <v>2144</v>
      </c>
      <c r="E206" s="20" t="s">
        <v>115</v>
      </c>
      <c r="F206" s="27"/>
    </row>
    <row r="207">
      <c r="A207" s="26">
        <v>44594.79190315973</v>
      </c>
      <c r="B207" s="20" t="s">
        <v>124</v>
      </c>
      <c r="C207" s="20">
        <v>1966.0</v>
      </c>
      <c r="D207" s="20" t="s">
        <v>2144</v>
      </c>
      <c r="E207" s="20" t="s">
        <v>115</v>
      </c>
      <c r="F207" s="27"/>
    </row>
    <row r="208">
      <c r="A208" s="26">
        <v>44594.79209290509</v>
      </c>
      <c r="B208" s="20" t="s">
        <v>124</v>
      </c>
      <c r="C208" s="20">
        <v>1966.0</v>
      </c>
      <c r="D208" s="20" t="s">
        <v>2144</v>
      </c>
      <c r="E208" s="20" t="s">
        <v>115</v>
      </c>
      <c r="F208" s="27"/>
    </row>
    <row r="209">
      <c r="A209" s="26">
        <v>44594.792334004625</v>
      </c>
      <c r="B209" s="20" t="s">
        <v>124</v>
      </c>
      <c r="C209" s="20">
        <v>1983.0</v>
      </c>
      <c r="D209" s="20" t="s">
        <v>2144</v>
      </c>
      <c r="E209" s="20" t="s">
        <v>115</v>
      </c>
      <c r="F209" s="27"/>
    </row>
    <row r="210">
      <c r="A210" s="26">
        <v>44594.79254692129</v>
      </c>
      <c r="B210" s="20" t="s">
        <v>124</v>
      </c>
      <c r="C210" s="20">
        <v>988.0</v>
      </c>
      <c r="D210" s="20" t="s">
        <v>2144</v>
      </c>
      <c r="E210" s="20" t="s">
        <v>47</v>
      </c>
      <c r="F210" s="27"/>
    </row>
    <row r="211">
      <c r="A211" s="26">
        <v>44594.7927908912</v>
      </c>
      <c r="B211" s="20" t="s">
        <v>124</v>
      </c>
      <c r="C211" s="20">
        <v>2308.0</v>
      </c>
      <c r="D211" s="20" t="s">
        <v>2144</v>
      </c>
      <c r="E211" s="20" t="s">
        <v>53</v>
      </c>
      <c r="F211" s="27"/>
    </row>
    <row r="212">
      <c r="A212" s="26">
        <v>44594.7929997801</v>
      </c>
      <c r="B212" s="20" t="s">
        <v>124</v>
      </c>
      <c r="C212" s="20">
        <v>2197.0</v>
      </c>
      <c r="D212" s="20" t="s">
        <v>2144</v>
      </c>
      <c r="E212" s="20" t="s">
        <v>53</v>
      </c>
      <c r="F212" s="27"/>
    </row>
    <row r="213">
      <c r="A213" s="26">
        <v>44594.79391329861</v>
      </c>
      <c r="B213" s="20" t="s">
        <v>124</v>
      </c>
      <c r="C213" s="20">
        <v>2185.0</v>
      </c>
      <c r="D213" s="20" t="s">
        <v>2144</v>
      </c>
      <c r="E213" s="20" t="s">
        <v>53</v>
      </c>
      <c r="F213" s="27"/>
    </row>
    <row r="214">
      <c r="A214" s="26">
        <v>44594.794479351855</v>
      </c>
      <c r="B214" s="20" t="s">
        <v>124</v>
      </c>
      <c r="C214" s="20">
        <v>671.0</v>
      </c>
      <c r="D214" s="20" t="s">
        <v>2144</v>
      </c>
      <c r="E214" s="20" t="s">
        <v>47</v>
      </c>
      <c r="F214" s="27"/>
    </row>
    <row r="215">
      <c r="A215" s="26">
        <v>44594.79480200232</v>
      </c>
      <c r="B215" s="20" t="s">
        <v>124</v>
      </c>
      <c r="C215" s="20">
        <v>1000.0</v>
      </c>
      <c r="D215" s="20" t="s">
        <v>2144</v>
      </c>
      <c r="E215" s="20" t="s">
        <v>53</v>
      </c>
      <c r="F215" s="27"/>
    </row>
    <row r="216">
      <c r="A216" s="26">
        <v>44594.79497857639</v>
      </c>
      <c r="B216" s="20" t="s">
        <v>124</v>
      </c>
      <c r="C216" s="20">
        <v>2301.0</v>
      </c>
      <c r="D216" s="20" t="s">
        <v>2144</v>
      </c>
      <c r="E216" s="20" t="s">
        <v>53</v>
      </c>
      <c r="F216" s="27"/>
    </row>
    <row r="217">
      <c r="A217" s="26">
        <v>44595.72222256944</v>
      </c>
      <c r="B217" s="20" t="s">
        <v>129</v>
      </c>
      <c r="C217" s="20">
        <v>953.0</v>
      </c>
      <c r="D217" s="20" t="s">
        <v>2144</v>
      </c>
      <c r="E217" s="20" t="s">
        <v>47</v>
      </c>
      <c r="F217" s="27"/>
    </row>
    <row r="218">
      <c r="A218" s="26">
        <v>44595.72307806713</v>
      </c>
      <c r="B218" s="20" t="s">
        <v>2101</v>
      </c>
      <c r="C218" s="20">
        <v>902.0</v>
      </c>
      <c r="D218" s="20" t="s">
        <v>2144</v>
      </c>
      <c r="E218" s="20" t="s">
        <v>47</v>
      </c>
      <c r="F218" s="27"/>
    </row>
    <row r="219">
      <c r="A219" s="26">
        <v>44595.72342054398</v>
      </c>
      <c r="B219" s="20" t="s">
        <v>129</v>
      </c>
      <c r="C219" s="20">
        <v>544.0</v>
      </c>
      <c r="D219" s="20" t="s">
        <v>2144</v>
      </c>
      <c r="E219" s="20" t="s">
        <v>80</v>
      </c>
      <c r="F219" s="27"/>
    </row>
    <row r="220">
      <c r="A220" s="26">
        <v>44595.72514318287</v>
      </c>
      <c r="B220" s="20" t="s">
        <v>129</v>
      </c>
      <c r="C220" s="20">
        <v>1403.0</v>
      </c>
      <c r="D220" s="20" t="s">
        <v>2144</v>
      </c>
      <c r="E220" s="20" t="s">
        <v>36</v>
      </c>
      <c r="F220" s="27"/>
    </row>
    <row r="221">
      <c r="A221" s="26">
        <v>44595.72540273148</v>
      </c>
      <c r="B221" s="20" t="s">
        <v>129</v>
      </c>
      <c r="C221" s="20">
        <v>1213.0</v>
      </c>
      <c r="D221" s="20" t="s">
        <v>2144</v>
      </c>
      <c r="E221" s="20" t="s">
        <v>40</v>
      </c>
      <c r="F221" s="27"/>
    </row>
    <row r="222">
      <c r="A222" s="26">
        <v>44595.72568726852</v>
      </c>
      <c r="B222" s="20" t="s">
        <v>129</v>
      </c>
      <c r="C222" s="20">
        <v>666.0</v>
      </c>
      <c r="D222" s="20" t="s">
        <v>2144</v>
      </c>
      <c r="E222" s="20" t="s">
        <v>40</v>
      </c>
      <c r="F222" s="27"/>
    </row>
    <row r="223">
      <c r="A223" s="26">
        <v>44595.726028495366</v>
      </c>
      <c r="B223" s="20" t="s">
        <v>129</v>
      </c>
      <c r="C223" s="20">
        <v>519.0</v>
      </c>
      <c r="D223" s="20" t="s">
        <v>2144</v>
      </c>
      <c r="E223" s="20" t="s">
        <v>40</v>
      </c>
      <c r="F223" s="27"/>
    </row>
    <row r="224">
      <c r="A224" s="26">
        <v>44595.72686984953</v>
      </c>
      <c r="B224" s="20" t="s">
        <v>134</v>
      </c>
      <c r="C224" s="20">
        <v>1169.0</v>
      </c>
      <c r="D224" s="20" t="s">
        <v>2144</v>
      </c>
      <c r="E224" s="20" t="s">
        <v>38</v>
      </c>
      <c r="F224" s="27"/>
    </row>
    <row r="225">
      <c r="A225" s="26">
        <v>44595.72707178241</v>
      </c>
      <c r="B225" s="20" t="s">
        <v>129</v>
      </c>
      <c r="C225" s="20">
        <v>1550.0</v>
      </c>
      <c r="D225" s="20" t="s">
        <v>2144</v>
      </c>
      <c r="E225" s="20" t="s">
        <v>38</v>
      </c>
      <c r="F225" s="27"/>
    </row>
    <row r="226">
      <c r="A226" s="26">
        <v>44595.72755427084</v>
      </c>
      <c r="B226" s="20" t="s">
        <v>129</v>
      </c>
      <c r="C226" s="20">
        <v>1519.0</v>
      </c>
      <c r="D226" s="20" t="s">
        <v>2144</v>
      </c>
      <c r="E226" s="20" t="s">
        <v>38</v>
      </c>
      <c r="F226" s="27"/>
    </row>
    <row r="227">
      <c r="A227" s="26">
        <v>44595.73997201389</v>
      </c>
      <c r="B227" s="20" t="s">
        <v>129</v>
      </c>
      <c r="C227" s="20">
        <v>1496.0</v>
      </c>
      <c r="D227" s="20" t="s">
        <v>2144</v>
      </c>
      <c r="E227" s="20" t="s">
        <v>115</v>
      </c>
      <c r="F227" s="27"/>
    </row>
    <row r="228">
      <c r="A228" s="26">
        <v>44595.74028972222</v>
      </c>
      <c r="B228" s="20" t="s">
        <v>129</v>
      </c>
      <c r="C228" s="20">
        <v>1159.0</v>
      </c>
      <c r="D228" s="20" t="s">
        <v>2144</v>
      </c>
      <c r="E228" s="20" t="s">
        <v>93</v>
      </c>
      <c r="F228" s="27"/>
    </row>
    <row r="229">
      <c r="A229" s="26">
        <v>44595.740574062496</v>
      </c>
      <c r="B229" s="20" t="s">
        <v>129</v>
      </c>
      <c r="C229" s="20">
        <v>1419.0</v>
      </c>
      <c r="D229" s="20" t="s">
        <v>2144</v>
      </c>
      <c r="E229" s="20" t="s">
        <v>161</v>
      </c>
      <c r="F229" s="27"/>
    </row>
    <row r="230">
      <c r="A230" s="26">
        <v>44595.74097408565</v>
      </c>
      <c r="B230" s="20" t="s">
        <v>129</v>
      </c>
      <c r="C230" s="20">
        <v>1461.0</v>
      </c>
      <c r="D230" s="20" t="s">
        <v>2144</v>
      </c>
      <c r="E230" s="20" t="s">
        <v>2162</v>
      </c>
      <c r="F230" s="27"/>
    </row>
    <row r="231">
      <c r="A231" s="26">
        <v>44595.741780833334</v>
      </c>
      <c r="B231" s="20" t="s">
        <v>129</v>
      </c>
      <c r="C231" s="20">
        <v>1459.0</v>
      </c>
      <c r="D231" s="20" t="s">
        <v>2144</v>
      </c>
      <c r="E231" s="20" t="s">
        <v>170</v>
      </c>
      <c r="F231" s="27"/>
    </row>
    <row r="232">
      <c r="A232" s="26">
        <v>44595.74209542824</v>
      </c>
      <c r="B232" s="20" t="s">
        <v>129</v>
      </c>
      <c r="C232" s="20">
        <v>1446.0</v>
      </c>
      <c r="D232" s="20" t="s">
        <v>2144</v>
      </c>
      <c r="E232" s="20" t="s">
        <v>170</v>
      </c>
      <c r="F232" s="27"/>
    </row>
    <row r="233">
      <c r="A233" s="26">
        <v>44595.742350370376</v>
      </c>
      <c r="B233" s="20" t="s">
        <v>129</v>
      </c>
      <c r="C233" s="20">
        <v>1491.0</v>
      </c>
      <c r="D233" s="20" t="s">
        <v>2144</v>
      </c>
      <c r="E233" s="20" t="s">
        <v>170</v>
      </c>
      <c r="F233" s="27"/>
    </row>
    <row r="234">
      <c r="A234" s="26">
        <v>44595.74262847222</v>
      </c>
      <c r="B234" s="20" t="s">
        <v>134</v>
      </c>
      <c r="C234" s="20">
        <v>1431.0</v>
      </c>
      <c r="D234" s="20" t="s">
        <v>2144</v>
      </c>
      <c r="E234" s="20" t="s">
        <v>170</v>
      </c>
      <c r="F234" s="27"/>
    </row>
    <row r="235">
      <c r="A235" s="26">
        <v>44595.742959421295</v>
      </c>
      <c r="B235" s="20" t="s">
        <v>134</v>
      </c>
      <c r="C235" s="20">
        <v>1459.0</v>
      </c>
      <c r="D235" s="20" t="s">
        <v>2144</v>
      </c>
      <c r="E235" s="20" t="s">
        <v>170</v>
      </c>
      <c r="F235" s="27"/>
    </row>
    <row r="236">
      <c r="A236" s="26">
        <v>44595.74349206018</v>
      </c>
      <c r="B236" s="20" t="s">
        <v>129</v>
      </c>
      <c r="C236" s="20">
        <v>1152.0</v>
      </c>
      <c r="D236" s="20" t="s">
        <v>2144</v>
      </c>
      <c r="E236" s="20" t="s">
        <v>93</v>
      </c>
      <c r="F236" s="27"/>
    </row>
    <row r="237">
      <c r="A237" s="26">
        <v>44595.74370222222</v>
      </c>
      <c r="B237" s="20" t="s">
        <v>129</v>
      </c>
      <c r="C237" s="20">
        <v>2167.0</v>
      </c>
      <c r="D237" s="20" t="s">
        <v>2144</v>
      </c>
      <c r="E237" s="20" t="s">
        <v>53</v>
      </c>
      <c r="F237" s="27"/>
    </row>
    <row r="238">
      <c r="A238" s="26">
        <v>44595.74409153935</v>
      </c>
      <c r="B238" s="20" t="s">
        <v>134</v>
      </c>
      <c r="C238" s="20">
        <v>1110.0</v>
      </c>
      <c r="D238" s="20" t="s">
        <v>2144</v>
      </c>
      <c r="E238" s="20" t="s">
        <v>161</v>
      </c>
      <c r="F238" s="27"/>
    </row>
    <row r="239">
      <c r="A239" s="26">
        <v>44595.74430607639</v>
      </c>
      <c r="B239" s="20" t="s">
        <v>129</v>
      </c>
      <c r="C239" s="20">
        <v>2149.0</v>
      </c>
      <c r="D239" s="20" t="s">
        <v>2144</v>
      </c>
      <c r="E239" s="20" t="s">
        <v>53</v>
      </c>
      <c r="F239" s="27"/>
    </row>
    <row r="240">
      <c r="A240" s="26">
        <v>44595.74448799768</v>
      </c>
      <c r="B240" s="20" t="s">
        <v>134</v>
      </c>
      <c r="C240" s="20">
        <v>2137.0</v>
      </c>
      <c r="D240" s="20" t="s">
        <v>2144</v>
      </c>
      <c r="E240" s="20" t="s">
        <v>53</v>
      </c>
      <c r="F240" s="27"/>
    </row>
    <row r="241">
      <c r="A241" s="26">
        <v>44595.865075243055</v>
      </c>
      <c r="B241" s="20" t="s">
        <v>167</v>
      </c>
      <c r="C241" s="20">
        <v>2120.0</v>
      </c>
      <c r="D241" s="20" t="s">
        <v>2144</v>
      </c>
      <c r="E241" s="20" t="s">
        <v>53</v>
      </c>
      <c r="F241" s="27"/>
    </row>
    <row r="242">
      <c r="A242" s="26">
        <v>44595.865317881944</v>
      </c>
      <c r="B242" s="20" t="s">
        <v>167</v>
      </c>
      <c r="C242" s="20">
        <v>711.0</v>
      </c>
      <c r="D242" s="20" t="s">
        <v>2144</v>
      </c>
      <c r="E242" s="20" t="s">
        <v>64</v>
      </c>
      <c r="F242" s="27"/>
    </row>
    <row r="243">
      <c r="A243" s="26">
        <v>44595.865711782404</v>
      </c>
      <c r="B243" s="20" t="s">
        <v>167</v>
      </c>
      <c r="C243" s="20">
        <v>1551.0</v>
      </c>
      <c r="D243" s="20" t="s">
        <v>2144</v>
      </c>
      <c r="E243" s="20" t="s">
        <v>115</v>
      </c>
      <c r="F243" s="27"/>
    </row>
    <row r="244">
      <c r="A244" s="26">
        <v>44595.86597832176</v>
      </c>
      <c r="B244" s="20" t="s">
        <v>167</v>
      </c>
      <c r="C244" s="20">
        <v>1136.0</v>
      </c>
      <c r="D244" s="20" t="s">
        <v>2144</v>
      </c>
      <c r="E244" s="20" t="s">
        <v>40</v>
      </c>
      <c r="F244" s="27"/>
    </row>
    <row r="245">
      <c r="A245" s="26">
        <v>44595.86684081018</v>
      </c>
      <c r="B245" s="20" t="s">
        <v>167</v>
      </c>
      <c r="C245" s="20">
        <v>1588.0</v>
      </c>
      <c r="D245" s="20" t="s">
        <v>2144</v>
      </c>
      <c r="E245" s="20" t="s">
        <v>53</v>
      </c>
      <c r="F245" s="27"/>
    </row>
    <row r="246">
      <c r="A246" s="26">
        <v>44595.86735939815</v>
      </c>
      <c r="B246" s="20" t="s">
        <v>167</v>
      </c>
      <c r="C246" s="20">
        <v>702.0</v>
      </c>
      <c r="D246" s="20" t="s">
        <v>2144</v>
      </c>
      <c r="E246" s="20" t="s">
        <v>64</v>
      </c>
      <c r="F246" s="27"/>
    </row>
    <row r="247">
      <c r="A247" s="26">
        <v>44595.86778197916</v>
      </c>
      <c r="B247" s="20" t="s">
        <v>167</v>
      </c>
      <c r="C247" s="20">
        <v>843.0</v>
      </c>
      <c r="D247" s="20" t="s">
        <v>2144</v>
      </c>
      <c r="E247" s="20" t="s">
        <v>76</v>
      </c>
      <c r="F247" s="27"/>
    </row>
    <row r="248">
      <c r="A248" s="26">
        <v>44595.8682191088</v>
      </c>
      <c r="B248" s="20" t="s">
        <v>167</v>
      </c>
      <c r="C248" s="20">
        <v>1090.0</v>
      </c>
      <c r="D248" s="20" t="s">
        <v>2144</v>
      </c>
      <c r="E248" s="20" t="s">
        <v>76</v>
      </c>
      <c r="F248" s="27"/>
    </row>
    <row r="249">
      <c r="A249" s="26">
        <v>44595.86843537037</v>
      </c>
      <c r="B249" s="20" t="s">
        <v>167</v>
      </c>
      <c r="C249" s="20">
        <v>866.0</v>
      </c>
      <c r="D249" s="20" t="s">
        <v>2144</v>
      </c>
      <c r="E249" s="20" t="s">
        <v>40</v>
      </c>
      <c r="F249" s="27"/>
    </row>
    <row r="250">
      <c r="A250" s="26">
        <v>44595.86865034723</v>
      </c>
      <c r="B250" s="20" t="s">
        <v>167</v>
      </c>
      <c r="C250" s="20">
        <v>759.0</v>
      </c>
      <c r="D250" s="20" t="s">
        <v>2144</v>
      </c>
      <c r="E250" s="20" t="s">
        <v>76</v>
      </c>
      <c r="F250" s="27"/>
    </row>
    <row r="251">
      <c r="A251" s="26">
        <v>44595.87236461806</v>
      </c>
      <c r="B251" s="20" t="s">
        <v>167</v>
      </c>
      <c r="C251" s="20">
        <v>2433.0</v>
      </c>
      <c r="D251" s="20" t="s">
        <v>2144</v>
      </c>
      <c r="E251" s="20" t="s">
        <v>53</v>
      </c>
      <c r="F251" s="27"/>
    </row>
    <row r="252">
      <c r="A252" s="26">
        <v>44595.87717476852</v>
      </c>
      <c r="B252" s="20" t="s">
        <v>167</v>
      </c>
      <c r="C252" s="20">
        <v>1630.0</v>
      </c>
      <c r="D252" s="20" t="s">
        <v>2144</v>
      </c>
      <c r="E252" s="20" t="s">
        <v>135</v>
      </c>
      <c r="F252" s="27"/>
    </row>
    <row r="253">
      <c r="A253" s="26">
        <v>44596.5694234838</v>
      </c>
      <c r="B253" s="20" t="s">
        <v>55</v>
      </c>
      <c r="C253" s="20">
        <v>945.0</v>
      </c>
      <c r="D253" s="20" t="s">
        <v>2148</v>
      </c>
      <c r="E253" s="20" t="s">
        <v>40</v>
      </c>
      <c r="F253" s="27"/>
    </row>
    <row r="254">
      <c r="A254" s="26">
        <v>44596.56962710648</v>
      </c>
      <c r="B254" s="20" t="s">
        <v>55</v>
      </c>
      <c r="C254" s="20">
        <v>905.0</v>
      </c>
      <c r="D254" s="20" t="s">
        <v>2148</v>
      </c>
      <c r="E254" s="20" t="s">
        <v>40</v>
      </c>
      <c r="F254" s="27"/>
    </row>
    <row r="255">
      <c r="A255" s="26">
        <v>44596.57012813658</v>
      </c>
      <c r="B255" s="20" t="s">
        <v>55</v>
      </c>
      <c r="C255" s="20">
        <v>813.0</v>
      </c>
      <c r="D255" s="20" t="s">
        <v>2148</v>
      </c>
      <c r="E255" s="20" t="s">
        <v>40</v>
      </c>
      <c r="F255" s="27"/>
    </row>
    <row r="256">
      <c r="A256" s="26">
        <v>44596.5706134838</v>
      </c>
      <c r="B256" s="20" t="s">
        <v>55</v>
      </c>
      <c r="C256" s="20">
        <v>843.0</v>
      </c>
      <c r="D256" s="20" t="s">
        <v>2148</v>
      </c>
      <c r="E256" s="20" t="s">
        <v>40</v>
      </c>
      <c r="F256" s="27"/>
    </row>
    <row r="257">
      <c r="A257" s="26">
        <v>44596.57085307871</v>
      </c>
      <c r="B257" s="20" t="s">
        <v>55</v>
      </c>
      <c r="C257" s="20">
        <v>808.0</v>
      </c>
      <c r="D257" s="20" t="s">
        <v>2148</v>
      </c>
      <c r="E257" s="20" t="s">
        <v>40</v>
      </c>
      <c r="F257" s="27"/>
    </row>
    <row r="258">
      <c r="A258" s="26">
        <v>44597.823247141205</v>
      </c>
      <c r="B258" s="20" t="s">
        <v>55</v>
      </c>
      <c r="C258" s="20">
        <v>1398.0</v>
      </c>
      <c r="D258" s="20" t="s">
        <v>2144</v>
      </c>
      <c r="E258" s="20" t="s">
        <v>137</v>
      </c>
      <c r="F258" s="27"/>
    </row>
    <row r="259">
      <c r="A259" s="26">
        <v>44597.82342248842</v>
      </c>
      <c r="B259" s="20" t="s">
        <v>55</v>
      </c>
      <c r="C259" s="20">
        <v>1836.0</v>
      </c>
      <c r="D259" s="20" t="s">
        <v>2144</v>
      </c>
      <c r="E259" s="20" t="s">
        <v>38</v>
      </c>
      <c r="F259" s="27"/>
    </row>
    <row r="260">
      <c r="A260" s="26">
        <v>44597.823587858795</v>
      </c>
      <c r="B260" s="20" t="s">
        <v>55</v>
      </c>
      <c r="C260" s="20">
        <v>1642.0</v>
      </c>
      <c r="D260" s="20" t="s">
        <v>2144</v>
      </c>
      <c r="E260" s="20" t="s">
        <v>38</v>
      </c>
      <c r="F260" s="27"/>
    </row>
    <row r="261">
      <c r="A261" s="26">
        <v>44597.823782604166</v>
      </c>
      <c r="B261" s="20" t="s">
        <v>55</v>
      </c>
      <c r="C261" s="20">
        <v>788.0</v>
      </c>
      <c r="D261" s="20" t="s">
        <v>2144</v>
      </c>
      <c r="E261" s="20" t="s">
        <v>40</v>
      </c>
      <c r="F261" s="27"/>
    </row>
    <row r="262">
      <c r="A262" s="26">
        <v>44597.82464063657</v>
      </c>
      <c r="B262" s="20" t="s">
        <v>55</v>
      </c>
      <c r="C262" s="20">
        <v>1892.0</v>
      </c>
      <c r="D262" s="20" t="s">
        <v>2144</v>
      </c>
      <c r="E262" s="20" t="s">
        <v>38</v>
      </c>
      <c r="F262" s="27"/>
    </row>
    <row r="263">
      <c r="A263" s="26">
        <v>44597.82480170139</v>
      </c>
      <c r="B263" s="20" t="s">
        <v>55</v>
      </c>
      <c r="C263" s="20">
        <v>1464.0</v>
      </c>
      <c r="D263" s="20" t="s">
        <v>2144</v>
      </c>
      <c r="E263" s="20" t="s">
        <v>38</v>
      </c>
      <c r="F263" s="27"/>
    </row>
    <row r="264">
      <c r="A264" s="26">
        <v>44597.82496050926</v>
      </c>
      <c r="B264" s="20" t="s">
        <v>55</v>
      </c>
      <c r="C264" s="20">
        <v>1138.0</v>
      </c>
      <c r="D264" s="20" t="s">
        <v>2144</v>
      </c>
      <c r="E264" s="20" t="s">
        <v>38</v>
      </c>
      <c r="F264" s="27"/>
    </row>
    <row r="265">
      <c r="A265" s="26">
        <v>44597.825123993054</v>
      </c>
      <c r="B265" s="20" t="s">
        <v>173</v>
      </c>
      <c r="C265" s="20">
        <v>548.0</v>
      </c>
      <c r="D265" s="20" t="s">
        <v>2144</v>
      </c>
      <c r="E265" s="20" t="s">
        <v>40</v>
      </c>
      <c r="F265" s="27"/>
    </row>
    <row r="266">
      <c r="A266" s="26">
        <v>44597.82642190972</v>
      </c>
      <c r="B266" s="20" t="s">
        <v>55</v>
      </c>
      <c r="C266" s="20">
        <v>337.0</v>
      </c>
      <c r="D266" s="20" t="s">
        <v>2144</v>
      </c>
      <c r="E266" s="20" t="s">
        <v>80</v>
      </c>
      <c r="F266" s="27"/>
    </row>
    <row r="267">
      <c r="A267" s="26">
        <v>44597.83835704861</v>
      </c>
      <c r="B267" s="20" t="s">
        <v>55</v>
      </c>
      <c r="C267" s="20">
        <v>689.0</v>
      </c>
      <c r="D267" s="20" t="s">
        <v>2144</v>
      </c>
      <c r="E267" s="20" t="s">
        <v>40</v>
      </c>
      <c r="F267" s="27"/>
    </row>
    <row r="268">
      <c r="A268" s="26">
        <v>44597.83854144676</v>
      </c>
      <c r="B268" s="20" t="s">
        <v>55</v>
      </c>
      <c r="C268" s="20">
        <v>981.0</v>
      </c>
      <c r="D268" s="20" t="s">
        <v>2144</v>
      </c>
      <c r="E268" s="20" t="s">
        <v>80</v>
      </c>
      <c r="F268" s="27"/>
    </row>
    <row r="269">
      <c r="A269" s="26">
        <v>44598.65812677083</v>
      </c>
      <c r="B269" s="20" t="s">
        <v>55</v>
      </c>
      <c r="C269" s="20">
        <v>559.0</v>
      </c>
      <c r="D269" s="20" t="s">
        <v>2144</v>
      </c>
      <c r="E269" s="20" t="s">
        <v>36</v>
      </c>
      <c r="F269" s="27"/>
    </row>
    <row r="270">
      <c r="A270" s="26">
        <v>44598.65874453704</v>
      </c>
      <c r="B270" s="20" t="s">
        <v>55</v>
      </c>
      <c r="C270" s="20">
        <v>601.0</v>
      </c>
      <c r="D270" s="20" t="s">
        <v>2144</v>
      </c>
      <c r="E270" s="20" t="s">
        <v>80</v>
      </c>
      <c r="F270" s="27"/>
    </row>
    <row r="271">
      <c r="A271" s="26">
        <v>44598.65899106482</v>
      </c>
      <c r="B271" s="20" t="s">
        <v>55</v>
      </c>
      <c r="C271" s="20">
        <v>861.0</v>
      </c>
      <c r="D271" s="20" t="s">
        <v>2144</v>
      </c>
      <c r="E271" s="20" t="s">
        <v>38</v>
      </c>
      <c r="F271" s="27"/>
    </row>
    <row r="272">
      <c r="A272" s="26">
        <v>44598.65958518519</v>
      </c>
      <c r="B272" s="20" t="s">
        <v>55</v>
      </c>
      <c r="C272" s="20">
        <v>620.0</v>
      </c>
      <c r="D272" s="20" t="s">
        <v>2144</v>
      </c>
      <c r="E272" s="20" t="s">
        <v>40</v>
      </c>
      <c r="F272" s="27"/>
    </row>
    <row r="273">
      <c r="A273" s="26">
        <v>44598.660196655095</v>
      </c>
      <c r="B273" s="20" t="s">
        <v>55</v>
      </c>
      <c r="C273" s="20">
        <v>2138.0</v>
      </c>
      <c r="D273" s="20" t="s">
        <v>2144</v>
      </c>
      <c r="E273" s="20" t="s">
        <v>36</v>
      </c>
      <c r="F273" s="27"/>
    </row>
    <row r="274">
      <c r="A274" s="26">
        <v>44598.66058759259</v>
      </c>
      <c r="B274" s="20" t="s">
        <v>55</v>
      </c>
      <c r="C274" s="20">
        <v>221.0</v>
      </c>
      <c r="D274" s="20" t="s">
        <v>2144</v>
      </c>
      <c r="E274" s="20" t="s">
        <v>76</v>
      </c>
      <c r="F274" s="27"/>
    </row>
    <row r="275">
      <c r="A275" s="26">
        <v>44598.66106138889</v>
      </c>
      <c r="B275" s="20" t="s">
        <v>55</v>
      </c>
      <c r="C275" s="20">
        <v>338.0</v>
      </c>
      <c r="D275" s="20" t="s">
        <v>2144</v>
      </c>
      <c r="E275" s="20" t="s">
        <v>95</v>
      </c>
      <c r="F275" s="27"/>
    </row>
    <row r="276">
      <c r="A276" s="26">
        <v>44598.66138128472</v>
      </c>
      <c r="B276" s="20" t="s">
        <v>55</v>
      </c>
      <c r="C276" s="20">
        <v>723.0</v>
      </c>
      <c r="D276" s="20" t="s">
        <v>2144</v>
      </c>
      <c r="E276" s="20" t="s">
        <v>40</v>
      </c>
      <c r="F276" s="27"/>
    </row>
    <row r="277">
      <c r="A277" s="26">
        <v>44598.6615916088</v>
      </c>
      <c r="B277" s="20" t="s">
        <v>55</v>
      </c>
      <c r="C277" s="20">
        <v>355.0</v>
      </c>
      <c r="D277" s="20" t="s">
        <v>2144</v>
      </c>
      <c r="E277" s="20" t="s">
        <v>95</v>
      </c>
      <c r="F277" s="27"/>
    </row>
    <row r="278">
      <c r="A278" s="26">
        <v>44598.66182079861</v>
      </c>
      <c r="B278" s="20" t="s">
        <v>55</v>
      </c>
      <c r="C278" s="20">
        <v>340.0</v>
      </c>
      <c r="D278" s="20" t="s">
        <v>2144</v>
      </c>
      <c r="E278" s="20" t="s">
        <v>95</v>
      </c>
      <c r="F278" s="27"/>
    </row>
    <row r="279">
      <c r="A279" s="26">
        <v>44598.66205005787</v>
      </c>
      <c r="B279" s="20" t="s">
        <v>55</v>
      </c>
      <c r="C279" s="20">
        <v>170.0</v>
      </c>
      <c r="D279" s="20" t="s">
        <v>2144</v>
      </c>
      <c r="E279" s="20" t="s">
        <v>95</v>
      </c>
      <c r="F279" s="27"/>
    </row>
    <row r="280">
      <c r="A280" s="26">
        <v>44598.662452847224</v>
      </c>
      <c r="B280" s="20" t="s">
        <v>55</v>
      </c>
      <c r="C280" s="20">
        <v>1760.0</v>
      </c>
      <c r="D280" s="20" t="s">
        <v>2144</v>
      </c>
      <c r="E280" s="20" t="s">
        <v>95</v>
      </c>
      <c r="F280" s="27"/>
    </row>
    <row r="281">
      <c r="A281" s="26">
        <v>44598.816652939815</v>
      </c>
      <c r="B281" s="20" t="s">
        <v>49</v>
      </c>
      <c r="C281" s="20">
        <v>672.0</v>
      </c>
      <c r="D281" s="20" t="s">
        <v>2144</v>
      </c>
      <c r="E281" s="20" t="s">
        <v>80</v>
      </c>
      <c r="F281" s="27"/>
    </row>
    <row r="282">
      <c r="A282" s="26">
        <v>44598.8168844676</v>
      </c>
      <c r="B282" s="20" t="s">
        <v>49</v>
      </c>
      <c r="C282" s="20">
        <v>438.0</v>
      </c>
      <c r="D282" s="20" t="s">
        <v>2144</v>
      </c>
      <c r="E282" s="20" t="s">
        <v>40</v>
      </c>
      <c r="F282" s="27"/>
    </row>
    <row r="283">
      <c r="A283" s="26">
        <v>44598.81732877315</v>
      </c>
      <c r="B283" s="20" t="s">
        <v>49</v>
      </c>
      <c r="C283" s="20">
        <v>646.0</v>
      </c>
      <c r="D283" s="20" t="s">
        <v>2144</v>
      </c>
      <c r="E283" s="20" t="s">
        <v>40</v>
      </c>
      <c r="F283" s="27"/>
    </row>
    <row r="284">
      <c r="A284" s="26">
        <v>44598.81772604167</v>
      </c>
      <c r="B284" s="20" t="s">
        <v>49</v>
      </c>
      <c r="C284" s="20">
        <v>509.0</v>
      </c>
      <c r="D284" s="20" t="s">
        <v>2144</v>
      </c>
      <c r="E284" s="20" t="s">
        <v>38</v>
      </c>
      <c r="F284" s="27"/>
    </row>
    <row r="285">
      <c r="A285" s="26">
        <v>44598.81789731482</v>
      </c>
      <c r="B285" s="20" t="s">
        <v>49</v>
      </c>
      <c r="C285" s="20">
        <v>312.0</v>
      </c>
      <c r="D285" s="20" t="s">
        <v>2144</v>
      </c>
      <c r="E285" s="20" t="s">
        <v>40</v>
      </c>
      <c r="F285" s="27"/>
    </row>
    <row r="286">
      <c r="A286" s="26">
        <v>44600.57253172454</v>
      </c>
      <c r="B286" s="20" t="s">
        <v>993</v>
      </c>
      <c r="C286" s="20">
        <v>642.0</v>
      </c>
      <c r="D286" s="20" t="s">
        <v>2144</v>
      </c>
      <c r="E286" s="20" t="s">
        <v>2163</v>
      </c>
      <c r="F286" s="27"/>
    </row>
    <row r="287">
      <c r="A287" s="26">
        <v>44600.57321663194</v>
      </c>
      <c r="B287" s="20" t="s">
        <v>993</v>
      </c>
      <c r="C287" s="20">
        <v>609.0</v>
      </c>
      <c r="D287" s="20" t="s">
        <v>2144</v>
      </c>
      <c r="E287" s="20" t="s">
        <v>2164</v>
      </c>
      <c r="F287" s="27"/>
    </row>
    <row r="288">
      <c r="A288" s="26">
        <v>44600.57352252315</v>
      </c>
      <c r="B288" s="20" t="s">
        <v>993</v>
      </c>
      <c r="C288" s="20">
        <v>884.0</v>
      </c>
      <c r="D288" s="20" t="s">
        <v>2144</v>
      </c>
      <c r="E288" s="20" t="s">
        <v>40</v>
      </c>
      <c r="F288" s="27"/>
    </row>
    <row r="289">
      <c r="A289" s="26">
        <v>44600.573888495375</v>
      </c>
      <c r="B289" s="20" t="s">
        <v>993</v>
      </c>
      <c r="C289" s="20">
        <v>764.0</v>
      </c>
      <c r="D289" s="20" t="s">
        <v>2144</v>
      </c>
      <c r="E289" s="20" t="s">
        <v>2165</v>
      </c>
      <c r="F289" s="27"/>
    </row>
    <row r="290">
      <c r="A290" s="26">
        <v>44600.57427945602</v>
      </c>
      <c r="B290" s="20" t="s">
        <v>993</v>
      </c>
      <c r="C290" s="20">
        <v>642.0</v>
      </c>
      <c r="D290" s="20" t="s">
        <v>2144</v>
      </c>
      <c r="E290" s="20" t="s">
        <v>40</v>
      </c>
      <c r="F290" s="27"/>
    </row>
    <row r="291">
      <c r="A291" s="26">
        <v>44600.574748680556</v>
      </c>
      <c r="B291" s="20" t="s">
        <v>993</v>
      </c>
      <c r="C291" s="20">
        <v>1263.0</v>
      </c>
      <c r="D291" s="20" t="s">
        <v>2144</v>
      </c>
      <c r="E291" s="20" t="s">
        <v>157</v>
      </c>
      <c r="F291" s="27"/>
    </row>
    <row r="292">
      <c r="A292" s="26">
        <v>44600.5753047801</v>
      </c>
      <c r="B292" s="20" t="s">
        <v>993</v>
      </c>
      <c r="C292" s="20">
        <v>733.0</v>
      </c>
      <c r="D292" s="20" t="s">
        <v>2144</v>
      </c>
      <c r="E292" s="20" t="s">
        <v>2166</v>
      </c>
      <c r="F292" s="27"/>
    </row>
    <row r="293">
      <c r="A293" s="26">
        <v>44600.57576655093</v>
      </c>
      <c r="B293" s="20" t="s">
        <v>993</v>
      </c>
      <c r="C293" s="20">
        <v>756.0</v>
      </c>
      <c r="D293" s="20" t="s">
        <v>2144</v>
      </c>
      <c r="E293" s="20" t="s">
        <v>157</v>
      </c>
      <c r="F293" s="27"/>
    </row>
    <row r="294">
      <c r="A294" s="26">
        <v>44600.64777739583</v>
      </c>
      <c r="B294" s="20" t="s">
        <v>1008</v>
      </c>
      <c r="C294" s="20">
        <v>13.0</v>
      </c>
      <c r="D294" s="20" t="s">
        <v>662</v>
      </c>
      <c r="E294" s="20" t="s">
        <v>2167</v>
      </c>
      <c r="F294" s="27"/>
    </row>
    <row r="295">
      <c r="A295" s="26">
        <v>44601.79976333333</v>
      </c>
      <c r="B295" s="20" t="s">
        <v>126</v>
      </c>
      <c r="C295" s="20">
        <v>642.0</v>
      </c>
      <c r="D295" s="20" t="s">
        <v>2144</v>
      </c>
      <c r="E295" s="20" t="s">
        <v>40</v>
      </c>
      <c r="F295" s="27"/>
    </row>
    <row r="296">
      <c r="A296" s="26">
        <v>44601.7999553125</v>
      </c>
      <c r="B296" s="20" t="s">
        <v>126</v>
      </c>
      <c r="C296" s="20">
        <v>609.0</v>
      </c>
      <c r="D296" s="20" t="s">
        <v>2144</v>
      </c>
      <c r="E296" s="20" t="s">
        <v>40</v>
      </c>
      <c r="F296" s="27"/>
    </row>
    <row r="297">
      <c r="A297" s="26">
        <v>44601.80012564815</v>
      </c>
      <c r="B297" s="20" t="s">
        <v>126</v>
      </c>
      <c r="C297" s="20">
        <v>884.0</v>
      </c>
      <c r="D297" s="20" t="s">
        <v>2144</v>
      </c>
      <c r="E297" s="20" t="s">
        <v>40</v>
      </c>
      <c r="F297" s="27"/>
    </row>
    <row r="298">
      <c r="A298" s="26">
        <v>44601.80047297454</v>
      </c>
      <c r="B298" s="20" t="s">
        <v>126</v>
      </c>
      <c r="C298" s="20">
        <v>764.0</v>
      </c>
      <c r="D298" s="20" t="s">
        <v>2144</v>
      </c>
      <c r="E298" s="20" t="s">
        <v>2168</v>
      </c>
      <c r="F298" s="27"/>
    </row>
    <row r="299">
      <c r="A299" s="26">
        <v>44601.800666423616</v>
      </c>
      <c r="B299" s="20" t="s">
        <v>126</v>
      </c>
      <c r="C299" s="20">
        <v>642.0</v>
      </c>
      <c r="D299" s="20" t="s">
        <v>2144</v>
      </c>
      <c r="E299" s="20" t="s">
        <v>40</v>
      </c>
      <c r="F299" s="27"/>
    </row>
    <row r="300">
      <c r="A300" s="26">
        <v>44601.800837372684</v>
      </c>
      <c r="B300" s="20" t="s">
        <v>126</v>
      </c>
      <c r="C300" s="20">
        <v>1263.0</v>
      </c>
      <c r="D300" s="20" t="s">
        <v>2144</v>
      </c>
      <c r="E300" s="20" t="s">
        <v>36</v>
      </c>
      <c r="F300" s="27"/>
    </row>
    <row r="301">
      <c r="A301" s="26">
        <v>44601.80101594907</v>
      </c>
      <c r="B301" s="20" t="s">
        <v>126</v>
      </c>
      <c r="C301" s="20">
        <v>733.0</v>
      </c>
      <c r="D301" s="20" t="s">
        <v>2144</v>
      </c>
      <c r="E301" s="20" t="s">
        <v>2168</v>
      </c>
      <c r="F301" s="27"/>
    </row>
    <row r="302">
      <c r="A302" s="26">
        <v>44601.8012040625</v>
      </c>
      <c r="B302" s="20" t="s">
        <v>126</v>
      </c>
      <c r="C302" s="20">
        <v>756.0</v>
      </c>
      <c r="D302" s="20" t="s">
        <v>2144</v>
      </c>
      <c r="E302" s="20" t="s">
        <v>36</v>
      </c>
      <c r="F302" s="27"/>
    </row>
    <row r="303">
      <c r="A303" s="26">
        <v>44602.607207175926</v>
      </c>
      <c r="C303" s="20">
        <v>1778.0</v>
      </c>
      <c r="D303" s="20" t="s">
        <v>2144</v>
      </c>
      <c r="E303" s="20" t="s">
        <v>53</v>
      </c>
      <c r="F303" s="27"/>
    </row>
    <row r="304">
      <c r="A304" s="26">
        <v>44602.60757425926</v>
      </c>
      <c r="C304" s="20">
        <v>2093.0</v>
      </c>
      <c r="D304" s="20" t="s">
        <v>2144</v>
      </c>
      <c r="E304" s="20" t="s">
        <v>53</v>
      </c>
      <c r="F304" s="27"/>
    </row>
    <row r="305">
      <c r="A305" s="26">
        <v>44602.60786425926</v>
      </c>
      <c r="C305" s="20">
        <v>981.0</v>
      </c>
      <c r="D305" s="20" t="s">
        <v>2144</v>
      </c>
      <c r="E305" s="20" t="s">
        <v>53</v>
      </c>
      <c r="F305" s="27"/>
    </row>
    <row r="306">
      <c r="A306" s="26">
        <v>44602.60850364583</v>
      </c>
      <c r="C306" s="20">
        <v>1138.0</v>
      </c>
      <c r="D306" s="20" t="s">
        <v>2144</v>
      </c>
      <c r="E306" s="20" t="s">
        <v>53</v>
      </c>
      <c r="F306" s="27"/>
    </row>
    <row r="307">
      <c r="A307" s="26">
        <v>44602.60883871528</v>
      </c>
      <c r="C307" s="20">
        <v>1138.0</v>
      </c>
      <c r="D307" s="20" t="s">
        <v>2144</v>
      </c>
      <c r="E307" s="20" t="s">
        <v>53</v>
      </c>
      <c r="F307" s="27"/>
    </row>
    <row r="308">
      <c r="A308" s="26">
        <v>44602.609216122684</v>
      </c>
      <c r="C308" s="20">
        <v>1399.0</v>
      </c>
      <c r="D308" s="20" t="s">
        <v>2144</v>
      </c>
      <c r="E308" s="20" t="s">
        <v>53</v>
      </c>
      <c r="F308" s="27"/>
    </row>
    <row r="309">
      <c r="A309" s="26">
        <v>44602.60946432871</v>
      </c>
      <c r="C309" s="20">
        <v>1426.0</v>
      </c>
      <c r="D309" s="20" t="s">
        <v>2144</v>
      </c>
      <c r="E309" s="20" t="s">
        <v>53</v>
      </c>
      <c r="F309" s="27"/>
    </row>
    <row r="310">
      <c r="A310" s="26">
        <v>44602.60973989584</v>
      </c>
      <c r="C310" s="20">
        <v>1566.0</v>
      </c>
      <c r="D310" s="20" t="s">
        <v>2144</v>
      </c>
      <c r="E310" s="20" t="s">
        <v>53</v>
      </c>
      <c r="F310" s="27"/>
    </row>
    <row r="311">
      <c r="A311" s="26">
        <v>44602.61013822917</v>
      </c>
      <c r="C311" s="20">
        <v>1312.0</v>
      </c>
      <c r="D311" s="20" t="s">
        <v>2144</v>
      </c>
      <c r="E311" s="20" t="s">
        <v>64</v>
      </c>
      <c r="F311" s="27"/>
    </row>
    <row r="312">
      <c r="A312" s="26">
        <v>44602.61046923611</v>
      </c>
      <c r="C312" s="20">
        <v>1323.0</v>
      </c>
      <c r="D312" s="20" t="s">
        <v>2144</v>
      </c>
      <c r="E312" s="20" t="s">
        <v>64</v>
      </c>
      <c r="F312" s="27"/>
    </row>
    <row r="313">
      <c r="A313" s="26">
        <v>44602.61099641204</v>
      </c>
      <c r="C313" s="20">
        <v>2959.0</v>
      </c>
      <c r="D313" s="20" t="s">
        <v>2144</v>
      </c>
      <c r="E313" s="20" t="s">
        <v>53</v>
      </c>
      <c r="F313" s="27"/>
    </row>
    <row r="314">
      <c r="A314" s="26">
        <v>44602.61159943287</v>
      </c>
      <c r="C314" s="20">
        <v>1267.0</v>
      </c>
      <c r="D314" s="20" t="s">
        <v>2144</v>
      </c>
      <c r="E314" s="20" t="s">
        <v>56</v>
      </c>
      <c r="F314" s="27"/>
    </row>
    <row r="315">
      <c r="A315" s="26">
        <v>44602.77976076389</v>
      </c>
      <c r="B315" s="20" t="s">
        <v>167</v>
      </c>
      <c r="C315" s="20">
        <v>1540.0</v>
      </c>
      <c r="D315" s="20" t="s">
        <v>2144</v>
      </c>
      <c r="E315" s="20" t="s">
        <v>93</v>
      </c>
      <c r="F315" s="27"/>
    </row>
    <row r="316">
      <c r="A316" s="26">
        <v>44602.78013652778</v>
      </c>
      <c r="B316" s="20" t="s">
        <v>167</v>
      </c>
      <c r="C316" s="20">
        <v>1700.0</v>
      </c>
      <c r="D316" s="20" t="s">
        <v>2144</v>
      </c>
      <c r="E316" s="20" t="s">
        <v>93</v>
      </c>
      <c r="F316" s="27"/>
    </row>
    <row r="317">
      <c r="A317" s="26">
        <v>44602.78068002315</v>
      </c>
      <c r="B317" s="20" t="s">
        <v>167</v>
      </c>
      <c r="C317" s="20">
        <v>1821.0</v>
      </c>
      <c r="D317" s="20" t="s">
        <v>2144</v>
      </c>
      <c r="E317" s="20" t="s">
        <v>2169</v>
      </c>
      <c r="F317" s="27"/>
    </row>
    <row r="318">
      <c r="A318" s="26">
        <v>44602.78111943287</v>
      </c>
      <c r="B318" s="20" t="s">
        <v>167</v>
      </c>
      <c r="C318" s="20">
        <v>1821.0</v>
      </c>
      <c r="D318" s="20" t="s">
        <v>2144</v>
      </c>
      <c r="E318" s="20" t="s">
        <v>93</v>
      </c>
      <c r="F318" s="27"/>
    </row>
    <row r="319">
      <c r="A319" s="26">
        <v>44602.781368703705</v>
      </c>
      <c r="B319" s="20" t="s">
        <v>167</v>
      </c>
      <c r="C319" s="20">
        <v>1471.0</v>
      </c>
      <c r="D319" s="20" t="s">
        <v>2144</v>
      </c>
      <c r="E319" s="20" t="s">
        <v>93</v>
      </c>
      <c r="F319" s="27"/>
    </row>
    <row r="320">
      <c r="A320" s="26">
        <v>44602.78182240741</v>
      </c>
      <c r="B320" s="20" t="s">
        <v>167</v>
      </c>
      <c r="C320" s="20">
        <v>1545.0</v>
      </c>
      <c r="D320" s="20" t="s">
        <v>2144</v>
      </c>
      <c r="E320" s="20" t="s">
        <v>93</v>
      </c>
      <c r="F320" s="27"/>
    </row>
    <row r="321">
      <c r="A321" s="26">
        <v>44602.78212087963</v>
      </c>
      <c r="B321" s="20" t="s">
        <v>167</v>
      </c>
      <c r="C321" s="20">
        <v>1548.0</v>
      </c>
      <c r="D321" s="20" t="s">
        <v>2144</v>
      </c>
      <c r="E321" s="20" t="s">
        <v>93</v>
      </c>
      <c r="F321" s="27"/>
    </row>
    <row r="322">
      <c r="A322" s="26">
        <v>44602.78234505787</v>
      </c>
      <c r="B322" s="20" t="s">
        <v>167</v>
      </c>
      <c r="C322" s="20">
        <v>1542.0</v>
      </c>
      <c r="D322" s="20" t="s">
        <v>2144</v>
      </c>
      <c r="E322" s="20" t="s">
        <v>87</v>
      </c>
      <c r="F322" s="27"/>
    </row>
    <row r="323">
      <c r="A323" s="26">
        <v>44602.78263877315</v>
      </c>
      <c r="B323" s="20" t="s">
        <v>167</v>
      </c>
      <c r="C323" s="20">
        <v>1471.0</v>
      </c>
      <c r="D323" s="20" t="s">
        <v>2144</v>
      </c>
      <c r="E323" s="20" t="s">
        <v>93</v>
      </c>
      <c r="F323" s="27"/>
    </row>
    <row r="324">
      <c r="A324" s="26">
        <v>44602.7829565162</v>
      </c>
      <c r="B324" s="20" t="s">
        <v>167</v>
      </c>
      <c r="C324" s="20">
        <v>2225.0</v>
      </c>
      <c r="D324" s="20" t="s">
        <v>2144</v>
      </c>
      <c r="E324" s="20" t="s">
        <v>93</v>
      </c>
      <c r="F324" s="27"/>
    </row>
    <row r="325">
      <c r="A325" s="26">
        <v>44602.78323612269</v>
      </c>
      <c r="B325" s="20" t="s">
        <v>167</v>
      </c>
      <c r="C325" s="20">
        <v>1228.0</v>
      </c>
      <c r="D325" s="20" t="s">
        <v>2144</v>
      </c>
      <c r="E325" s="20" t="s">
        <v>87</v>
      </c>
      <c r="F325" s="27"/>
    </row>
    <row r="326">
      <c r="A326" s="26">
        <v>44602.78360416667</v>
      </c>
      <c r="B326" s="20" t="s">
        <v>167</v>
      </c>
      <c r="C326" s="20">
        <v>2318.0</v>
      </c>
      <c r="D326" s="20" t="s">
        <v>2144</v>
      </c>
      <c r="E326" s="20" t="s">
        <v>93</v>
      </c>
      <c r="F326" s="27"/>
    </row>
    <row r="327">
      <c r="A327" s="26">
        <v>44602.78396197916</v>
      </c>
      <c r="B327" s="20" t="s">
        <v>167</v>
      </c>
      <c r="C327" s="20">
        <v>2159.0</v>
      </c>
      <c r="D327" s="20" t="s">
        <v>2144</v>
      </c>
      <c r="E327" s="20" t="s">
        <v>93</v>
      </c>
      <c r="F327" s="27"/>
    </row>
    <row r="328">
      <c r="A328" s="26">
        <v>44602.890207557866</v>
      </c>
      <c r="B328" s="20" t="s">
        <v>55</v>
      </c>
      <c r="C328" s="20">
        <v>957.0</v>
      </c>
      <c r="D328" s="20" t="s">
        <v>2144</v>
      </c>
      <c r="E328" s="20" t="s">
        <v>36</v>
      </c>
      <c r="F328" s="27"/>
    </row>
    <row r="329">
      <c r="A329" s="26">
        <v>44602.89116078704</v>
      </c>
      <c r="B329" s="20" t="s">
        <v>55</v>
      </c>
      <c r="C329" s="20">
        <v>1262.0</v>
      </c>
      <c r="D329" s="20" t="s">
        <v>2144</v>
      </c>
      <c r="E329" s="20" t="s">
        <v>559</v>
      </c>
      <c r="F329" s="27"/>
    </row>
    <row r="330">
      <c r="A330" s="26">
        <v>44602.89196678241</v>
      </c>
      <c r="B330" s="20" t="s">
        <v>55</v>
      </c>
      <c r="C330" s="20">
        <v>2138.0</v>
      </c>
      <c r="D330" s="20" t="s">
        <v>2144</v>
      </c>
      <c r="E330" s="20" t="s">
        <v>2170</v>
      </c>
      <c r="F330" s="27"/>
    </row>
    <row r="331">
      <c r="A331" s="26">
        <v>44602.89222792824</v>
      </c>
      <c r="B331" s="20" t="s">
        <v>55</v>
      </c>
      <c r="C331" s="20">
        <v>2915.0</v>
      </c>
      <c r="D331" s="20" t="s">
        <v>2144</v>
      </c>
      <c r="E331" s="20" t="s">
        <v>53</v>
      </c>
      <c r="F331" s="27"/>
    </row>
    <row r="332">
      <c r="A332" s="26">
        <v>44602.892565902774</v>
      </c>
      <c r="B332" s="20" t="s">
        <v>55</v>
      </c>
      <c r="C332" s="20">
        <v>1628.0</v>
      </c>
      <c r="D332" s="20" t="s">
        <v>2144</v>
      </c>
      <c r="E332" s="20" t="s">
        <v>135</v>
      </c>
      <c r="F332" s="27"/>
    </row>
    <row r="333">
      <c r="A333" s="26">
        <v>44602.892891365744</v>
      </c>
      <c r="B333" s="20" t="s">
        <v>55</v>
      </c>
      <c r="C333" s="20">
        <v>2021.0</v>
      </c>
      <c r="D333" s="20" t="s">
        <v>2144</v>
      </c>
      <c r="E333" s="20" t="s">
        <v>53</v>
      </c>
      <c r="F333" s="27"/>
    </row>
    <row r="334">
      <c r="A334" s="26">
        <v>44602.893535243056</v>
      </c>
      <c r="B334" s="20" t="s">
        <v>55</v>
      </c>
      <c r="C334" s="20">
        <v>1373.0</v>
      </c>
      <c r="D334" s="20" t="s">
        <v>2144</v>
      </c>
      <c r="E334" s="20" t="s">
        <v>135</v>
      </c>
      <c r="F334" s="27"/>
    </row>
    <row r="335">
      <c r="A335" s="26">
        <v>44602.89403167824</v>
      </c>
      <c r="B335" s="32" t="s">
        <v>55</v>
      </c>
      <c r="C335" s="32"/>
      <c r="D335" s="32" t="s">
        <v>2144</v>
      </c>
      <c r="E335" s="32" t="s">
        <v>115</v>
      </c>
      <c r="F335" s="40"/>
    </row>
    <row r="336">
      <c r="A336" s="26">
        <v>44602.89460875</v>
      </c>
      <c r="B336" s="20" t="s">
        <v>55</v>
      </c>
      <c r="C336" s="20">
        <v>1747.0</v>
      </c>
      <c r="D336" s="20" t="s">
        <v>2144</v>
      </c>
      <c r="E336" s="20" t="s">
        <v>115</v>
      </c>
      <c r="F336" s="27"/>
    </row>
    <row r="337">
      <c r="A337" s="26">
        <v>44602.894831620375</v>
      </c>
      <c r="B337" s="20" t="s">
        <v>55</v>
      </c>
      <c r="C337" s="20">
        <v>2223.0</v>
      </c>
      <c r="D337" s="20" t="s">
        <v>2144</v>
      </c>
      <c r="E337" s="20" t="s">
        <v>115</v>
      </c>
      <c r="F337" s="27"/>
    </row>
    <row r="338">
      <c r="A338" s="26">
        <v>44602.89513148148</v>
      </c>
      <c r="B338" s="20" t="s">
        <v>55</v>
      </c>
      <c r="C338" s="20">
        <v>1255.0</v>
      </c>
      <c r="D338" s="20" t="s">
        <v>2144</v>
      </c>
      <c r="E338" s="20" t="s">
        <v>87</v>
      </c>
      <c r="F338" s="27"/>
    </row>
    <row r="339">
      <c r="A339" s="26">
        <v>44602.89672505787</v>
      </c>
      <c r="B339" s="20" t="s">
        <v>55</v>
      </c>
      <c r="C339" s="20">
        <v>1863.0</v>
      </c>
      <c r="D339" s="20" t="s">
        <v>2144</v>
      </c>
      <c r="E339" s="20" t="s">
        <v>135</v>
      </c>
      <c r="F339" s="27"/>
    </row>
    <row r="340">
      <c r="A340" s="26">
        <v>44602.900134525466</v>
      </c>
      <c r="B340" s="20" t="s">
        <v>55</v>
      </c>
      <c r="C340" s="20">
        <v>1453.0</v>
      </c>
      <c r="D340" s="20" t="s">
        <v>2144</v>
      </c>
      <c r="E340" s="20" t="s">
        <v>115</v>
      </c>
      <c r="F340" s="27"/>
    </row>
    <row r="341">
      <c r="A341" s="26">
        <v>44602.90213689815</v>
      </c>
      <c r="B341" s="20" t="s">
        <v>55</v>
      </c>
      <c r="C341" s="20">
        <v>1466.0</v>
      </c>
      <c r="D341" s="20" t="s">
        <v>2144</v>
      </c>
      <c r="E341" s="20" t="s">
        <v>115</v>
      </c>
      <c r="F341" s="27"/>
    </row>
    <row r="342">
      <c r="A342" s="26">
        <v>44603.56405903935</v>
      </c>
      <c r="B342" s="20" t="s">
        <v>163</v>
      </c>
      <c r="C342" s="20">
        <v>906.0</v>
      </c>
      <c r="D342" s="20" t="s">
        <v>2148</v>
      </c>
      <c r="E342" s="20" t="s">
        <v>40</v>
      </c>
      <c r="F342" s="27"/>
    </row>
    <row r="343">
      <c r="A343" s="26">
        <v>44603.56501203704</v>
      </c>
      <c r="B343" s="20" t="s">
        <v>163</v>
      </c>
      <c r="C343" s="20">
        <v>1006.0</v>
      </c>
      <c r="D343" s="20" t="s">
        <v>2148</v>
      </c>
      <c r="E343" s="20" t="s">
        <v>40</v>
      </c>
      <c r="F343" s="27"/>
    </row>
    <row r="344">
      <c r="A344" s="26">
        <v>44603.56558436343</v>
      </c>
      <c r="B344" s="20" t="s">
        <v>163</v>
      </c>
      <c r="C344" s="20">
        <v>951.0</v>
      </c>
      <c r="D344" s="20" t="s">
        <v>2148</v>
      </c>
      <c r="E344" s="20" t="s">
        <v>40</v>
      </c>
      <c r="F344" s="27"/>
    </row>
    <row r="345">
      <c r="A345" s="26">
        <v>44603.56650503472</v>
      </c>
      <c r="B345" s="20" t="s">
        <v>163</v>
      </c>
      <c r="C345" s="20">
        <v>825.0</v>
      </c>
      <c r="D345" s="20" t="s">
        <v>2148</v>
      </c>
      <c r="E345" s="20" t="s">
        <v>40</v>
      </c>
      <c r="F345" s="27"/>
    </row>
    <row r="346">
      <c r="A346" s="26">
        <v>44603.567083483795</v>
      </c>
      <c r="B346" s="20" t="s">
        <v>163</v>
      </c>
      <c r="C346" s="20">
        <v>952.0</v>
      </c>
      <c r="D346" s="20" t="s">
        <v>2148</v>
      </c>
      <c r="E346" s="20" t="s">
        <v>40</v>
      </c>
      <c r="F346" s="27"/>
    </row>
    <row r="347">
      <c r="A347" s="26">
        <v>44603.57107329861</v>
      </c>
      <c r="B347" s="20" t="s">
        <v>163</v>
      </c>
      <c r="C347" s="20">
        <v>1620.0</v>
      </c>
      <c r="D347" s="20" t="s">
        <v>2144</v>
      </c>
      <c r="E347" s="20" t="s">
        <v>53</v>
      </c>
      <c r="F347" s="27"/>
    </row>
    <row r="348">
      <c r="A348" s="26">
        <v>44603.57159543982</v>
      </c>
      <c r="B348" s="20" t="s">
        <v>163</v>
      </c>
      <c r="C348" s="20">
        <v>1809.0</v>
      </c>
      <c r="D348" s="20" t="s">
        <v>2144</v>
      </c>
      <c r="E348" s="20" t="s">
        <v>53</v>
      </c>
      <c r="F348" s="27"/>
    </row>
    <row r="349">
      <c r="A349" s="26">
        <v>44603.57238728009</v>
      </c>
      <c r="B349" s="20" t="s">
        <v>163</v>
      </c>
      <c r="C349" s="20">
        <v>1728.0</v>
      </c>
      <c r="D349" s="20" t="s">
        <v>2144</v>
      </c>
      <c r="E349" s="20" t="s">
        <v>53</v>
      </c>
      <c r="F349" s="27"/>
    </row>
    <row r="350">
      <c r="A350" s="26">
        <v>44603.57292078703</v>
      </c>
      <c r="B350" s="20" t="s">
        <v>163</v>
      </c>
      <c r="C350" s="20">
        <v>1620.0</v>
      </c>
      <c r="D350" s="20" t="s">
        <v>2144</v>
      </c>
      <c r="E350" s="20" t="s">
        <v>53</v>
      </c>
      <c r="F350" s="27"/>
    </row>
    <row r="351">
      <c r="A351" s="26">
        <v>44603.573472442135</v>
      </c>
      <c r="B351" s="20" t="s">
        <v>163</v>
      </c>
      <c r="C351" s="20">
        <v>1640.0</v>
      </c>
      <c r="D351" s="20" t="s">
        <v>2144</v>
      </c>
      <c r="E351" s="20" t="s">
        <v>53</v>
      </c>
      <c r="F351" s="27"/>
    </row>
    <row r="352">
      <c r="A352" s="26">
        <v>44603.573911747684</v>
      </c>
      <c r="B352" s="20" t="s">
        <v>163</v>
      </c>
      <c r="C352" s="20">
        <v>1064.0</v>
      </c>
      <c r="D352" s="20" t="s">
        <v>2144</v>
      </c>
      <c r="E352" s="20" t="s">
        <v>53</v>
      </c>
      <c r="F352" s="27"/>
    </row>
    <row r="353">
      <c r="A353" s="26">
        <v>44604.53452570602</v>
      </c>
      <c r="B353" s="20" t="s">
        <v>55</v>
      </c>
      <c r="C353" s="20">
        <v>883.0</v>
      </c>
      <c r="D353" s="20" t="s">
        <v>2144</v>
      </c>
      <c r="E353" s="20" t="s">
        <v>40</v>
      </c>
      <c r="F353" s="27"/>
    </row>
    <row r="354">
      <c r="A354" s="26">
        <v>44604.53694175926</v>
      </c>
      <c r="B354" s="20" t="s">
        <v>55</v>
      </c>
      <c r="C354" s="20">
        <v>655.0</v>
      </c>
      <c r="D354" s="20" t="s">
        <v>2144</v>
      </c>
      <c r="E354" s="20" t="s">
        <v>80</v>
      </c>
      <c r="F354" s="27"/>
    </row>
    <row r="355">
      <c r="A355" s="26">
        <v>44604.53969958333</v>
      </c>
      <c r="B355" s="20" t="s">
        <v>55</v>
      </c>
      <c r="C355" s="20">
        <v>636.0</v>
      </c>
      <c r="D355" s="20" t="s">
        <v>2144</v>
      </c>
      <c r="E355" s="20" t="s">
        <v>2171</v>
      </c>
      <c r="F355" s="27"/>
    </row>
    <row r="356">
      <c r="A356" s="26">
        <v>44604.54120530093</v>
      </c>
      <c r="B356" s="20" t="s">
        <v>55</v>
      </c>
      <c r="C356" s="20">
        <v>1194.0</v>
      </c>
      <c r="D356" s="20" t="s">
        <v>2144</v>
      </c>
      <c r="E356" s="20" t="s">
        <v>441</v>
      </c>
      <c r="F356" s="27"/>
    </row>
    <row r="357">
      <c r="A357" s="26">
        <v>44604.70328159722</v>
      </c>
      <c r="B357" s="20" t="s">
        <v>55</v>
      </c>
      <c r="C357" s="20">
        <v>625.0</v>
      </c>
      <c r="D357" s="20" t="s">
        <v>2144</v>
      </c>
      <c r="E357" s="20" t="s">
        <v>38</v>
      </c>
      <c r="F357" s="27"/>
    </row>
    <row r="358">
      <c r="A358" s="26">
        <v>44604.70351082176</v>
      </c>
      <c r="B358" s="20" t="s">
        <v>55</v>
      </c>
      <c r="C358" s="20">
        <v>1497.0</v>
      </c>
      <c r="D358" s="20" t="s">
        <v>2144</v>
      </c>
      <c r="E358" s="20" t="s">
        <v>2172</v>
      </c>
      <c r="F358" s="27"/>
    </row>
    <row r="359">
      <c r="A359" s="26">
        <v>44604.707495625</v>
      </c>
      <c r="B359" s="20" t="s">
        <v>55</v>
      </c>
      <c r="C359" s="20">
        <v>1585.0</v>
      </c>
      <c r="D359" s="20" t="s">
        <v>2144</v>
      </c>
      <c r="E359" s="20" t="s">
        <v>2172</v>
      </c>
      <c r="F359" s="27"/>
    </row>
    <row r="360">
      <c r="A360" s="26">
        <v>44604.70882809028</v>
      </c>
      <c r="B360" s="20" t="s">
        <v>55</v>
      </c>
      <c r="C360" s="20">
        <v>1656.0</v>
      </c>
      <c r="D360" s="20" t="s">
        <v>2144</v>
      </c>
      <c r="E360" s="20" t="s">
        <v>2172</v>
      </c>
      <c r="F360" s="27"/>
    </row>
    <row r="361">
      <c r="A361" s="26">
        <v>44604.71017329861</v>
      </c>
      <c r="B361" s="20" t="s">
        <v>55</v>
      </c>
      <c r="C361" s="20">
        <v>616.0</v>
      </c>
      <c r="D361" s="20" t="s">
        <v>2144</v>
      </c>
      <c r="E361" s="20" t="s">
        <v>40</v>
      </c>
      <c r="F361" s="27"/>
    </row>
    <row r="362">
      <c r="A362" s="26">
        <v>44604.713150578704</v>
      </c>
      <c r="B362" s="20" t="s">
        <v>55</v>
      </c>
      <c r="C362" s="20">
        <v>995.0</v>
      </c>
      <c r="D362" s="20" t="s">
        <v>2144</v>
      </c>
      <c r="E362" s="20" t="s">
        <v>467</v>
      </c>
      <c r="F362" s="27"/>
    </row>
    <row r="363">
      <c r="A363" s="26">
        <v>44604.7141562037</v>
      </c>
      <c r="B363" s="20" t="s">
        <v>55</v>
      </c>
      <c r="C363" s="20">
        <v>625.0</v>
      </c>
      <c r="D363" s="20" t="s">
        <v>2144</v>
      </c>
      <c r="E363" s="20" t="s">
        <v>38</v>
      </c>
      <c r="F363" s="27"/>
    </row>
    <row r="364">
      <c r="A364" s="26">
        <v>44605.52735059027</v>
      </c>
      <c r="B364" s="20" t="s">
        <v>163</v>
      </c>
      <c r="C364" s="20">
        <v>79.0</v>
      </c>
      <c r="D364" s="20" t="s">
        <v>2149</v>
      </c>
      <c r="E364" s="20" t="s">
        <v>2173</v>
      </c>
      <c r="F364" s="27"/>
    </row>
    <row r="365">
      <c r="A365" s="26">
        <v>44605.54827505787</v>
      </c>
      <c r="B365" s="20" t="s">
        <v>163</v>
      </c>
      <c r="C365" s="20">
        <v>809.0</v>
      </c>
      <c r="D365" s="20" t="s">
        <v>2144</v>
      </c>
      <c r="E365" s="20" t="s">
        <v>40</v>
      </c>
      <c r="F365" s="27"/>
    </row>
    <row r="366">
      <c r="A366" s="26">
        <v>44605.5490069213</v>
      </c>
      <c r="B366" s="20" t="s">
        <v>163</v>
      </c>
      <c r="C366" s="20">
        <v>849.0</v>
      </c>
      <c r="D366" s="20" t="s">
        <v>2144</v>
      </c>
      <c r="E366" s="20" t="s">
        <v>38</v>
      </c>
      <c r="F366" s="27"/>
    </row>
    <row r="367">
      <c r="A367" s="26">
        <v>44605.552632997686</v>
      </c>
      <c r="B367" s="20" t="s">
        <v>163</v>
      </c>
      <c r="C367" s="20">
        <v>320.0</v>
      </c>
      <c r="D367" s="20" t="s">
        <v>2144</v>
      </c>
      <c r="E367" s="20" t="s">
        <v>80</v>
      </c>
      <c r="F367" s="27"/>
    </row>
    <row r="368">
      <c r="A368" s="26">
        <v>44605.55650517361</v>
      </c>
      <c r="B368" s="20" t="s">
        <v>163</v>
      </c>
      <c r="C368" s="20">
        <v>1876.0</v>
      </c>
      <c r="D368" s="20" t="s">
        <v>2144</v>
      </c>
      <c r="E368" s="20" t="s">
        <v>36</v>
      </c>
      <c r="F368" s="27"/>
    </row>
    <row r="369">
      <c r="A369" s="26">
        <v>44605.56036260417</v>
      </c>
      <c r="B369" s="20" t="s">
        <v>163</v>
      </c>
      <c r="C369" s="20">
        <v>320.0</v>
      </c>
      <c r="D369" s="20" t="s">
        <v>2144</v>
      </c>
      <c r="E369" s="20" t="s">
        <v>80</v>
      </c>
      <c r="F369" s="27"/>
    </row>
    <row r="370">
      <c r="A370" s="26">
        <v>44605.56092408564</v>
      </c>
      <c r="B370" s="20" t="s">
        <v>163</v>
      </c>
      <c r="C370" s="20">
        <v>1876.0</v>
      </c>
      <c r="D370" s="20" t="s">
        <v>2144</v>
      </c>
      <c r="E370" s="20" t="s">
        <v>36</v>
      </c>
      <c r="F370" s="27"/>
    </row>
    <row r="371">
      <c r="A371" s="26">
        <v>44605.5666981713</v>
      </c>
      <c r="B371" s="20" t="s">
        <v>163</v>
      </c>
      <c r="C371" s="20">
        <v>451.0</v>
      </c>
      <c r="D371" s="20" t="s">
        <v>2144</v>
      </c>
      <c r="E371" s="20" t="s">
        <v>80</v>
      </c>
      <c r="F371" s="27"/>
    </row>
    <row r="372">
      <c r="A372" s="26">
        <v>44607.57606521991</v>
      </c>
      <c r="B372" s="20" t="s">
        <v>163</v>
      </c>
      <c r="C372" s="20">
        <v>377.0</v>
      </c>
      <c r="D372" s="20" t="s">
        <v>2144</v>
      </c>
      <c r="E372" s="20" t="s">
        <v>40</v>
      </c>
      <c r="F372" s="27"/>
    </row>
    <row r="373">
      <c r="A373" s="26">
        <v>44607.57655366899</v>
      </c>
      <c r="B373" s="20" t="s">
        <v>163</v>
      </c>
      <c r="C373" s="20">
        <v>529.0</v>
      </c>
      <c r="D373" s="20" t="s">
        <v>2144</v>
      </c>
      <c r="E373" s="20" t="s">
        <v>36</v>
      </c>
      <c r="F373" s="27"/>
    </row>
    <row r="374">
      <c r="A374" s="26">
        <v>44607.57730800926</v>
      </c>
      <c r="B374" s="20" t="s">
        <v>163</v>
      </c>
      <c r="C374" s="20">
        <v>414.0</v>
      </c>
      <c r="D374" s="20" t="s">
        <v>2144</v>
      </c>
      <c r="E374" s="20" t="s">
        <v>47</v>
      </c>
      <c r="F374" s="27"/>
    </row>
    <row r="375">
      <c r="A375" s="26">
        <v>44607.577670196755</v>
      </c>
      <c r="B375" s="20" t="s">
        <v>163</v>
      </c>
      <c r="C375" s="20">
        <v>391.0</v>
      </c>
      <c r="D375" s="20" t="s">
        <v>2144</v>
      </c>
      <c r="E375" s="20" t="s">
        <v>36</v>
      </c>
      <c r="F375" s="27"/>
    </row>
    <row r="376">
      <c r="A376" s="26">
        <v>44607.57886819444</v>
      </c>
      <c r="B376" s="20" t="s">
        <v>163</v>
      </c>
      <c r="C376" s="20">
        <v>658.0</v>
      </c>
      <c r="D376" s="20" t="s">
        <v>2144</v>
      </c>
      <c r="E376" s="20" t="s">
        <v>2174</v>
      </c>
      <c r="F376" s="27"/>
    </row>
    <row r="377">
      <c r="A377" s="26">
        <v>44607.579544988424</v>
      </c>
      <c r="B377" s="20" t="s">
        <v>163</v>
      </c>
      <c r="C377" s="20">
        <v>316.0</v>
      </c>
      <c r="D377" s="20" t="s">
        <v>2144</v>
      </c>
      <c r="E377" s="20" t="s">
        <v>40</v>
      </c>
      <c r="F377" s="27"/>
    </row>
    <row r="378">
      <c r="A378" s="26">
        <v>44607.58004027778</v>
      </c>
      <c r="B378" s="20" t="s">
        <v>163</v>
      </c>
      <c r="C378" s="20">
        <v>713.0</v>
      </c>
      <c r="D378" s="20" t="s">
        <v>2144</v>
      </c>
      <c r="E378" s="20" t="s">
        <v>80</v>
      </c>
      <c r="F378" s="27"/>
    </row>
    <row r="379">
      <c r="A379" s="26">
        <v>44607.58518872685</v>
      </c>
      <c r="B379" s="20" t="s">
        <v>163</v>
      </c>
      <c r="C379" s="20">
        <v>500.0</v>
      </c>
      <c r="D379" s="20" t="s">
        <v>2144</v>
      </c>
      <c r="E379" s="20" t="s">
        <v>40</v>
      </c>
      <c r="F379" s="27"/>
    </row>
    <row r="380">
      <c r="A380" s="26">
        <v>44607.58877756944</v>
      </c>
      <c r="B380" s="20" t="s">
        <v>163</v>
      </c>
      <c r="C380" s="20">
        <v>456.0</v>
      </c>
      <c r="D380" s="20" t="s">
        <v>2144</v>
      </c>
      <c r="E380" s="20" t="s">
        <v>40</v>
      </c>
      <c r="F380" s="27"/>
    </row>
    <row r="381">
      <c r="A381" s="26">
        <v>44607.59565189815</v>
      </c>
      <c r="B381" s="20" t="s">
        <v>163</v>
      </c>
      <c r="C381" s="20">
        <v>552.0</v>
      </c>
      <c r="D381" s="20" t="s">
        <v>2144</v>
      </c>
      <c r="E381" s="20" t="s">
        <v>40</v>
      </c>
      <c r="F381" s="27"/>
    </row>
    <row r="382">
      <c r="A382" s="26">
        <v>44608.74298219907</v>
      </c>
      <c r="B382" s="20" t="s">
        <v>49</v>
      </c>
      <c r="C382" s="20">
        <v>960.0</v>
      </c>
      <c r="D382" s="20" t="s">
        <v>2149</v>
      </c>
      <c r="E382" s="20" t="s">
        <v>317</v>
      </c>
      <c r="F382" s="27"/>
    </row>
    <row r="383">
      <c r="A383" s="26">
        <v>44608.74324871528</v>
      </c>
      <c r="B383" s="20" t="s">
        <v>49</v>
      </c>
      <c r="C383" s="20">
        <v>856.0</v>
      </c>
      <c r="D383" s="20" t="s">
        <v>2149</v>
      </c>
      <c r="E383" s="20" t="s">
        <v>317</v>
      </c>
      <c r="F383" s="27"/>
    </row>
    <row r="384">
      <c r="A384" s="26">
        <v>44609.74891148148</v>
      </c>
      <c r="B384" s="20" t="s">
        <v>2102</v>
      </c>
      <c r="C384" s="20">
        <v>680.0</v>
      </c>
      <c r="D384" s="20" t="s">
        <v>2144</v>
      </c>
      <c r="E384" s="20" t="s">
        <v>40</v>
      </c>
      <c r="F384" s="27"/>
    </row>
    <row r="385">
      <c r="A385" s="26">
        <v>44609.75108916667</v>
      </c>
      <c r="B385" s="20" t="s">
        <v>2102</v>
      </c>
      <c r="C385" s="20">
        <v>671.0</v>
      </c>
      <c r="D385" s="20" t="s">
        <v>2144</v>
      </c>
      <c r="E385" s="20" t="s">
        <v>64</v>
      </c>
      <c r="F385" s="27"/>
    </row>
    <row r="386">
      <c r="A386" s="26">
        <v>44609.75249368056</v>
      </c>
      <c r="B386" s="20" t="s">
        <v>1225</v>
      </c>
      <c r="C386" s="20">
        <v>531.0</v>
      </c>
      <c r="D386" s="20" t="s">
        <v>2144</v>
      </c>
      <c r="E386" s="20" t="s">
        <v>40</v>
      </c>
      <c r="F386" s="27"/>
    </row>
    <row r="387">
      <c r="A387" s="26">
        <v>44609.7543912963</v>
      </c>
      <c r="B387" s="20" t="s">
        <v>1225</v>
      </c>
      <c r="C387" s="20">
        <v>315.0</v>
      </c>
      <c r="D387" s="20" t="s">
        <v>2144</v>
      </c>
      <c r="E387" s="20" t="s">
        <v>80</v>
      </c>
      <c r="F387" s="27"/>
    </row>
    <row r="388">
      <c r="A388" s="26">
        <v>44609.75636525463</v>
      </c>
      <c r="B388" s="20" t="s">
        <v>1225</v>
      </c>
      <c r="C388" s="20">
        <v>701.0</v>
      </c>
      <c r="D388" s="20" t="s">
        <v>2144</v>
      </c>
      <c r="E388" s="20" t="s">
        <v>40</v>
      </c>
      <c r="F388" s="27"/>
    </row>
    <row r="389">
      <c r="A389" s="26">
        <v>44609.75984486111</v>
      </c>
      <c r="B389" s="20" t="s">
        <v>1225</v>
      </c>
      <c r="C389" s="20">
        <v>1570.0</v>
      </c>
      <c r="D389" s="20" t="s">
        <v>2144</v>
      </c>
      <c r="E389" s="20" t="s">
        <v>38</v>
      </c>
      <c r="F389" s="27"/>
    </row>
    <row r="390">
      <c r="A390" s="26">
        <v>44609.76136587963</v>
      </c>
      <c r="B390" s="20" t="s">
        <v>1225</v>
      </c>
      <c r="C390" s="20">
        <v>1297.0</v>
      </c>
      <c r="D390" s="20" t="s">
        <v>2144</v>
      </c>
      <c r="E390" s="20" t="s">
        <v>38</v>
      </c>
      <c r="F390" s="27"/>
    </row>
    <row r="391">
      <c r="A391" s="26">
        <v>44609.762697858794</v>
      </c>
      <c r="B391" s="20" t="s">
        <v>1225</v>
      </c>
      <c r="C391" s="20">
        <v>816.0</v>
      </c>
      <c r="D391" s="20" t="s">
        <v>2144</v>
      </c>
      <c r="E391" s="20" t="s">
        <v>36</v>
      </c>
      <c r="F391" s="27"/>
    </row>
    <row r="392">
      <c r="A392" s="26">
        <v>44609.76429520833</v>
      </c>
      <c r="B392" s="20" t="s">
        <v>1225</v>
      </c>
      <c r="C392" s="20">
        <v>1449.0</v>
      </c>
      <c r="D392" s="20" t="s">
        <v>2144</v>
      </c>
      <c r="E392" s="20" t="s">
        <v>36</v>
      </c>
      <c r="F392" s="27"/>
    </row>
    <row r="393">
      <c r="A393" s="26">
        <v>44609.76644209491</v>
      </c>
      <c r="B393" s="20" t="s">
        <v>1225</v>
      </c>
      <c r="C393" s="20">
        <v>1444.0</v>
      </c>
      <c r="D393" s="20" t="s">
        <v>2144</v>
      </c>
      <c r="E393" s="20" t="s">
        <v>36</v>
      </c>
      <c r="F393" s="27"/>
    </row>
    <row r="394">
      <c r="A394" s="26">
        <v>44609.76838184027</v>
      </c>
      <c r="B394" s="20" t="s">
        <v>1225</v>
      </c>
      <c r="C394" s="20">
        <v>2034.0</v>
      </c>
      <c r="D394" s="20" t="s">
        <v>2144</v>
      </c>
      <c r="E394" s="20" t="s">
        <v>36</v>
      </c>
      <c r="F394" s="27"/>
    </row>
    <row r="395">
      <c r="A395" s="26">
        <v>44610.54423141204</v>
      </c>
      <c r="B395" s="20" t="s">
        <v>1351</v>
      </c>
      <c r="C395" s="20">
        <v>836.0</v>
      </c>
      <c r="D395" s="20" t="s">
        <v>2148</v>
      </c>
      <c r="E395" s="20" t="s">
        <v>40</v>
      </c>
      <c r="F395" s="27"/>
    </row>
    <row r="396">
      <c r="A396" s="26">
        <v>44610.545338194446</v>
      </c>
      <c r="B396" s="20" t="s">
        <v>1351</v>
      </c>
      <c r="C396" s="20">
        <v>845.0</v>
      </c>
      <c r="D396" s="20" t="s">
        <v>2148</v>
      </c>
      <c r="E396" s="20" t="s">
        <v>40</v>
      </c>
      <c r="F396" s="27"/>
    </row>
    <row r="397">
      <c r="A397" s="26">
        <v>44610.54648016204</v>
      </c>
      <c r="B397" s="20" t="s">
        <v>1351</v>
      </c>
      <c r="C397" s="20">
        <v>808.0</v>
      </c>
      <c r="D397" s="20" t="s">
        <v>2148</v>
      </c>
      <c r="E397" s="20" t="s">
        <v>40</v>
      </c>
      <c r="F397" s="27"/>
    </row>
    <row r="398">
      <c r="A398" s="26">
        <v>44610.54744328704</v>
      </c>
      <c r="B398" s="20" t="s">
        <v>2175</v>
      </c>
      <c r="C398" s="20">
        <v>828.0</v>
      </c>
      <c r="D398" s="20" t="s">
        <v>2148</v>
      </c>
      <c r="E398" s="20" t="s">
        <v>40</v>
      </c>
      <c r="F398" s="27"/>
    </row>
    <row r="399">
      <c r="A399" s="26">
        <v>44612.66144072916</v>
      </c>
      <c r="B399" s="20" t="s">
        <v>63</v>
      </c>
      <c r="C399" s="20">
        <v>407.0</v>
      </c>
      <c r="D399" s="20" t="s">
        <v>2144</v>
      </c>
      <c r="E399" s="20" t="s">
        <v>2176</v>
      </c>
      <c r="F399" s="27"/>
    </row>
    <row r="400">
      <c r="A400" s="26">
        <v>44612.661940949074</v>
      </c>
      <c r="B400" s="20" t="s">
        <v>63</v>
      </c>
      <c r="C400" s="20">
        <v>583.0</v>
      </c>
      <c r="D400" s="20" t="s">
        <v>2144</v>
      </c>
      <c r="E400" s="20" t="s">
        <v>36</v>
      </c>
      <c r="F400" s="27"/>
    </row>
    <row r="401">
      <c r="A401" s="26">
        <v>44612.66231734953</v>
      </c>
      <c r="B401" s="20" t="s">
        <v>149</v>
      </c>
      <c r="C401" s="20">
        <v>492.0</v>
      </c>
      <c r="D401" s="20" t="s">
        <v>2144</v>
      </c>
      <c r="E401" s="20" t="s">
        <v>80</v>
      </c>
      <c r="F401" s="27"/>
    </row>
    <row r="402">
      <c r="A402" s="26">
        <v>44612.66239008102</v>
      </c>
      <c r="B402" s="20" t="s">
        <v>63</v>
      </c>
      <c r="C402" s="20">
        <v>731.0</v>
      </c>
      <c r="D402" s="20" t="s">
        <v>2144</v>
      </c>
      <c r="E402" s="20" t="s">
        <v>80</v>
      </c>
      <c r="F402" s="27"/>
    </row>
    <row r="403">
      <c r="A403" s="26">
        <v>44612.66322106481</v>
      </c>
      <c r="B403" s="20" t="s">
        <v>63</v>
      </c>
      <c r="C403" s="20">
        <v>523.0</v>
      </c>
      <c r="D403" s="20" t="s">
        <v>2144</v>
      </c>
      <c r="E403" s="20" t="s">
        <v>40</v>
      </c>
      <c r="F403" s="27"/>
    </row>
    <row r="404">
      <c r="A404" s="26">
        <v>44612.66367789352</v>
      </c>
      <c r="B404" s="20" t="s">
        <v>63</v>
      </c>
      <c r="C404" s="20">
        <v>678.0</v>
      </c>
      <c r="D404" s="20" t="s">
        <v>2144</v>
      </c>
      <c r="E404" s="20" t="s">
        <v>40</v>
      </c>
      <c r="F404" s="27"/>
    </row>
    <row r="405">
      <c r="A405" s="26">
        <v>44615.857430752316</v>
      </c>
      <c r="B405" s="20" t="s">
        <v>55</v>
      </c>
      <c r="C405" s="20">
        <v>226.0</v>
      </c>
      <c r="D405" s="20" t="s">
        <v>2144</v>
      </c>
      <c r="E405" s="20" t="s">
        <v>40</v>
      </c>
      <c r="F405" s="27"/>
    </row>
    <row r="406">
      <c r="A406" s="26">
        <v>44615.857584212965</v>
      </c>
      <c r="B406" s="20" t="s">
        <v>55</v>
      </c>
      <c r="C406" s="20">
        <v>230.0</v>
      </c>
      <c r="D406" s="20" t="s">
        <v>2144</v>
      </c>
      <c r="E406" s="20" t="s">
        <v>40</v>
      </c>
      <c r="F406" s="27"/>
    </row>
    <row r="407">
      <c r="A407" s="26">
        <v>44615.85779417824</v>
      </c>
      <c r="B407" s="20" t="s">
        <v>55</v>
      </c>
      <c r="C407" s="20">
        <v>772.0</v>
      </c>
      <c r="D407" s="20" t="s">
        <v>2144</v>
      </c>
      <c r="E407" s="20" t="s">
        <v>40</v>
      </c>
      <c r="F407" s="27"/>
    </row>
    <row r="408">
      <c r="A408" s="26">
        <v>44615.85815635417</v>
      </c>
      <c r="B408" s="20" t="s">
        <v>55</v>
      </c>
      <c r="C408" s="20">
        <v>511.0</v>
      </c>
      <c r="D408" s="20" t="s">
        <v>2144</v>
      </c>
      <c r="E408" s="20" t="s">
        <v>80</v>
      </c>
      <c r="F408" s="27"/>
    </row>
    <row r="409">
      <c r="A409" s="26">
        <v>44615.858380405094</v>
      </c>
      <c r="B409" s="20" t="s">
        <v>55</v>
      </c>
      <c r="C409" s="20">
        <v>510.0</v>
      </c>
      <c r="D409" s="20" t="s">
        <v>2144</v>
      </c>
      <c r="E409" s="20" t="s">
        <v>80</v>
      </c>
      <c r="F409" s="27"/>
    </row>
    <row r="410">
      <c r="A410" s="26">
        <v>44615.85902325231</v>
      </c>
      <c r="B410" s="20" t="s">
        <v>55</v>
      </c>
      <c r="C410" s="20">
        <v>870.0</v>
      </c>
      <c r="D410" s="20" t="s">
        <v>2148</v>
      </c>
      <c r="E410" s="20" t="s">
        <v>80</v>
      </c>
      <c r="F410" s="27"/>
    </row>
    <row r="411">
      <c r="A411" s="26">
        <v>44615.85921042824</v>
      </c>
      <c r="B411" s="20" t="s">
        <v>55</v>
      </c>
      <c r="C411" s="20">
        <v>1856.0</v>
      </c>
      <c r="D411" s="20" t="s">
        <v>2144</v>
      </c>
      <c r="E411" s="20" t="s">
        <v>53</v>
      </c>
      <c r="F411" s="27"/>
    </row>
    <row r="412">
      <c r="A412" s="26">
        <v>44615.85951746527</v>
      </c>
      <c r="B412" s="20" t="s">
        <v>55</v>
      </c>
      <c r="C412" s="20">
        <v>905.0</v>
      </c>
      <c r="D412" s="20" t="s">
        <v>2144</v>
      </c>
      <c r="E412" s="20" t="s">
        <v>279</v>
      </c>
      <c r="F412" s="27"/>
    </row>
    <row r="413">
      <c r="A413" s="26">
        <v>44615.859869618056</v>
      </c>
      <c r="B413" s="20" t="s">
        <v>55</v>
      </c>
      <c r="C413" s="20">
        <v>1453.0</v>
      </c>
      <c r="D413" s="20" t="s">
        <v>2144</v>
      </c>
      <c r="E413" s="20" t="s">
        <v>93</v>
      </c>
      <c r="F413" s="27"/>
    </row>
    <row r="414">
      <c r="A414" s="26">
        <v>44615.86023032408</v>
      </c>
      <c r="B414" s="20" t="s">
        <v>55</v>
      </c>
      <c r="C414" s="20">
        <v>1524.0</v>
      </c>
      <c r="D414" s="20" t="s">
        <v>2144</v>
      </c>
      <c r="E414" s="20" t="s">
        <v>93</v>
      </c>
      <c r="F414" s="27"/>
    </row>
    <row r="415">
      <c r="A415" s="26">
        <v>44615.8606958912</v>
      </c>
      <c r="B415" s="20" t="s">
        <v>55</v>
      </c>
      <c r="C415" s="20">
        <v>1548.0</v>
      </c>
      <c r="D415" s="20" t="s">
        <v>2144</v>
      </c>
      <c r="E415" s="20" t="s">
        <v>93</v>
      </c>
      <c r="F415" s="27"/>
    </row>
    <row r="416">
      <c r="A416" s="26">
        <v>44616.76235524306</v>
      </c>
      <c r="B416" s="20" t="s">
        <v>129</v>
      </c>
      <c r="C416" s="20">
        <v>901.0</v>
      </c>
      <c r="D416" s="20" t="s">
        <v>2144</v>
      </c>
      <c r="E416" s="20" t="s">
        <v>93</v>
      </c>
      <c r="F416" s="27"/>
    </row>
    <row r="417">
      <c r="A417" s="26">
        <v>44616.762622615744</v>
      </c>
      <c r="B417" s="20" t="s">
        <v>129</v>
      </c>
      <c r="C417" s="20">
        <v>794.0</v>
      </c>
      <c r="D417" s="20" t="s">
        <v>2144</v>
      </c>
      <c r="E417" s="20" t="s">
        <v>40</v>
      </c>
      <c r="F417" s="27"/>
    </row>
    <row r="418">
      <c r="A418" s="26">
        <v>44616.76285284723</v>
      </c>
      <c r="B418" s="20" t="s">
        <v>129</v>
      </c>
      <c r="C418" s="20">
        <v>1011.0</v>
      </c>
      <c r="D418" s="20" t="s">
        <v>2144</v>
      </c>
      <c r="E418" s="20" t="s">
        <v>80</v>
      </c>
      <c r="F418" s="27"/>
    </row>
    <row r="419">
      <c r="A419" s="26">
        <v>44616.76302067129</v>
      </c>
      <c r="B419" s="20" t="s">
        <v>129</v>
      </c>
      <c r="C419" s="20">
        <v>586.0</v>
      </c>
      <c r="D419" s="20" t="s">
        <v>2144</v>
      </c>
      <c r="E419" s="20" t="s">
        <v>47</v>
      </c>
      <c r="F419" s="27"/>
    </row>
    <row r="420">
      <c r="A420" s="26">
        <v>44616.763184780095</v>
      </c>
      <c r="B420" s="20" t="s">
        <v>129</v>
      </c>
      <c r="C420" s="20">
        <v>913.0</v>
      </c>
      <c r="D420" s="20" t="s">
        <v>2144</v>
      </c>
      <c r="E420" s="20" t="s">
        <v>36</v>
      </c>
      <c r="F420" s="27"/>
    </row>
    <row r="421">
      <c r="A421" s="26">
        <v>44616.7634342824</v>
      </c>
      <c r="B421" s="20" t="s">
        <v>129</v>
      </c>
      <c r="C421" s="20">
        <v>840.0</v>
      </c>
      <c r="D421" s="20" t="s">
        <v>2144</v>
      </c>
      <c r="E421" s="20" t="s">
        <v>80</v>
      </c>
      <c r="F421" s="27"/>
    </row>
    <row r="422">
      <c r="A422" s="26">
        <v>44618.54013365741</v>
      </c>
      <c r="B422" s="20" t="s">
        <v>220</v>
      </c>
      <c r="C422" s="20">
        <v>764.0</v>
      </c>
      <c r="D422" s="20" t="s">
        <v>2144</v>
      </c>
      <c r="E422" s="20" t="s">
        <v>80</v>
      </c>
      <c r="F422" s="27"/>
    </row>
    <row r="423">
      <c r="A423" s="26">
        <v>44618.54052899306</v>
      </c>
      <c r="B423" s="20" t="s">
        <v>220</v>
      </c>
      <c r="C423" s="20">
        <v>273.0</v>
      </c>
      <c r="D423" s="20" t="s">
        <v>2144</v>
      </c>
      <c r="E423" s="20" t="s">
        <v>80</v>
      </c>
      <c r="F423" s="27"/>
    </row>
    <row r="424">
      <c r="A424" s="26">
        <v>44618.54261898148</v>
      </c>
      <c r="B424" s="20" t="s">
        <v>2177</v>
      </c>
      <c r="C424" s="20">
        <v>2263.0</v>
      </c>
      <c r="D424" s="20" t="s">
        <v>2144</v>
      </c>
      <c r="E424" s="20" t="s">
        <v>40</v>
      </c>
      <c r="F424" s="27"/>
    </row>
    <row r="425">
      <c r="A425" s="26">
        <v>44618.5495022338</v>
      </c>
      <c r="B425" s="20" t="s">
        <v>220</v>
      </c>
      <c r="C425" s="20">
        <v>940.0</v>
      </c>
      <c r="D425" s="20" t="s">
        <v>2144</v>
      </c>
      <c r="E425" s="20" t="s">
        <v>36</v>
      </c>
      <c r="F425" s="27"/>
    </row>
    <row r="426">
      <c r="A426" s="26">
        <v>44618.55122819444</v>
      </c>
      <c r="B426" s="20" t="s">
        <v>2177</v>
      </c>
      <c r="C426" s="20">
        <v>1069.0</v>
      </c>
      <c r="D426" s="20" t="s">
        <v>2144</v>
      </c>
      <c r="E426" s="20" t="s">
        <v>38</v>
      </c>
      <c r="F426" s="27"/>
    </row>
    <row r="427">
      <c r="A427" s="26">
        <v>44618.5543753588</v>
      </c>
      <c r="B427" s="20" t="s">
        <v>2177</v>
      </c>
      <c r="C427" s="20">
        <v>512.0</v>
      </c>
      <c r="D427" s="20" t="s">
        <v>2144</v>
      </c>
      <c r="E427" s="20" t="s">
        <v>47</v>
      </c>
      <c r="F427" s="27"/>
    </row>
    <row r="428">
      <c r="A428" s="26">
        <v>44618.700490937495</v>
      </c>
      <c r="B428" s="20" t="s">
        <v>49</v>
      </c>
      <c r="C428" s="20">
        <v>512.0</v>
      </c>
      <c r="D428" s="20" t="s">
        <v>2144</v>
      </c>
      <c r="E428" s="20" t="s">
        <v>47</v>
      </c>
      <c r="F428" s="27"/>
    </row>
    <row r="429">
      <c r="A429" s="26">
        <v>44618.70078318287</v>
      </c>
      <c r="B429" s="20" t="s">
        <v>49</v>
      </c>
      <c r="C429" s="20">
        <v>640.0</v>
      </c>
      <c r="D429" s="20" t="s">
        <v>2144</v>
      </c>
      <c r="E429" s="20" t="s">
        <v>47</v>
      </c>
      <c r="F429" s="27"/>
    </row>
    <row r="430">
      <c r="A430" s="26">
        <v>44618.701023622685</v>
      </c>
      <c r="B430" s="20" t="s">
        <v>49</v>
      </c>
      <c r="C430" s="20">
        <v>669.0</v>
      </c>
      <c r="D430" s="20" t="s">
        <v>2144</v>
      </c>
      <c r="E430" s="20" t="s">
        <v>47</v>
      </c>
      <c r="F430" s="27"/>
    </row>
    <row r="431">
      <c r="A431" s="26">
        <v>44618.701621851855</v>
      </c>
      <c r="B431" s="20" t="s">
        <v>49</v>
      </c>
      <c r="C431" s="20">
        <v>600.0</v>
      </c>
      <c r="D431" s="20" t="s">
        <v>2144</v>
      </c>
      <c r="E431" s="20" t="s">
        <v>47</v>
      </c>
      <c r="F431" s="27"/>
    </row>
    <row r="432">
      <c r="A432" s="26">
        <v>44618.70208103009</v>
      </c>
      <c r="B432" s="20" t="s">
        <v>49</v>
      </c>
      <c r="C432" s="20">
        <v>442.0</v>
      </c>
      <c r="D432" s="20" t="s">
        <v>2144</v>
      </c>
      <c r="E432" s="20" t="s">
        <v>47</v>
      </c>
      <c r="F432" s="27"/>
    </row>
    <row r="433">
      <c r="A433" s="26">
        <v>44618.70234380787</v>
      </c>
      <c r="B433" s="20" t="s">
        <v>49</v>
      </c>
      <c r="C433" s="20">
        <v>1086.0</v>
      </c>
      <c r="D433" s="20" t="s">
        <v>2144</v>
      </c>
      <c r="E433" s="20" t="s">
        <v>47</v>
      </c>
      <c r="F433" s="27"/>
    </row>
    <row r="434">
      <c r="A434" s="26">
        <v>44618.702580972225</v>
      </c>
      <c r="B434" s="20" t="s">
        <v>49</v>
      </c>
      <c r="C434" s="20">
        <v>863.0</v>
      </c>
      <c r="D434" s="20" t="s">
        <v>2144</v>
      </c>
      <c r="E434" s="20" t="s">
        <v>47</v>
      </c>
      <c r="F434" s="27"/>
    </row>
    <row r="435">
      <c r="A435" s="26">
        <v>44618.70295247685</v>
      </c>
      <c r="B435" s="20" t="s">
        <v>49</v>
      </c>
      <c r="C435" s="20">
        <v>731.0</v>
      </c>
      <c r="D435" s="20" t="s">
        <v>2144</v>
      </c>
      <c r="E435" s="20" t="s">
        <v>47</v>
      </c>
      <c r="F435" s="27"/>
    </row>
    <row r="436">
      <c r="A436" s="26">
        <v>44618.704259907405</v>
      </c>
      <c r="B436" s="20" t="s">
        <v>49</v>
      </c>
      <c r="C436" s="20">
        <v>772.0</v>
      </c>
      <c r="D436" s="20" t="s">
        <v>2148</v>
      </c>
      <c r="E436" s="20" t="s">
        <v>40</v>
      </c>
      <c r="F436" s="27"/>
    </row>
    <row r="437">
      <c r="A437" s="26">
        <v>44618.70457495371</v>
      </c>
      <c r="B437" s="20" t="s">
        <v>49</v>
      </c>
      <c r="C437" s="20">
        <v>723.0</v>
      </c>
      <c r="D437" s="20" t="s">
        <v>2148</v>
      </c>
      <c r="E437" s="20" t="s">
        <v>40</v>
      </c>
      <c r="F437" s="27"/>
    </row>
    <row r="438">
      <c r="A438" s="26">
        <v>44618.70498016204</v>
      </c>
      <c r="B438" s="20" t="s">
        <v>49</v>
      </c>
      <c r="C438" s="20">
        <v>677.0</v>
      </c>
      <c r="D438" s="20" t="s">
        <v>2148</v>
      </c>
      <c r="E438" s="20" t="s">
        <v>40</v>
      </c>
      <c r="F438" s="27"/>
    </row>
    <row r="439">
      <c r="A439" s="26">
        <v>44618.7053446412</v>
      </c>
      <c r="B439" s="20" t="s">
        <v>49</v>
      </c>
      <c r="C439" s="20">
        <v>682.0</v>
      </c>
      <c r="D439" s="20" t="s">
        <v>2148</v>
      </c>
      <c r="E439" s="20" t="s">
        <v>40</v>
      </c>
      <c r="F439" s="27"/>
    </row>
    <row r="440">
      <c r="A440" s="26">
        <v>44618.70579445602</v>
      </c>
      <c r="B440" s="20" t="s">
        <v>49</v>
      </c>
      <c r="C440" s="20">
        <v>671.0</v>
      </c>
      <c r="D440" s="20" t="s">
        <v>2148</v>
      </c>
      <c r="E440" s="20" t="s">
        <v>40</v>
      </c>
      <c r="F440" s="27"/>
    </row>
    <row r="441">
      <c r="A441" s="26">
        <v>44619.74849489583</v>
      </c>
      <c r="B441" s="20" t="s">
        <v>49</v>
      </c>
      <c r="C441" s="20">
        <v>1086.0</v>
      </c>
      <c r="D441" s="20" t="s">
        <v>2144</v>
      </c>
      <c r="E441" s="20" t="s">
        <v>36</v>
      </c>
      <c r="F441" s="27"/>
    </row>
    <row r="442">
      <c r="A442" s="26">
        <v>44619.74875368056</v>
      </c>
      <c r="B442" s="20" t="s">
        <v>49</v>
      </c>
      <c r="C442" s="20">
        <v>989.0</v>
      </c>
      <c r="D442" s="20" t="s">
        <v>2144</v>
      </c>
      <c r="E442" s="20" t="s">
        <v>40</v>
      </c>
      <c r="F442" s="27"/>
    </row>
    <row r="443">
      <c r="A443" s="26">
        <v>44619.75368645834</v>
      </c>
      <c r="B443" s="20" t="s">
        <v>49</v>
      </c>
      <c r="C443" s="20">
        <v>406.0</v>
      </c>
      <c r="D443" s="20" t="s">
        <v>2144</v>
      </c>
      <c r="E443" s="20" t="s">
        <v>40</v>
      </c>
      <c r="F443" s="27"/>
    </row>
    <row r="444">
      <c r="A444" s="26">
        <v>44619.75393550926</v>
      </c>
      <c r="B444" s="20" t="s">
        <v>49</v>
      </c>
      <c r="C444" s="20">
        <v>420.0</v>
      </c>
      <c r="D444" s="20" t="s">
        <v>2144</v>
      </c>
      <c r="E444" s="20" t="s">
        <v>80</v>
      </c>
      <c r="F444" s="27"/>
    </row>
    <row r="445">
      <c r="A445" s="26">
        <v>44619.76276751157</v>
      </c>
      <c r="B445" s="20" t="s">
        <v>49</v>
      </c>
      <c r="C445" s="20">
        <v>1195.0</v>
      </c>
      <c r="D445" s="20" t="s">
        <v>2144</v>
      </c>
      <c r="E445" s="20" t="s">
        <v>78</v>
      </c>
      <c r="F445" s="27"/>
    </row>
    <row r="446">
      <c r="A446" s="26">
        <v>44619.76299</v>
      </c>
      <c r="B446" s="20" t="s">
        <v>49</v>
      </c>
      <c r="C446" s="20">
        <v>1663.0</v>
      </c>
      <c r="D446" s="20" t="s">
        <v>2144</v>
      </c>
      <c r="E446" s="20" t="s">
        <v>80</v>
      </c>
      <c r="F446" s="27"/>
    </row>
    <row r="447">
      <c r="A447" s="26">
        <v>44620.82389989583</v>
      </c>
      <c r="B447" s="20" t="s">
        <v>49</v>
      </c>
      <c r="C447" s="20">
        <v>753.0</v>
      </c>
      <c r="D447" s="20" t="s">
        <v>2144</v>
      </c>
      <c r="E447" s="20" t="s">
        <v>47</v>
      </c>
      <c r="F447" s="27"/>
    </row>
    <row r="448">
      <c r="A448" s="26">
        <v>44620.82410903936</v>
      </c>
      <c r="B448" s="20" t="s">
        <v>49</v>
      </c>
      <c r="C448" s="20">
        <v>791.0</v>
      </c>
      <c r="D448" s="20" t="s">
        <v>2144</v>
      </c>
      <c r="E448" s="20" t="s">
        <v>47</v>
      </c>
      <c r="F448" s="27"/>
    </row>
    <row r="449">
      <c r="A449" s="26">
        <v>44620.8243090162</v>
      </c>
      <c r="B449" s="20" t="s">
        <v>49</v>
      </c>
      <c r="C449" s="20">
        <v>1433.0</v>
      </c>
      <c r="D449" s="20" t="s">
        <v>2144</v>
      </c>
      <c r="E449" s="20" t="s">
        <v>47</v>
      </c>
      <c r="F449" s="27"/>
    </row>
    <row r="450">
      <c r="A450" s="26">
        <v>44620.82448991898</v>
      </c>
      <c r="B450" s="20" t="s">
        <v>49</v>
      </c>
      <c r="C450" s="20">
        <v>985.0</v>
      </c>
      <c r="D450" s="20" t="s">
        <v>2144</v>
      </c>
      <c r="E450" s="20" t="s">
        <v>47</v>
      </c>
      <c r="F450" s="27"/>
    </row>
    <row r="451">
      <c r="A451" s="26">
        <v>44620.82473439815</v>
      </c>
      <c r="B451" s="20" t="s">
        <v>49</v>
      </c>
      <c r="C451" s="20">
        <v>587.0</v>
      </c>
      <c r="D451" s="20" t="s">
        <v>2144</v>
      </c>
      <c r="E451" s="20" t="s">
        <v>36</v>
      </c>
      <c r="F451" s="27"/>
    </row>
    <row r="452">
      <c r="A452" s="26">
        <v>44620.8249675</v>
      </c>
      <c r="B452" s="20" t="s">
        <v>49</v>
      </c>
      <c r="C452" s="20">
        <v>829.0</v>
      </c>
      <c r="D452" s="20" t="s">
        <v>2144</v>
      </c>
      <c r="E452" s="20" t="s">
        <v>47</v>
      </c>
      <c r="F452" s="27"/>
    </row>
    <row r="453">
      <c r="A453" s="26">
        <v>44620.82514726852</v>
      </c>
      <c r="B453" s="20" t="s">
        <v>49</v>
      </c>
      <c r="C453" s="20">
        <v>538.0</v>
      </c>
      <c r="D453" s="20" t="s">
        <v>2144</v>
      </c>
      <c r="E453" s="20" t="s">
        <v>47</v>
      </c>
      <c r="F453" s="27"/>
    </row>
    <row r="454">
      <c r="A454" s="26">
        <v>44620.82535478009</v>
      </c>
      <c r="B454" s="20" t="s">
        <v>49</v>
      </c>
      <c r="C454" s="20">
        <v>611.0</v>
      </c>
      <c r="D454" s="20" t="s">
        <v>2144</v>
      </c>
      <c r="E454" s="20" t="s">
        <v>38</v>
      </c>
      <c r="F454" s="27"/>
    </row>
    <row r="455">
      <c r="A455" s="26">
        <v>44620.8255783912</v>
      </c>
      <c r="B455" s="20" t="s">
        <v>49</v>
      </c>
      <c r="C455" s="20">
        <v>1154.0</v>
      </c>
      <c r="D455" s="20" t="s">
        <v>2144</v>
      </c>
      <c r="E455" s="20" t="s">
        <v>80</v>
      </c>
      <c r="F455" s="27"/>
    </row>
    <row r="456">
      <c r="A456" s="26">
        <v>44620.82578076389</v>
      </c>
      <c r="B456" s="20" t="s">
        <v>49</v>
      </c>
      <c r="C456" s="20">
        <v>1053.0</v>
      </c>
      <c r="D456" s="20" t="s">
        <v>2144</v>
      </c>
      <c r="E456" s="20" t="s">
        <v>36</v>
      </c>
      <c r="F456" s="27"/>
    </row>
    <row r="457">
      <c r="A457" s="26">
        <v>44620.826003993054</v>
      </c>
      <c r="B457" s="20" t="s">
        <v>49</v>
      </c>
      <c r="C457" s="20">
        <v>1378.0</v>
      </c>
      <c r="D457" s="20" t="s">
        <v>2144</v>
      </c>
      <c r="E457" s="20" t="s">
        <v>80</v>
      </c>
      <c r="F457" s="27"/>
    </row>
    <row r="458">
      <c r="A458" s="26">
        <v>44621.81206510417</v>
      </c>
      <c r="B458" s="20" t="s">
        <v>55</v>
      </c>
      <c r="C458" s="20">
        <v>1514.0</v>
      </c>
      <c r="D458" s="20" t="s">
        <v>2178</v>
      </c>
      <c r="E458" s="20" t="s">
        <v>93</v>
      </c>
      <c r="F458" s="27"/>
    </row>
    <row r="459">
      <c r="A459" s="26">
        <v>44621.81253273148</v>
      </c>
      <c r="B459" s="20" t="s">
        <v>55</v>
      </c>
      <c r="C459" s="20">
        <v>1101.0</v>
      </c>
      <c r="D459" s="20" t="s">
        <v>2178</v>
      </c>
      <c r="E459" s="20" t="s">
        <v>64</v>
      </c>
      <c r="F459" s="27"/>
    </row>
    <row r="460">
      <c r="A460" s="26">
        <v>44621.812825057874</v>
      </c>
      <c r="B460" s="20" t="s">
        <v>55</v>
      </c>
      <c r="C460" s="20">
        <v>222.0</v>
      </c>
      <c r="D460" s="20" t="s">
        <v>2144</v>
      </c>
      <c r="E460" s="20" t="s">
        <v>95</v>
      </c>
      <c r="F460" s="27"/>
    </row>
    <row r="461">
      <c r="A461" s="26">
        <v>44621.813141203704</v>
      </c>
      <c r="B461" s="20" t="s">
        <v>55</v>
      </c>
      <c r="C461" s="20">
        <v>787.0</v>
      </c>
      <c r="D461" s="20" t="s">
        <v>2144</v>
      </c>
      <c r="E461" s="20" t="s">
        <v>64</v>
      </c>
      <c r="F461" s="27"/>
    </row>
    <row r="462">
      <c r="A462" s="26">
        <v>44621.81337122685</v>
      </c>
      <c r="B462" s="20" t="s">
        <v>55</v>
      </c>
      <c r="C462" s="20">
        <v>266.0</v>
      </c>
      <c r="D462" s="20" t="s">
        <v>2144</v>
      </c>
      <c r="E462" s="20" t="s">
        <v>95</v>
      </c>
      <c r="F462" s="27"/>
    </row>
    <row r="463">
      <c r="A463" s="26">
        <v>44621.81369121528</v>
      </c>
      <c r="B463" s="20" t="s">
        <v>55</v>
      </c>
      <c r="C463" s="20">
        <v>252.0</v>
      </c>
      <c r="D463" s="20" t="s">
        <v>2144</v>
      </c>
      <c r="E463" s="20" t="s">
        <v>95</v>
      </c>
      <c r="F463" s="27"/>
    </row>
    <row r="464">
      <c r="A464" s="26">
        <v>44621.8141928588</v>
      </c>
      <c r="B464" s="20" t="s">
        <v>55</v>
      </c>
      <c r="C464" s="20">
        <v>155.0</v>
      </c>
      <c r="D464" s="20" t="s">
        <v>2144</v>
      </c>
      <c r="E464" s="20" t="s">
        <v>95</v>
      </c>
      <c r="F464" s="27"/>
    </row>
    <row r="465">
      <c r="A465" s="26">
        <v>44621.8144534375</v>
      </c>
      <c r="B465" s="20" t="s">
        <v>55</v>
      </c>
      <c r="C465" s="20">
        <v>381.0</v>
      </c>
      <c r="D465" s="20" t="s">
        <v>2144</v>
      </c>
      <c r="E465" s="20" t="s">
        <v>95</v>
      </c>
      <c r="F465" s="27"/>
    </row>
    <row r="466">
      <c r="A466" s="26">
        <v>44622.76103673611</v>
      </c>
      <c r="B466" s="20" t="s">
        <v>67</v>
      </c>
      <c r="C466" s="20">
        <v>481.0</v>
      </c>
      <c r="D466" s="20" t="s">
        <v>2144</v>
      </c>
      <c r="E466" s="20" t="s">
        <v>80</v>
      </c>
      <c r="F466" s="27"/>
    </row>
    <row r="467">
      <c r="A467" s="26">
        <v>44622.76178969907</v>
      </c>
      <c r="B467" s="20" t="s">
        <v>67</v>
      </c>
      <c r="C467" s="20">
        <v>1273.0</v>
      </c>
      <c r="D467" s="20" t="s">
        <v>2144</v>
      </c>
      <c r="E467" s="20" t="s">
        <v>87</v>
      </c>
      <c r="F467" s="27"/>
    </row>
    <row r="468">
      <c r="A468" s="26">
        <v>44622.76210204861</v>
      </c>
      <c r="B468" s="20" t="s">
        <v>67</v>
      </c>
      <c r="C468" s="20">
        <v>879.0</v>
      </c>
      <c r="D468" s="20" t="s">
        <v>2144</v>
      </c>
      <c r="E468" s="20" t="s">
        <v>40</v>
      </c>
      <c r="F468" s="27"/>
    </row>
    <row r="469">
      <c r="A469" s="26">
        <v>44622.76244210648</v>
      </c>
      <c r="B469" s="20" t="s">
        <v>67</v>
      </c>
      <c r="C469" s="20">
        <v>713.0</v>
      </c>
      <c r="D469" s="20" t="s">
        <v>2144</v>
      </c>
      <c r="E469" s="20" t="s">
        <v>53</v>
      </c>
      <c r="F469" s="27"/>
    </row>
    <row r="470">
      <c r="A470" s="26">
        <v>44622.83830524306</v>
      </c>
      <c r="B470" s="20" t="s">
        <v>1158</v>
      </c>
      <c r="C470" s="20">
        <v>125.0</v>
      </c>
      <c r="D470" s="20" t="s">
        <v>2144</v>
      </c>
      <c r="E470" s="20" t="s">
        <v>40</v>
      </c>
      <c r="F470" s="27"/>
    </row>
    <row r="471">
      <c r="A471" s="26">
        <v>44622.83871063657</v>
      </c>
      <c r="B471" s="20" t="s">
        <v>1158</v>
      </c>
      <c r="C471" s="20">
        <v>702.0</v>
      </c>
      <c r="D471" s="20" t="s">
        <v>2144</v>
      </c>
      <c r="E471" s="20" t="s">
        <v>80</v>
      </c>
      <c r="F471" s="27"/>
    </row>
    <row r="472">
      <c r="A472" s="26">
        <v>44622.83912870371</v>
      </c>
      <c r="B472" s="20" t="s">
        <v>1158</v>
      </c>
      <c r="C472" s="20">
        <v>1563.0</v>
      </c>
      <c r="D472" s="20" t="s">
        <v>2144</v>
      </c>
      <c r="E472" s="20" t="s">
        <v>2179</v>
      </c>
      <c r="F472" s="27"/>
    </row>
    <row r="473">
      <c r="A473" s="26">
        <v>44622.843396689816</v>
      </c>
      <c r="B473" s="20" t="s">
        <v>1158</v>
      </c>
      <c r="C473" s="20">
        <v>1101.0</v>
      </c>
      <c r="D473" s="20" t="s">
        <v>2144</v>
      </c>
      <c r="E473" s="20" t="s">
        <v>64</v>
      </c>
      <c r="F473" s="27"/>
    </row>
    <row r="474">
      <c r="A474" s="26">
        <v>44622.84937351852</v>
      </c>
      <c r="B474" s="20" t="s">
        <v>1158</v>
      </c>
      <c r="C474" s="20">
        <v>1571.0</v>
      </c>
      <c r="D474" s="20" t="s">
        <v>2144</v>
      </c>
      <c r="E474" s="20" t="s">
        <v>93</v>
      </c>
      <c r="F474" s="27"/>
    </row>
    <row r="475">
      <c r="A475" s="26">
        <v>44623.564880289356</v>
      </c>
      <c r="B475" s="20" t="s">
        <v>67</v>
      </c>
      <c r="C475" s="20">
        <v>125.0</v>
      </c>
      <c r="D475" s="20" t="s">
        <v>2144</v>
      </c>
      <c r="E475" s="20" t="s">
        <v>40</v>
      </c>
      <c r="F475" s="27"/>
    </row>
    <row r="476">
      <c r="A476" s="26">
        <v>44623.56528760417</v>
      </c>
      <c r="B476" s="20" t="s">
        <v>67</v>
      </c>
      <c r="C476" s="20">
        <v>702.0</v>
      </c>
      <c r="D476" s="20" t="s">
        <v>2144</v>
      </c>
      <c r="E476" s="20" t="s">
        <v>80</v>
      </c>
      <c r="F476" s="27"/>
    </row>
    <row r="477">
      <c r="A477" s="26">
        <v>44623.56567848379</v>
      </c>
      <c r="B477" s="20" t="s">
        <v>67</v>
      </c>
      <c r="C477" s="20">
        <v>1563.0</v>
      </c>
      <c r="D477" s="20" t="s">
        <v>2144</v>
      </c>
      <c r="E477" s="20" t="s">
        <v>80</v>
      </c>
      <c r="F477" s="27"/>
    </row>
    <row r="478">
      <c r="A478" s="26">
        <v>44623.566128715276</v>
      </c>
      <c r="B478" s="20" t="s">
        <v>67</v>
      </c>
      <c r="C478" s="20">
        <v>1101.0</v>
      </c>
      <c r="D478" s="20" t="s">
        <v>2144</v>
      </c>
      <c r="E478" s="20" t="s">
        <v>64</v>
      </c>
      <c r="F478" s="27"/>
    </row>
    <row r="479">
      <c r="A479" s="26">
        <v>44623.56739252315</v>
      </c>
      <c r="B479" s="20" t="s">
        <v>67</v>
      </c>
      <c r="C479" s="20">
        <v>1571.0</v>
      </c>
      <c r="D479" s="20" t="s">
        <v>2144</v>
      </c>
      <c r="E479" s="20" t="s">
        <v>87</v>
      </c>
      <c r="F479" s="27"/>
    </row>
    <row r="480">
      <c r="A480" s="26">
        <v>44623.56790150463</v>
      </c>
      <c r="B480" s="20" t="s">
        <v>67</v>
      </c>
      <c r="C480" s="20">
        <v>1421.0</v>
      </c>
      <c r="D480" s="20" t="s">
        <v>2144</v>
      </c>
      <c r="E480" s="20" t="s">
        <v>40</v>
      </c>
      <c r="F480" s="27"/>
    </row>
    <row r="481">
      <c r="A481" s="26">
        <v>44623.56811861111</v>
      </c>
      <c r="B481" s="20" t="s">
        <v>67</v>
      </c>
      <c r="C481" s="20">
        <v>1538.0</v>
      </c>
      <c r="D481" s="20" t="s">
        <v>2144</v>
      </c>
      <c r="E481" s="20" t="s">
        <v>40</v>
      </c>
      <c r="F481" s="27"/>
    </row>
    <row r="482">
      <c r="A482" s="26">
        <v>44623.568412962966</v>
      </c>
      <c r="B482" s="20" t="s">
        <v>67</v>
      </c>
      <c r="C482" s="20">
        <v>905.0</v>
      </c>
      <c r="D482" s="20" t="s">
        <v>2144</v>
      </c>
      <c r="E482" s="20" t="s">
        <v>76</v>
      </c>
      <c r="F482" s="27"/>
    </row>
    <row r="483">
      <c r="A483" s="26">
        <v>44623.56863554398</v>
      </c>
      <c r="B483" s="20" t="s">
        <v>67</v>
      </c>
      <c r="C483" s="20">
        <v>124.0</v>
      </c>
      <c r="D483" s="20" t="s">
        <v>2144</v>
      </c>
      <c r="E483" s="20" t="s">
        <v>47</v>
      </c>
      <c r="F483" s="27"/>
    </row>
    <row r="484">
      <c r="A484" s="26">
        <v>44623.568884803244</v>
      </c>
      <c r="B484" s="20" t="s">
        <v>67</v>
      </c>
      <c r="C484" s="20">
        <v>796.0</v>
      </c>
      <c r="D484" s="20" t="s">
        <v>2144</v>
      </c>
      <c r="E484" s="20" t="s">
        <v>80</v>
      </c>
      <c r="F484" s="27"/>
    </row>
    <row r="485">
      <c r="A485" s="26">
        <v>44623.56917853009</v>
      </c>
      <c r="B485" s="20" t="s">
        <v>67</v>
      </c>
      <c r="C485" s="20">
        <v>767.0</v>
      </c>
      <c r="D485" s="20" t="s">
        <v>2144</v>
      </c>
      <c r="E485" s="20" t="s">
        <v>76</v>
      </c>
      <c r="F485" s="27"/>
    </row>
    <row r="486">
      <c r="A486" s="26">
        <v>44623.57010215278</v>
      </c>
      <c r="B486" s="20" t="s">
        <v>67</v>
      </c>
      <c r="C486" s="20">
        <v>310.0</v>
      </c>
      <c r="D486" s="20" t="s">
        <v>2144</v>
      </c>
      <c r="E486" s="20" t="s">
        <v>95</v>
      </c>
      <c r="F486" s="27"/>
    </row>
    <row r="487">
      <c r="A487" s="26">
        <v>44623.57032513889</v>
      </c>
      <c r="B487" s="20" t="s">
        <v>67</v>
      </c>
      <c r="C487" s="20">
        <v>314.0</v>
      </c>
      <c r="D487" s="20" t="s">
        <v>2144</v>
      </c>
      <c r="E487" s="20" t="s">
        <v>95</v>
      </c>
      <c r="F487" s="27"/>
    </row>
    <row r="488">
      <c r="A488" s="26">
        <v>44623.570668796296</v>
      </c>
      <c r="B488" s="20" t="s">
        <v>67</v>
      </c>
      <c r="C488" s="20">
        <v>311.0</v>
      </c>
      <c r="D488" s="20" t="s">
        <v>2144</v>
      </c>
      <c r="E488" s="20" t="s">
        <v>95</v>
      </c>
      <c r="F488" s="27"/>
    </row>
    <row r="489">
      <c r="A489" s="26">
        <v>44623.57088368056</v>
      </c>
      <c r="B489" s="20" t="s">
        <v>67</v>
      </c>
      <c r="C489" s="20">
        <v>315.0</v>
      </c>
      <c r="D489" s="20" t="s">
        <v>2144</v>
      </c>
      <c r="E489" s="20" t="s">
        <v>95</v>
      </c>
      <c r="F489" s="27"/>
    </row>
    <row r="490">
      <c r="A490" s="26">
        <v>44623.571044675926</v>
      </c>
      <c r="B490" s="20" t="s">
        <v>67</v>
      </c>
      <c r="C490" s="20">
        <v>308.0</v>
      </c>
      <c r="D490" s="20" t="s">
        <v>2144</v>
      </c>
      <c r="E490" s="20" t="s">
        <v>95</v>
      </c>
      <c r="F490" s="27"/>
    </row>
    <row r="491">
      <c r="A491" s="26">
        <v>44623.57137200232</v>
      </c>
      <c r="B491" s="20" t="s">
        <v>67</v>
      </c>
      <c r="C491" s="20">
        <v>313.0</v>
      </c>
      <c r="D491" s="20" t="s">
        <v>2144</v>
      </c>
      <c r="E491" s="20" t="s">
        <v>95</v>
      </c>
      <c r="F491" s="27"/>
    </row>
    <row r="492">
      <c r="A492" s="26">
        <v>44623.85411797454</v>
      </c>
      <c r="B492" s="20" t="s">
        <v>2155</v>
      </c>
      <c r="C492" s="20">
        <v>580.0</v>
      </c>
      <c r="D492" s="20" t="s">
        <v>2144</v>
      </c>
      <c r="E492" s="20" t="s">
        <v>38</v>
      </c>
      <c r="F492" s="27"/>
    </row>
    <row r="493">
      <c r="A493" s="26">
        <v>44623.85441075232</v>
      </c>
      <c r="B493" s="20" t="s">
        <v>129</v>
      </c>
      <c r="C493" s="20">
        <v>1311.0</v>
      </c>
      <c r="D493" s="20" t="s">
        <v>2144</v>
      </c>
      <c r="E493" s="20" t="s">
        <v>38</v>
      </c>
      <c r="F493" s="27"/>
    </row>
    <row r="494">
      <c r="A494" s="26">
        <v>44623.85468276621</v>
      </c>
      <c r="B494" s="20" t="s">
        <v>129</v>
      </c>
      <c r="C494" s="20">
        <v>1648.0</v>
      </c>
      <c r="D494" s="20" t="s">
        <v>2144</v>
      </c>
      <c r="E494" s="20" t="s">
        <v>80</v>
      </c>
      <c r="F494" s="27"/>
    </row>
    <row r="495">
      <c r="A495" s="26">
        <v>44623.85516994213</v>
      </c>
      <c r="B495" s="20" t="s">
        <v>129</v>
      </c>
      <c r="C495" s="20">
        <v>1332.0</v>
      </c>
      <c r="D495" s="20" t="s">
        <v>2144</v>
      </c>
      <c r="E495" s="20" t="s">
        <v>2180</v>
      </c>
      <c r="F495" s="27"/>
    </row>
    <row r="496">
      <c r="A496" s="26">
        <v>44623.85554103009</v>
      </c>
      <c r="B496" s="20" t="s">
        <v>129</v>
      </c>
      <c r="C496" s="20">
        <v>1262.0</v>
      </c>
      <c r="D496" s="20" t="s">
        <v>2144</v>
      </c>
      <c r="E496" s="20" t="s">
        <v>2180</v>
      </c>
      <c r="F496" s="27"/>
    </row>
    <row r="497">
      <c r="A497" s="26">
        <v>44623.85572655093</v>
      </c>
      <c r="B497" s="20" t="s">
        <v>129</v>
      </c>
      <c r="C497" s="20">
        <v>483.0</v>
      </c>
      <c r="D497" s="20" t="s">
        <v>2144</v>
      </c>
      <c r="E497" s="20" t="s">
        <v>40</v>
      </c>
      <c r="F497" s="27"/>
    </row>
    <row r="498">
      <c r="A498" s="26">
        <v>44623.855908136575</v>
      </c>
      <c r="B498" s="20" t="s">
        <v>129</v>
      </c>
      <c r="C498" s="20">
        <v>2144.0</v>
      </c>
      <c r="D498" s="20" t="s">
        <v>2144</v>
      </c>
      <c r="E498" s="20" t="s">
        <v>53</v>
      </c>
      <c r="F498" s="27"/>
    </row>
    <row r="499">
      <c r="A499" s="26">
        <v>44623.85617119213</v>
      </c>
      <c r="B499" s="20" t="s">
        <v>129</v>
      </c>
      <c r="C499" s="20">
        <v>2311.0</v>
      </c>
      <c r="D499" s="20" t="s">
        <v>2144</v>
      </c>
      <c r="E499" s="20" t="s">
        <v>53</v>
      </c>
      <c r="F499" s="27"/>
    </row>
    <row r="500">
      <c r="A500" s="26">
        <v>44623.85639216435</v>
      </c>
      <c r="B500" s="20" t="s">
        <v>134</v>
      </c>
      <c r="C500" s="20">
        <v>2441.0</v>
      </c>
      <c r="D500" s="20" t="s">
        <v>2144</v>
      </c>
      <c r="E500" s="20" t="s">
        <v>53</v>
      </c>
      <c r="F500" s="27"/>
    </row>
    <row r="501">
      <c r="A501" s="26">
        <v>44623.856689733795</v>
      </c>
      <c r="B501" s="20" t="s">
        <v>129</v>
      </c>
      <c r="C501" s="20">
        <v>2247.0</v>
      </c>
      <c r="D501" s="20" t="s">
        <v>2144</v>
      </c>
      <c r="E501" s="20" t="s">
        <v>53</v>
      </c>
      <c r="F501" s="27"/>
    </row>
    <row r="502">
      <c r="A502" s="26">
        <v>44623.85694541667</v>
      </c>
      <c r="B502" s="20" t="s">
        <v>129</v>
      </c>
      <c r="C502" s="20">
        <v>2135.0</v>
      </c>
      <c r="D502" s="20" t="s">
        <v>2144</v>
      </c>
      <c r="E502" s="20" t="s">
        <v>115</v>
      </c>
      <c r="F502" s="27"/>
    </row>
    <row r="503">
      <c r="A503" s="26">
        <v>44624.61838197916</v>
      </c>
      <c r="B503" s="20" t="s">
        <v>214</v>
      </c>
      <c r="C503" s="20" t="s">
        <v>53</v>
      </c>
      <c r="D503" s="20" t="s">
        <v>2144</v>
      </c>
      <c r="E503" s="20" t="s">
        <v>53</v>
      </c>
      <c r="F503" s="27"/>
    </row>
    <row r="504">
      <c r="A504" s="26">
        <v>44624.62189609953</v>
      </c>
      <c r="B504" s="20" t="s">
        <v>214</v>
      </c>
      <c r="C504" s="20">
        <v>2115.0</v>
      </c>
      <c r="D504" s="20" t="s">
        <v>2144</v>
      </c>
      <c r="E504" s="20" t="s">
        <v>53</v>
      </c>
      <c r="F504" s="27"/>
    </row>
    <row r="505">
      <c r="A505" s="26">
        <v>44624.628000150464</v>
      </c>
      <c r="B505" s="20" t="s">
        <v>214</v>
      </c>
      <c r="C505" s="20">
        <v>4378.0</v>
      </c>
      <c r="D505" s="20" t="s">
        <v>2148</v>
      </c>
      <c r="E505" s="20" t="s">
        <v>40</v>
      </c>
      <c r="F505" s="27"/>
    </row>
    <row r="506">
      <c r="A506" s="26">
        <v>44624.62855671297</v>
      </c>
      <c r="B506" s="20" t="s">
        <v>214</v>
      </c>
      <c r="C506" s="20">
        <v>5270.0</v>
      </c>
      <c r="D506" s="20" t="s">
        <v>2144</v>
      </c>
      <c r="E506" s="20" t="s">
        <v>53</v>
      </c>
      <c r="F506" s="27"/>
    </row>
    <row r="507">
      <c r="A507" s="26">
        <v>44624.6288877662</v>
      </c>
      <c r="B507" s="20" t="s">
        <v>214</v>
      </c>
      <c r="C507" s="20">
        <v>1444.0</v>
      </c>
      <c r="D507" s="20" t="s">
        <v>2144</v>
      </c>
      <c r="E507" s="20" t="s">
        <v>47</v>
      </c>
      <c r="F507" s="27"/>
    </row>
    <row r="508">
      <c r="A508" s="26">
        <v>44624.629241539355</v>
      </c>
      <c r="B508" s="20" t="s">
        <v>214</v>
      </c>
      <c r="C508" s="20">
        <v>691.0</v>
      </c>
      <c r="D508" s="20" t="s">
        <v>2148</v>
      </c>
      <c r="E508" s="20" t="s">
        <v>36</v>
      </c>
      <c r="F508" s="27"/>
    </row>
    <row r="509">
      <c r="A509" s="26">
        <v>44624.629712106485</v>
      </c>
      <c r="B509" s="20" t="s">
        <v>214</v>
      </c>
      <c r="C509" s="20">
        <v>746.0</v>
      </c>
      <c r="D509" s="20" t="s">
        <v>2144</v>
      </c>
      <c r="E509" s="20" t="s">
        <v>53</v>
      </c>
      <c r="F509" s="27"/>
    </row>
    <row r="510">
      <c r="A510" s="26">
        <v>44624.63255572917</v>
      </c>
      <c r="B510" s="20" t="s">
        <v>214</v>
      </c>
      <c r="C510" s="20">
        <v>756.0</v>
      </c>
      <c r="D510" s="20" t="s">
        <v>2144</v>
      </c>
      <c r="E510" s="20" t="s">
        <v>53</v>
      </c>
      <c r="F510" s="27"/>
    </row>
    <row r="511">
      <c r="A511" s="26">
        <v>44624.84053046296</v>
      </c>
      <c r="B511" s="20" t="s">
        <v>49</v>
      </c>
      <c r="C511" s="20">
        <v>743.0</v>
      </c>
      <c r="D511" s="20" t="s">
        <v>2144</v>
      </c>
      <c r="E511" s="20" t="s">
        <v>47</v>
      </c>
      <c r="F511" s="27"/>
    </row>
    <row r="512">
      <c r="A512" s="26">
        <v>44624.84072986111</v>
      </c>
      <c r="B512" s="20" t="s">
        <v>49</v>
      </c>
      <c r="C512" s="20">
        <v>723.0</v>
      </c>
      <c r="D512" s="20" t="s">
        <v>2144</v>
      </c>
      <c r="E512" s="20" t="s">
        <v>64</v>
      </c>
      <c r="F512" s="27"/>
    </row>
    <row r="513">
      <c r="A513" s="26">
        <v>44625.69934075231</v>
      </c>
      <c r="B513" s="20" t="s">
        <v>55</v>
      </c>
      <c r="C513" s="20">
        <v>533.0</v>
      </c>
      <c r="D513" s="20" t="s">
        <v>2144</v>
      </c>
      <c r="E513" s="20" t="s">
        <v>87</v>
      </c>
      <c r="F513" s="27"/>
    </row>
    <row r="514">
      <c r="A514" s="26">
        <v>44625.69956927083</v>
      </c>
      <c r="B514" s="20" t="s">
        <v>55</v>
      </c>
      <c r="C514" s="20">
        <v>540.0</v>
      </c>
      <c r="D514" s="20" t="s">
        <v>2144</v>
      </c>
      <c r="E514" s="20" t="s">
        <v>64</v>
      </c>
      <c r="F514" s="27"/>
    </row>
    <row r="515">
      <c r="A515" s="26">
        <v>44625.70008729167</v>
      </c>
      <c r="B515" s="20" t="s">
        <v>55</v>
      </c>
      <c r="C515" s="20">
        <v>246.0</v>
      </c>
      <c r="D515" s="20" t="s">
        <v>2144</v>
      </c>
      <c r="E515" s="20" t="s">
        <v>64</v>
      </c>
      <c r="F515" s="27"/>
    </row>
    <row r="516">
      <c r="A516" s="26">
        <v>44625.70173891204</v>
      </c>
      <c r="B516" s="20" t="s">
        <v>55</v>
      </c>
      <c r="C516" s="20" t="s">
        <v>55</v>
      </c>
      <c r="D516" s="20" t="s">
        <v>2144</v>
      </c>
      <c r="E516" s="20" t="s">
        <v>80</v>
      </c>
      <c r="F516" s="27"/>
    </row>
    <row r="517">
      <c r="A517" s="26">
        <v>44625.70200561342</v>
      </c>
      <c r="B517" s="20" t="s">
        <v>55</v>
      </c>
      <c r="C517" s="20">
        <v>628.0</v>
      </c>
      <c r="D517" s="20" t="s">
        <v>2144</v>
      </c>
      <c r="E517" s="20" t="s">
        <v>64</v>
      </c>
      <c r="F517" s="27"/>
    </row>
    <row r="518">
      <c r="A518" s="26">
        <v>44626.54143542824</v>
      </c>
      <c r="B518" s="20" t="s">
        <v>49</v>
      </c>
      <c r="C518" s="20">
        <v>54.0</v>
      </c>
      <c r="D518" s="20" t="s">
        <v>2149</v>
      </c>
      <c r="E518" s="20" t="s">
        <v>64</v>
      </c>
      <c r="F518" s="27"/>
    </row>
    <row r="519">
      <c r="A519" s="26">
        <v>44626.68436158565</v>
      </c>
      <c r="B519" s="20" t="s">
        <v>193</v>
      </c>
      <c r="C519" s="20">
        <v>185.0</v>
      </c>
      <c r="D519" s="20" t="s">
        <v>2144</v>
      </c>
      <c r="E519" s="20" t="s">
        <v>47</v>
      </c>
      <c r="F519" s="27"/>
    </row>
    <row r="520">
      <c r="A520" s="26">
        <v>44626.688802060184</v>
      </c>
      <c r="B520" s="20" t="s">
        <v>193</v>
      </c>
      <c r="C520" s="20">
        <v>197.0</v>
      </c>
      <c r="D520" s="20" t="s">
        <v>2144</v>
      </c>
      <c r="E520" s="20" t="s">
        <v>40</v>
      </c>
      <c r="F520" s="27"/>
    </row>
    <row r="521">
      <c r="A521" s="26">
        <v>44626.69060451389</v>
      </c>
      <c r="B521" s="20" t="s">
        <v>193</v>
      </c>
      <c r="C521" s="20">
        <v>658.0</v>
      </c>
      <c r="D521" s="20" t="s">
        <v>2144</v>
      </c>
      <c r="E521" s="20" t="s">
        <v>2181</v>
      </c>
      <c r="F521" s="27"/>
    </row>
    <row r="522">
      <c r="A522" s="26">
        <v>44626.69305112268</v>
      </c>
      <c r="B522" s="20" t="s">
        <v>193</v>
      </c>
      <c r="C522" s="20">
        <v>784.0</v>
      </c>
      <c r="D522" s="20" t="s">
        <v>2144</v>
      </c>
      <c r="E522" s="20" t="s">
        <v>40</v>
      </c>
      <c r="F522" s="27"/>
    </row>
    <row r="523">
      <c r="A523" s="26">
        <v>44626.69479699074</v>
      </c>
      <c r="B523" s="20" t="s">
        <v>193</v>
      </c>
      <c r="C523" s="20">
        <v>903.0</v>
      </c>
      <c r="D523" s="20" t="s">
        <v>2144</v>
      </c>
      <c r="E523" s="20" t="s">
        <v>40</v>
      </c>
      <c r="F523" s="27"/>
    </row>
    <row r="524">
      <c r="A524" s="26">
        <v>44626.69729430556</v>
      </c>
      <c r="B524" s="20" t="s">
        <v>193</v>
      </c>
      <c r="C524" s="20">
        <v>371.0</v>
      </c>
      <c r="D524" s="20" t="s">
        <v>2144</v>
      </c>
      <c r="E524" s="20" t="s">
        <v>80</v>
      </c>
      <c r="F524" s="27"/>
    </row>
    <row r="525">
      <c r="A525" s="26">
        <v>44626.69896234953</v>
      </c>
      <c r="B525" s="20" t="s">
        <v>193</v>
      </c>
      <c r="C525" s="20">
        <v>650.0</v>
      </c>
      <c r="D525" s="20" t="s">
        <v>2144</v>
      </c>
      <c r="E525" s="20" t="s">
        <v>80</v>
      </c>
      <c r="F525" s="27"/>
    </row>
    <row r="526">
      <c r="A526" s="26">
        <v>44626.7014291088</v>
      </c>
      <c r="B526" s="20" t="s">
        <v>191</v>
      </c>
      <c r="C526" s="20">
        <v>705.0</v>
      </c>
      <c r="D526" s="20" t="s">
        <v>2144</v>
      </c>
      <c r="E526" s="20" t="s">
        <v>40</v>
      </c>
      <c r="F526" s="27"/>
    </row>
    <row r="527">
      <c r="A527" s="26">
        <v>44626.7033978125</v>
      </c>
      <c r="B527" s="20" t="s">
        <v>191</v>
      </c>
      <c r="C527" s="20">
        <v>1764.0</v>
      </c>
      <c r="D527" s="20" t="s">
        <v>2144</v>
      </c>
      <c r="E527" s="20" t="s">
        <v>279</v>
      </c>
      <c r="F527" s="27"/>
    </row>
    <row r="528">
      <c r="A528" s="26">
        <v>44628.56185787037</v>
      </c>
      <c r="B528" s="20" t="s">
        <v>163</v>
      </c>
      <c r="C528" s="20">
        <v>1709.0</v>
      </c>
      <c r="D528" s="20" t="s">
        <v>2144</v>
      </c>
      <c r="E528" s="20" t="s">
        <v>38</v>
      </c>
      <c r="F528" s="27"/>
    </row>
    <row r="529">
      <c r="A529" s="26">
        <v>44628.575563182865</v>
      </c>
      <c r="B529" s="20" t="s">
        <v>163</v>
      </c>
      <c r="C529" s="20">
        <v>335.0</v>
      </c>
      <c r="D529" s="20" t="s">
        <v>2144</v>
      </c>
      <c r="E529" s="20" t="s">
        <v>40</v>
      </c>
      <c r="F529" s="27"/>
    </row>
    <row r="530">
      <c r="A530" s="26">
        <v>44628.579446793985</v>
      </c>
      <c r="B530" s="20" t="s">
        <v>163</v>
      </c>
      <c r="C530" s="20">
        <v>391.0</v>
      </c>
      <c r="D530" s="20" t="s">
        <v>2144</v>
      </c>
      <c r="E530" s="20" t="s">
        <v>40</v>
      </c>
      <c r="F530" s="27"/>
    </row>
    <row r="531">
      <c r="A531" s="26">
        <v>44628.5839174537</v>
      </c>
      <c r="B531" s="20" t="s">
        <v>163</v>
      </c>
      <c r="C531" s="20">
        <v>1198.0</v>
      </c>
      <c r="D531" s="20" t="s">
        <v>2144</v>
      </c>
      <c r="E531" s="20" t="s">
        <v>40</v>
      </c>
      <c r="F531" s="27"/>
    </row>
    <row r="532">
      <c r="A532" s="26">
        <v>44628.59151726852</v>
      </c>
      <c r="B532" s="20" t="s">
        <v>163</v>
      </c>
      <c r="C532" s="20">
        <v>785.0</v>
      </c>
      <c r="D532" s="20" t="s">
        <v>2144</v>
      </c>
      <c r="E532" s="20" t="s">
        <v>80</v>
      </c>
      <c r="F532" s="27"/>
    </row>
    <row r="533">
      <c r="A533" s="26">
        <v>44628.59680644676</v>
      </c>
      <c r="B533" s="20" t="s">
        <v>163</v>
      </c>
      <c r="C533" s="20">
        <v>799.0</v>
      </c>
      <c r="D533" s="20" t="s">
        <v>2144</v>
      </c>
      <c r="E533" s="20" t="s">
        <v>80</v>
      </c>
      <c r="F533" s="27"/>
    </row>
    <row r="534">
      <c r="A534" s="26">
        <v>44628.606242222224</v>
      </c>
      <c r="B534" s="20" t="s">
        <v>163</v>
      </c>
      <c r="C534" s="20">
        <v>1322.0</v>
      </c>
      <c r="D534" s="20" t="s">
        <v>2144</v>
      </c>
      <c r="E534" s="20" t="s">
        <v>80</v>
      </c>
      <c r="F534" s="27"/>
    </row>
    <row r="535">
      <c r="A535" s="26">
        <v>44628.61499256945</v>
      </c>
      <c r="B535" s="20" t="s">
        <v>163</v>
      </c>
      <c r="C535" s="20">
        <v>1274.0</v>
      </c>
      <c r="D535" s="20" t="s">
        <v>2144</v>
      </c>
      <c r="E535" s="20" t="s">
        <v>2182</v>
      </c>
      <c r="F535" s="27"/>
    </row>
    <row r="536">
      <c r="A536" s="26">
        <v>44628.623956944444</v>
      </c>
      <c r="B536" s="20" t="s">
        <v>163</v>
      </c>
      <c r="C536" s="20">
        <v>55.0</v>
      </c>
      <c r="D536" s="20" t="s">
        <v>2144</v>
      </c>
      <c r="E536" s="20" t="s">
        <v>95</v>
      </c>
      <c r="F536" s="27"/>
    </row>
    <row r="537">
      <c r="A537" s="26">
        <v>44628.62439244213</v>
      </c>
      <c r="B537" s="20" t="s">
        <v>163</v>
      </c>
      <c r="C537" s="20">
        <v>52.0</v>
      </c>
      <c r="D537" s="20" t="s">
        <v>2144</v>
      </c>
      <c r="E537" s="20" t="s">
        <v>80</v>
      </c>
      <c r="F537" s="27"/>
    </row>
    <row r="538">
      <c r="A538" s="26">
        <v>44628.80395148148</v>
      </c>
      <c r="B538" s="20" t="s">
        <v>55</v>
      </c>
      <c r="C538" s="20">
        <v>982.0</v>
      </c>
      <c r="D538" s="20" t="s">
        <v>2144</v>
      </c>
      <c r="E538" s="20" t="s">
        <v>80</v>
      </c>
      <c r="F538" s="27"/>
    </row>
    <row r="539">
      <c r="A539" s="26">
        <v>44628.80421674768</v>
      </c>
      <c r="B539" s="20" t="s">
        <v>55</v>
      </c>
      <c r="C539" s="20">
        <v>345.0</v>
      </c>
      <c r="D539" s="20" t="s">
        <v>2144</v>
      </c>
      <c r="E539" s="20" t="s">
        <v>80</v>
      </c>
      <c r="F539" s="27"/>
    </row>
    <row r="540">
      <c r="A540" s="26">
        <v>44628.80541994213</v>
      </c>
      <c r="B540" s="20" t="s">
        <v>55</v>
      </c>
      <c r="C540" s="20">
        <v>1202.0</v>
      </c>
      <c r="D540" s="20" t="s">
        <v>2144</v>
      </c>
      <c r="E540" s="20" t="s">
        <v>157</v>
      </c>
      <c r="F540" s="27"/>
    </row>
    <row r="541">
      <c r="A541" s="26">
        <v>44628.80574596065</v>
      </c>
      <c r="B541" s="20" t="s">
        <v>55</v>
      </c>
      <c r="C541" s="20">
        <v>614.0</v>
      </c>
      <c r="D541" s="20" t="s">
        <v>2144</v>
      </c>
      <c r="E541" s="20" t="s">
        <v>38</v>
      </c>
      <c r="F541" s="27"/>
    </row>
    <row r="542">
      <c r="A542" s="26">
        <v>44628.80610427083</v>
      </c>
      <c r="B542" s="20" t="s">
        <v>55</v>
      </c>
      <c r="C542" s="20">
        <v>947.0</v>
      </c>
      <c r="D542" s="20" t="s">
        <v>2144</v>
      </c>
      <c r="E542" s="20" t="s">
        <v>467</v>
      </c>
      <c r="F542" s="27"/>
    </row>
    <row r="543">
      <c r="A543" s="26">
        <v>44628.80656627315</v>
      </c>
      <c r="B543" s="20" t="s">
        <v>55</v>
      </c>
      <c r="C543" s="20">
        <v>368.0</v>
      </c>
      <c r="D543" s="20" t="s">
        <v>2144</v>
      </c>
      <c r="E543" s="20" t="s">
        <v>657</v>
      </c>
      <c r="F543" s="27"/>
    </row>
    <row r="544">
      <c r="A544" s="26">
        <v>44629.77888697917</v>
      </c>
      <c r="B544" s="20" t="s">
        <v>786</v>
      </c>
      <c r="C544" s="20">
        <v>833.0</v>
      </c>
      <c r="D544" s="20" t="s">
        <v>2144</v>
      </c>
      <c r="E544" s="20" t="s">
        <v>87</v>
      </c>
      <c r="F544" s="27"/>
    </row>
    <row r="545">
      <c r="A545" s="26">
        <v>44629.78162085648</v>
      </c>
      <c r="B545" s="20" t="s">
        <v>786</v>
      </c>
      <c r="C545" s="20">
        <v>1020.0</v>
      </c>
      <c r="D545" s="20" t="s">
        <v>2144</v>
      </c>
      <c r="E545" s="20" t="s">
        <v>40</v>
      </c>
      <c r="F545" s="27"/>
    </row>
    <row r="546">
      <c r="A546" s="26">
        <v>44629.78315802083</v>
      </c>
      <c r="B546" s="20" t="s">
        <v>786</v>
      </c>
      <c r="C546" s="20">
        <v>279.0</v>
      </c>
      <c r="D546" s="20" t="s">
        <v>2144</v>
      </c>
      <c r="E546" s="20" t="s">
        <v>47</v>
      </c>
      <c r="F546" s="27"/>
    </row>
    <row r="547">
      <c r="A547" s="26">
        <v>44629.7848203125</v>
      </c>
      <c r="B547" s="20" t="s">
        <v>786</v>
      </c>
      <c r="C547" s="20">
        <v>273.0</v>
      </c>
      <c r="D547" s="20" t="s">
        <v>2144</v>
      </c>
      <c r="E547" s="20" t="s">
        <v>80</v>
      </c>
      <c r="F547" s="27"/>
    </row>
    <row r="548">
      <c r="A548" s="26">
        <v>44629.786386458334</v>
      </c>
      <c r="B548" s="20" t="s">
        <v>786</v>
      </c>
      <c r="C548" s="20">
        <v>1147.0</v>
      </c>
      <c r="D548" s="20" t="s">
        <v>2144</v>
      </c>
      <c r="E548" s="20" t="s">
        <v>80</v>
      </c>
      <c r="F548" s="27"/>
    </row>
    <row r="549">
      <c r="A549" s="26">
        <v>44629.78840677084</v>
      </c>
      <c r="B549" s="20" t="s">
        <v>786</v>
      </c>
      <c r="C549" s="20">
        <v>709.0</v>
      </c>
      <c r="D549" s="20" t="s">
        <v>2144</v>
      </c>
      <c r="E549" s="20" t="s">
        <v>80</v>
      </c>
      <c r="F549" s="27"/>
    </row>
    <row r="550">
      <c r="A550" s="26">
        <v>44632.46468409723</v>
      </c>
      <c r="B550" s="20" t="s">
        <v>49</v>
      </c>
      <c r="C550" s="20">
        <v>829.0</v>
      </c>
      <c r="D550" s="20" t="s">
        <v>2148</v>
      </c>
      <c r="E550" s="20" t="s">
        <v>40</v>
      </c>
      <c r="F550" s="27"/>
    </row>
    <row r="551">
      <c r="A551" s="26">
        <v>44632.4649125</v>
      </c>
      <c r="B551" s="20" t="s">
        <v>49</v>
      </c>
      <c r="C551" s="20">
        <v>818.0</v>
      </c>
      <c r="D551" s="20" t="s">
        <v>2148</v>
      </c>
      <c r="E551" s="20" t="s">
        <v>40</v>
      </c>
      <c r="F551" s="27"/>
    </row>
    <row r="552">
      <c r="A552" s="26">
        <v>44632.46508505787</v>
      </c>
      <c r="B552" s="20" t="s">
        <v>49</v>
      </c>
      <c r="C552" s="20">
        <v>819.0</v>
      </c>
      <c r="D552" s="20" t="s">
        <v>2148</v>
      </c>
      <c r="E552" s="20" t="s">
        <v>40</v>
      </c>
      <c r="F552" s="27"/>
    </row>
    <row r="553">
      <c r="A553" s="26">
        <v>44632.46527023148</v>
      </c>
      <c r="B553" s="20" t="s">
        <v>49</v>
      </c>
      <c r="C553" s="20">
        <v>820.0</v>
      </c>
      <c r="D553" s="20" t="s">
        <v>2148</v>
      </c>
      <c r="E553" s="20" t="s">
        <v>40</v>
      </c>
      <c r="F553" s="27"/>
    </row>
    <row r="554">
      <c r="A554" s="26">
        <v>44632.465508506946</v>
      </c>
      <c r="B554" s="20" t="s">
        <v>49</v>
      </c>
      <c r="C554" s="20">
        <v>846.0</v>
      </c>
      <c r="D554" s="20" t="s">
        <v>2148</v>
      </c>
      <c r="E554" s="20" t="s">
        <v>40</v>
      </c>
      <c r="F554" s="27"/>
    </row>
    <row r="555">
      <c r="A555" s="26">
        <v>44632.4657421875</v>
      </c>
      <c r="B555" s="20" t="s">
        <v>49</v>
      </c>
      <c r="C555" s="20">
        <v>817.0</v>
      </c>
      <c r="D555" s="20" t="s">
        <v>2148</v>
      </c>
      <c r="E555" s="20" t="s">
        <v>40</v>
      </c>
      <c r="F555" s="27"/>
    </row>
    <row r="556">
      <c r="A556" s="26">
        <v>44632.55749395833</v>
      </c>
      <c r="B556" s="20" t="s">
        <v>2183</v>
      </c>
      <c r="C556" s="20">
        <v>1450.0</v>
      </c>
      <c r="D556" s="20" t="s">
        <v>2144</v>
      </c>
      <c r="E556" s="20" t="s">
        <v>38</v>
      </c>
      <c r="F556" s="27"/>
    </row>
    <row r="557">
      <c r="A557" s="26">
        <v>44632.558056458336</v>
      </c>
      <c r="B557" s="20" t="s">
        <v>248</v>
      </c>
      <c r="C557" s="20">
        <v>1598.0</v>
      </c>
      <c r="D557" s="20" t="s">
        <v>2144</v>
      </c>
      <c r="E557" s="20" t="s">
        <v>38</v>
      </c>
      <c r="F557" s="27"/>
    </row>
    <row r="558">
      <c r="A558" s="26">
        <v>44632.56057393519</v>
      </c>
      <c r="B558" s="20" t="s">
        <v>249</v>
      </c>
      <c r="C558" s="20">
        <v>1138.0</v>
      </c>
      <c r="D558" s="20" t="s">
        <v>2144</v>
      </c>
      <c r="E558" s="20" t="s">
        <v>38</v>
      </c>
      <c r="F558" s="27"/>
    </row>
    <row r="559">
      <c r="A559" s="26">
        <v>44632.56126123843</v>
      </c>
      <c r="B559" s="20" t="s">
        <v>249</v>
      </c>
      <c r="C559" s="20">
        <v>561.0</v>
      </c>
      <c r="D559" s="20" t="s">
        <v>2144</v>
      </c>
      <c r="E559" s="20" t="s">
        <v>40</v>
      </c>
      <c r="F559" s="27"/>
    </row>
    <row r="560">
      <c r="A560" s="26">
        <v>44632.56185037037</v>
      </c>
      <c r="B560" s="20" t="s">
        <v>249</v>
      </c>
      <c r="C560" s="20">
        <v>372.0</v>
      </c>
      <c r="D560" s="20" t="s">
        <v>2144</v>
      </c>
      <c r="E560" s="20" t="s">
        <v>40</v>
      </c>
      <c r="F560" s="27"/>
    </row>
    <row r="561">
      <c r="A561" s="26">
        <v>44632.562778865744</v>
      </c>
      <c r="B561" s="20" t="s">
        <v>249</v>
      </c>
      <c r="C561" s="20">
        <v>1313.0</v>
      </c>
      <c r="D561" s="20" t="s">
        <v>2144</v>
      </c>
      <c r="E561" s="20" t="s">
        <v>279</v>
      </c>
      <c r="F561" s="27"/>
    </row>
    <row r="562">
      <c r="A562" s="26">
        <v>44632.56341054398</v>
      </c>
      <c r="B562" s="20" t="s">
        <v>249</v>
      </c>
      <c r="C562" s="20">
        <v>384.0</v>
      </c>
      <c r="D562" s="20" t="s">
        <v>2144</v>
      </c>
      <c r="E562" s="20" t="s">
        <v>95</v>
      </c>
      <c r="F562" s="27"/>
    </row>
    <row r="563">
      <c r="A563" s="26">
        <v>44632.66748305556</v>
      </c>
      <c r="B563" s="20" t="s">
        <v>249</v>
      </c>
      <c r="C563" s="20">
        <v>141.0</v>
      </c>
      <c r="D563" s="20" t="s">
        <v>2144</v>
      </c>
      <c r="E563" s="20" t="s">
        <v>2184</v>
      </c>
      <c r="F563" s="27"/>
    </row>
    <row r="564">
      <c r="A564" s="26">
        <v>44632.669103622684</v>
      </c>
      <c r="B564" s="20" t="s">
        <v>249</v>
      </c>
      <c r="C564" s="20">
        <v>1067.0</v>
      </c>
      <c r="D564" s="20" t="s">
        <v>2144</v>
      </c>
      <c r="E564" s="20" t="s">
        <v>93</v>
      </c>
      <c r="F564" s="27"/>
    </row>
    <row r="565">
      <c r="A565" s="26">
        <v>44632.6710162963</v>
      </c>
      <c r="B565" s="20" t="s">
        <v>249</v>
      </c>
      <c r="C565" s="20">
        <v>1071.0</v>
      </c>
      <c r="D565" s="20" t="s">
        <v>2144</v>
      </c>
      <c r="E565" s="20" t="s">
        <v>2185</v>
      </c>
      <c r="F565" s="27"/>
    </row>
    <row r="566">
      <c r="A566" s="26">
        <v>44632.67152203704</v>
      </c>
      <c r="B566" s="20" t="s">
        <v>249</v>
      </c>
      <c r="C566" s="20">
        <v>1146.0</v>
      </c>
      <c r="D566" s="20" t="s">
        <v>2144</v>
      </c>
      <c r="E566" s="20" t="s">
        <v>2186</v>
      </c>
      <c r="F566" s="27"/>
    </row>
    <row r="567">
      <c r="A567" s="26">
        <v>44632.67284023148</v>
      </c>
      <c r="B567" s="20" t="s">
        <v>249</v>
      </c>
      <c r="C567" s="20">
        <v>1201.0</v>
      </c>
      <c r="D567" s="20" t="s">
        <v>2144</v>
      </c>
      <c r="E567" s="20" t="s">
        <v>2185</v>
      </c>
      <c r="F567" s="27"/>
    </row>
    <row r="568">
      <c r="A568" s="26">
        <v>44632.675202094906</v>
      </c>
      <c r="B568" s="20" t="s">
        <v>249</v>
      </c>
      <c r="C568" s="20">
        <v>1201.0</v>
      </c>
      <c r="D568" s="20" t="s">
        <v>2144</v>
      </c>
      <c r="E568" s="20" t="s">
        <v>2185</v>
      </c>
      <c r="F568" s="27"/>
    </row>
    <row r="569">
      <c r="A569" s="26">
        <v>44632.675708483795</v>
      </c>
      <c r="B569" s="20" t="s">
        <v>249</v>
      </c>
      <c r="C569" s="20">
        <v>1380.0</v>
      </c>
      <c r="D569" s="20" t="s">
        <v>2144</v>
      </c>
      <c r="E569" s="20" t="s">
        <v>58</v>
      </c>
      <c r="F569" s="27"/>
    </row>
    <row r="570">
      <c r="A570" s="26">
        <v>44633.61960380787</v>
      </c>
      <c r="B570" s="20" t="s">
        <v>249</v>
      </c>
      <c r="C570" s="20">
        <v>566.0</v>
      </c>
      <c r="D570" s="20" t="s">
        <v>2144</v>
      </c>
      <c r="E570" s="20" t="s">
        <v>47</v>
      </c>
      <c r="F570" s="27"/>
    </row>
    <row r="571">
      <c r="A571" s="26">
        <v>44633.61999576389</v>
      </c>
      <c r="B571" s="20" t="s">
        <v>249</v>
      </c>
      <c r="C571" s="20">
        <v>361.0</v>
      </c>
      <c r="D571" s="20" t="s">
        <v>2144</v>
      </c>
      <c r="E571" s="20" t="s">
        <v>40</v>
      </c>
      <c r="F571" s="27"/>
    </row>
    <row r="572">
      <c r="A572" s="26">
        <v>44633.620352673606</v>
      </c>
      <c r="B572" s="20" t="s">
        <v>249</v>
      </c>
      <c r="C572" s="20">
        <v>669.0</v>
      </c>
      <c r="D572" s="20" t="s">
        <v>2144</v>
      </c>
      <c r="E572" s="20" t="s">
        <v>40</v>
      </c>
      <c r="F572" s="27"/>
    </row>
    <row r="573">
      <c r="A573" s="26">
        <v>44633.620664201386</v>
      </c>
      <c r="B573" s="20" t="s">
        <v>249</v>
      </c>
      <c r="C573" s="20">
        <v>594.0</v>
      </c>
      <c r="D573" s="20" t="s">
        <v>2144</v>
      </c>
      <c r="E573" s="20" t="s">
        <v>80</v>
      </c>
      <c r="F573" s="27"/>
    </row>
    <row r="574">
      <c r="A574" s="26">
        <v>44633.620981932865</v>
      </c>
      <c r="B574" s="20" t="s">
        <v>2187</v>
      </c>
      <c r="C574" s="20">
        <v>1570.0</v>
      </c>
      <c r="D574" s="20" t="s">
        <v>2144</v>
      </c>
      <c r="E574" s="20" t="s">
        <v>80</v>
      </c>
      <c r="F574" s="27"/>
    </row>
    <row r="575">
      <c r="A575" s="26">
        <v>44633.62127482639</v>
      </c>
      <c r="B575" s="20" t="s">
        <v>249</v>
      </c>
      <c r="C575" s="20">
        <v>1433.0</v>
      </c>
      <c r="D575" s="20" t="s">
        <v>2144</v>
      </c>
      <c r="E575" s="20" t="s">
        <v>38</v>
      </c>
      <c r="F575" s="27"/>
    </row>
    <row r="576">
      <c r="A576" s="26">
        <v>44633.779219247685</v>
      </c>
      <c r="B576" s="20" t="s">
        <v>49</v>
      </c>
      <c r="C576" s="20">
        <v>635.0</v>
      </c>
      <c r="D576" s="20" t="s">
        <v>2144</v>
      </c>
      <c r="E576" s="20" t="s">
        <v>80</v>
      </c>
      <c r="F576" s="27"/>
    </row>
    <row r="577">
      <c r="A577" s="26">
        <v>44633.779624884264</v>
      </c>
      <c r="B577" s="20" t="s">
        <v>49</v>
      </c>
      <c r="C577" s="20">
        <v>1583.0</v>
      </c>
      <c r="D577" s="20" t="s">
        <v>2144</v>
      </c>
      <c r="E577" s="20" t="s">
        <v>80</v>
      </c>
      <c r="F577" s="27"/>
    </row>
    <row r="578">
      <c r="A578" s="26">
        <v>44633.78010554398</v>
      </c>
      <c r="B578" s="20" t="s">
        <v>49</v>
      </c>
      <c r="C578" s="20">
        <v>335.0</v>
      </c>
      <c r="D578" s="20" t="s">
        <v>2144</v>
      </c>
      <c r="E578" s="20" t="s">
        <v>95</v>
      </c>
      <c r="F578" s="27"/>
    </row>
    <row r="579">
      <c r="A579" s="26">
        <v>44633.78058717593</v>
      </c>
      <c r="B579" s="20" t="s">
        <v>49</v>
      </c>
      <c r="C579" s="20">
        <v>591.0</v>
      </c>
      <c r="D579" s="20" t="s">
        <v>2144</v>
      </c>
      <c r="E579" s="20" t="s">
        <v>80</v>
      </c>
      <c r="F579" s="27"/>
    </row>
    <row r="580">
      <c r="A580" s="26">
        <v>44633.78123350695</v>
      </c>
      <c r="B580" s="20" t="s">
        <v>49</v>
      </c>
      <c r="C580" s="20">
        <v>506.0</v>
      </c>
      <c r="D580" s="20" t="s">
        <v>2144</v>
      </c>
      <c r="E580" s="20" t="s">
        <v>40</v>
      </c>
      <c r="F580" s="27"/>
    </row>
    <row r="581">
      <c r="A581" s="26">
        <v>44633.78170707176</v>
      </c>
      <c r="B581" s="20" t="s">
        <v>49</v>
      </c>
      <c r="C581" s="20">
        <v>895.0</v>
      </c>
      <c r="D581" s="20" t="s">
        <v>2144</v>
      </c>
      <c r="E581" s="20" t="s">
        <v>40</v>
      </c>
      <c r="F581" s="27"/>
    </row>
    <row r="582">
      <c r="A582" s="26">
        <v>44633.78217318287</v>
      </c>
      <c r="B582" s="20" t="s">
        <v>49</v>
      </c>
      <c r="C582" s="20">
        <v>445.0</v>
      </c>
      <c r="D582" s="20" t="s">
        <v>2144</v>
      </c>
      <c r="E582" s="20" t="s">
        <v>40</v>
      </c>
      <c r="F582" s="27"/>
    </row>
    <row r="583">
      <c r="A583" s="26">
        <v>44636.839230833335</v>
      </c>
      <c r="B583" s="20" t="s">
        <v>49</v>
      </c>
      <c r="C583" s="20">
        <v>468.0</v>
      </c>
      <c r="D583" s="20" t="s">
        <v>2144</v>
      </c>
      <c r="E583" s="20" t="s">
        <v>2188</v>
      </c>
      <c r="F583" s="27"/>
    </row>
    <row r="584">
      <c r="A584" s="26">
        <v>44636.83953701389</v>
      </c>
      <c r="B584" s="20" t="s">
        <v>49</v>
      </c>
      <c r="C584" s="20">
        <v>1273.0</v>
      </c>
      <c r="D584" s="20" t="s">
        <v>2144</v>
      </c>
      <c r="E584" s="20" t="s">
        <v>38</v>
      </c>
      <c r="F584" s="27"/>
    </row>
    <row r="585">
      <c r="A585" s="26">
        <v>44636.839911076386</v>
      </c>
      <c r="B585" s="20" t="s">
        <v>49</v>
      </c>
      <c r="C585" s="20">
        <v>938.0</v>
      </c>
      <c r="D585" s="20" t="s">
        <v>2144</v>
      </c>
      <c r="E585" s="20" t="s">
        <v>2189</v>
      </c>
      <c r="F585" s="27"/>
    </row>
    <row r="586">
      <c r="A586" s="26">
        <v>44636.84020391204</v>
      </c>
      <c r="B586" s="20" t="s">
        <v>49</v>
      </c>
      <c r="C586" s="20">
        <v>339.0</v>
      </c>
      <c r="D586" s="20" t="s">
        <v>2144</v>
      </c>
      <c r="E586" s="20" t="s">
        <v>80</v>
      </c>
      <c r="F586" s="27"/>
    </row>
    <row r="587">
      <c r="A587" s="26">
        <v>44637.55347136574</v>
      </c>
      <c r="B587" s="20" t="s">
        <v>49</v>
      </c>
      <c r="C587" s="20">
        <v>742.0</v>
      </c>
      <c r="D587" s="20" t="s">
        <v>2149</v>
      </c>
      <c r="E587" s="20" t="s">
        <v>64</v>
      </c>
      <c r="F587" s="27"/>
    </row>
    <row r="588">
      <c r="A588" s="26">
        <v>44637.55364287037</v>
      </c>
      <c r="B588" s="20" t="s">
        <v>49</v>
      </c>
      <c r="C588" s="20">
        <v>211.0</v>
      </c>
      <c r="D588" s="20" t="s">
        <v>2149</v>
      </c>
      <c r="E588" s="20" t="s">
        <v>64</v>
      </c>
      <c r="F588" s="27"/>
    </row>
    <row r="589">
      <c r="A589" s="26">
        <v>44638.5412809838</v>
      </c>
      <c r="B589" s="20" t="s">
        <v>2190</v>
      </c>
      <c r="C589" s="20">
        <v>675.0</v>
      </c>
      <c r="D589" s="20" t="s">
        <v>2148</v>
      </c>
      <c r="E589" s="20" t="s">
        <v>40</v>
      </c>
      <c r="F589" s="27"/>
    </row>
    <row r="590">
      <c r="A590" s="26">
        <v>44638.542012997685</v>
      </c>
      <c r="B590" s="20" t="s">
        <v>288</v>
      </c>
      <c r="C590" s="20">
        <v>548.0</v>
      </c>
      <c r="D590" s="20" t="s">
        <v>2148</v>
      </c>
      <c r="E590" s="20" t="s">
        <v>40</v>
      </c>
      <c r="F590" s="27"/>
    </row>
    <row r="591">
      <c r="A591" s="26">
        <v>44638.54458412037</v>
      </c>
      <c r="B591" s="20" t="s">
        <v>288</v>
      </c>
      <c r="C591" s="20">
        <v>656.0</v>
      </c>
      <c r="D591" s="20" t="s">
        <v>2148</v>
      </c>
      <c r="E591" s="20" t="s">
        <v>40</v>
      </c>
      <c r="F591" s="27"/>
    </row>
    <row r="592">
      <c r="A592" s="26">
        <v>44638.54648868056</v>
      </c>
      <c r="B592" s="20" t="s">
        <v>288</v>
      </c>
      <c r="C592" s="20">
        <v>646.0</v>
      </c>
      <c r="D592" s="20" t="s">
        <v>2148</v>
      </c>
      <c r="E592" s="20" t="s">
        <v>40</v>
      </c>
      <c r="F592" s="27"/>
    </row>
    <row r="593">
      <c r="A593" s="26">
        <v>44638.54840748843</v>
      </c>
      <c r="B593" s="20" t="s">
        <v>291</v>
      </c>
      <c r="C593" s="20">
        <v>615.0</v>
      </c>
      <c r="D593" s="20" t="s">
        <v>2148</v>
      </c>
      <c r="E593" s="20" t="s">
        <v>40</v>
      </c>
      <c r="F593" s="27"/>
    </row>
    <row r="594">
      <c r="A594" s="26">
        <v>44638.55033736111</v>
      </c>
      <c r="B594" s="20" t="s">
        <v>973</v>
      </c>
      <c r="C594" s="20">
        <v>679.0</v>
      </c>
      <c r="D594" s="20" t="s">
        <v>2148</v>
      </c>
      <c r="E594" s="20" t="s">
        <v>40</v>
      </c>
      <c r="F594" s="27"/>
    </row>
    <row r="595">
      <c r="A595" s="26">
        <v>44638.86913651621</v>
      </c>
      <c r="B595" s="20" t="s">
        <v>55</v>
      </c>
      <c r="C595" s="20">
        <v>1560.0</v>
      </c>
      <c r="D595" s="20" t="s">
        <v>2144</v>
      </c>
      <c r="E595" s="20" t="s">
        <v>53</v>
      </c>
      <c r="F595" s="27"/>
    </row>
    <row r="596">
      <c r="A596" s="26">
        <v>44638.869319618054</v>
      </c>
      <c r="B596" s="20" t="s">
        <v>55</v>
      </c>
      <c r="C596" s="20">
        <v>2134.0</v>
      </c>
      <c r="D596" s="20" t="s">
        <v>2144</v>
      </c>
      <c r="E596" s="20" t="s">
        <v>53</v>
      </c>
      <c r="F596" s="27"/>
    </row>
    <row r="597">
      <c r="A597" s="26">
        <v>44638.869574745375</v>
      </c>
      <c r="B597" s="20" t="s">
        <v>55</v>
      </c>
      <c r="C597" s="20">
        <v>893.0</v>
      </c>
      <c r="D597" s="20" t="s">
        <v>2144</v>
      </c>
      <c r="E597" s="20" t="s">
        <v>559</v>
      </c>
      <c r="F597" s="27"/>
    </row>
    <row r="598">
      <c r="A598" s="26">
        <v>44638.86979019676</v>
      </c>
      <c r="B598" s="20" t="s">
        <v>55</v>
      </c>
      <c r="C598" s="20">
        <v>596.0</v>
      </c>
      <c r="D598" s="20" t="s">
        <v>2144</v>
      </c>
      <c r="E598" s="20" t="s">
        <v>80</v>
      </c>
      <c r="F598" s="27"/>
    </row>
    <row r="599">
      <c r="A599" s="26">
        <v>44638.8701050463</v>
      </c>
      <c r="B599" s="20" t="s">
        <v>55</v>
      </c>
      <c r="C599" s="20">
        <v>943.0</v>
      </c>
      <c r="D599" s="20" t="s">
        <v>2144</v>
      </c>
      <c r="E599" s="20" t="s">
        <v>80</v>
      </c>
      <c r="F599" s="27"/>
    </row>
    <row r="600">
      <c r="A600" s="26">
        <v>44638.87061068287</v>
      </c>
      <c r="B600" s="20" t="s">
        <v>55</v>
      </c>
      <c r="C600" s="20">
        <v>638.0</v>
      </c>
      <c r="D600" s="20" t="s">
        <v>2144</v>
      </c>
      <c r="E600" s="20" t="s">
        <v>38</v>
      </c>
      <c r="F600" s="27"/>
    </row>
    <row r="601">
      <c r="A601" s="26">
        <v>44638.87078167824</v>
      </c>
      <c r="B601" s="20" t="s">
        <v>55</v>
      </c>
      <c r="C601" s="20">
        <v>665.0</v>
      </c>
      <c r="D601" s="20" t="s">
        <v>2144</v>
      </c>
      <c r="E601" s="20" t="s">
        <v>38</v>
      </c>
      <c r="F601" s="27"/>
    </row>
    <row r="602">
      <c r="A602" s="26">
        <v>44638.871014282406</v>
      </c>
      <c r="B602" s="20" t="s">
        <v>55</v>
      </c>
      <c r="C602" s="20">
        <v>202.0</v>
      </c>
      <c r="D602" s="20" t="s">
        <v>2144</v>
      </c>
      <c r="E602" s="20" t="s">
        <v>47</v>
      </c>
      <c r="F602" s="27"/>
    </row>
    <row r="603">
      <c r="A603" s="26">
        <v>44638.871204571755</v>
      </c>
      <c r="B603" s="20" t="s">
        <v>55</v>
      </c>
      <c r="C603" s="20">
        <v>998.0</v>
      </c>
      <c r="D603" s="20" t="s">
        <v>2144</v>
      </c>
      <c r="E603" s="20" t="s">
        <v>47</v>
      </c>
      <c r="F603" s="27"/>
    </row>
    <row r="604">
      <c r="A604" s="26">
        <v>44638.87142278935</v>
      </c>
      <c r="B604" s="20" t="s">
        <v>55</v>
      </c>
      <c r="C604" s="20">
        <v>1065.0</v>
      </c>
      <c r="D604" s="20" t="s">
        <v>2144</v>
      </c>
      <c r="E604" s="20" t="s">
        <v>47</v>
      </c>
      <c r="F604" s="27"/>
    </row>
    <row r="605">
      <c r="A605" s="26">
        <v>44638.8716369676</v>
      </c>
      <c r="B605" s="20" t="s">
        <v>55</v>
      </c>
      <c r="C605" s="20">
        <v>1529.0</v>
      </c>
      <c r="D605" s="20" t="s">
        <v>2144</v>
      </c>
      <c r="E605" s="20" t="s">
        <v>38</v>
      </c>
      <c r="F605" s="27"/>
    </row>
    <row r="606">
      <c r="A606" s="26">
        <v>44640.710978414354</v>
      </c>
      <c r="B606" s="20" t="s">
        <v>63</v>
      </c>
      <c r="C606" s="20">
        <v>418.0</v>
      </c>
      <c r="D606" s="20" t="s">
        <v>2144</v>
      </c>
      <c r="E606" s="20" t="s">
        <v>80</v>
      </c>
      <c r="F606" s="27"/>
    </row>
    <row r="607">
      <c r="A607" s="26">
        <v>44640.71229009259</v>
      </c>
      <c r="B607" s="20" t="s">
        <v>63</v>
      </c>
      <c r="C607" s="20">
        <v>912.0</v>
      </c>
      <c r="D607" s="20" t="s">
        <v>2144</v>
      </c>
      <c r="E607" s="20" t="s">
        <v>2191</v>
      </c>
      <c r="F607" s="27"/>
    </row>
    <row r="608">
      <c r="A608" s="26">
        <v>44640.713503935185</v>
      </c>
      <c r="B608" s="20" t="s">
        <v>63</v>
      </c>
      <c r="C608" s="20">
        <v>638.0</v>
      </c>
      <c r="D608" s="20" t="s">
        <v>2144</v>
      </c>
      <c r="E608" s="20" t="s">
        <v>36</v>
      </c>
      <c r="F608" s="27"/>
    </row>
    <row r="609">
      <c r="A609" s="26">
        <v>44640.71691724537</v>
      </c>
      <c r="B609" s="20" t="s">
        <v>63</v>
      </c>
      <c r="C609" s="20">
        <v>300.0</v>
      </c>
      <c r="D609" s="20" t="s">
        <v>2144</v>
      </c>
      <c r="E609" s="20" t="s">
        <v>80</v>
      </c>
      <c r="F609" s="27"/>
    </row>
    <row r="610">
      <c r="A610" s="26">
        <v>44641.87935587963</v>
      </c>
      <c r="B610" s="20" t="s">
        <v>55</v>
      </c>
      <c r="C610" s="20">
        <v>1097.0</v>
      </c>
      <c r="D610" s="20" t="s">
        <v>2144</v>
      </c>
      <c r="E610" s="20" t="s">
        <v>80</v>
      </c>
      <c r="F610" s="27"/>
    </row>
    <row r="611">
      <c r="A611" s="26">
        <v>44641.87948684028</v>
      </c>
      <c r="B611" s="20" t="s">
        <v>55</v>
      </c>
      <c r="C611" s="20">
        <v>1121.0</v>
      </c>
      <c r="D611" s="20" t="s">
        <v>2144</v>
      </c>
      <c r="E611" s="20" t="s">
        <v>80</v>
      </c>
      <c r="F611" s="27"/>
    </row>
    <row r="612">
      <c r="A612" s="26">
        <v>44641.87962665509</v>
      </c>
      <c r="B612" s="20" t="s">
        <v>55</v>
      </c>
      <c r="C612" s="20">
        <v>1389.0</v>
      </c>
      <c r="D612" s="20" t="s">
        <v>2144</v>
      </c>
      <c r="E612" s="20" t="s">
        <v>38</v>
      </c>
      <c r="F612" s="27"/>
    </row>
    <row r="613">
      <c r="A613" s="26">
        <v>44641.879783553246</v>
      </c>
      <c r="B613" s="20" t="s">
        <v>55</v>
      </c>
      <c r="C613" s="20">
        <v>660.0</v>
      </c>
      <c r="D613" s="20" t="s">
        <v>2144</v>
      </c>
      <c r="E613" s="20" t="s">
        <v>38</v>
      </c>
      <c r="F613" s="27"/>
    </row>
    <row r="614">
      <c r="A614" s="26">
        <v>44642.65678462963</v>
      </c>
      <c r="B614" s="20" t="s">
        <v>163</v>
      </c>
      <c r="C614" s="20">
        <v>640.0</v>
      </c>
      <c r="D614" s="20" t="s">
        <v>2144</v>
      </c>
      <c r="E614" s="20" t="s">
        <v>56</v>
      </c>
      <c r="F614" s="27"/>
    </row>
    <row r="615">
      <c r="A615" s="26">
        <v>44642.65805991898</v>
      </c>
      <c r="B615" s="20" t="s">
        <v>163</v>
      </c>
      <c r="C615" s="20">
        <v>896.0</v>
      </c>
      <c r="D615" s="20" t="s">
        <v>2144</v>
      </c>
      <c r="E615" s="20" t="s">
        <v>80</v>
      </c>
      <c r="F615" s="27"/>
    </row>
    <row r="616">
      <c r="A616" s="26">
        <v>44642.66195009259</v>
      </c>
      <c r="B616" s="20" t="s">
        <v>163</v>
      </c>
      <c r="C616" s="20">
        <v>158.0</v>
      </c>
      <c r="D616" s="20" t="s">
        <v>2144</v>
      </c>
      <c r="E616" s="20" t="s">
        <v>95</v>
      </c>
      <c r="F616" s="27"/>
    </row>
    <row r="617">
      <c r="A617" s="26">
        <v>44642.662656342596</v>
      </c>
      <c r="B617" s="20" t="s">
        <v>163</v>
      </c>
      <c r="C617" s="20">
        <v>158.0</v>
      </c>
      <c r="D617" s="20" t="s">
        <v>2144</v>
      </c>
      <c r="E617" s="20" t="s">
        <v>95</v>
      </c>
      <c r="F617" s="27"/>
    </row>
    <row r="618">
      <c r="A618" s="26">
        <v>44643.87294767361</v>
      </c>
      <c r="B618" s="20" t="s">
        <v>49</v>
      </c>
      <c r="C618" s="20">
        <v>560.0</v>
      </c>
      <c r="D618" s="20" t="s">
        <v>2192</v>
      </c>
      <c r="E618" s="20" t="s">
        <v>64</v>
      </c>
      <c r="F618" s="27"/>
    </row>
    <row r="619">
      <c r="A619" s="26">
        <v>44643.87352263889</v>
      </c>
      <c r="B619" s="20" t="s">
        <v>49</v>
      </c>
      <c r="C619" s="20">
        <v>645.0</v>
      </c>
      <c r="D619" s="20" t="s">
        <v>2192</v>
      </c>
      <c r="E619" s="20" t="s">
        <v>64</v>
      </c>
      <c r="F619" s="27"/>
    </row>
    <row r="620">
      <c r="A620" s="26">
        <v>44643.87413527777</v>
      </c>
      <c r="B620" s="20" t="s">
        <v>49</v>
      </c>
      <c r="C620" s="20">
        <v>270.0</v>
      </c>
      <c r="D620" s="20" t="s">
        <v>2192</v>
      </c>
      <c r="E620" s="20" t="s">
        <v>2193</v>
      </c>
      <c r="F620" s="27"/>
    </row>
    <row r="621">
      <c r="A621" s="26">
        <v>44644.824111458336</v>
      </c>
      <c r="B621" s="20" t="s">
        <v>129</v>
      </c>
      <c r="C621" s="20">
        <v>311.0</v>
      </c>
      <c r="D621" s="20" t="s">
        <v>2144</v>
      </c>
      <c r="E621" s="20" t="s">
        <v>2194</v>
      </c>
      <c r="F621" s="27"/>
    </row>
    <row r="622">
      <c r="A622" s="26">
        <v>44644.8245105324</v>
      </c>
      <c r="B622" s="20" t="s">
        <v>129</v>
      </c>
      <c r="C622" s="20">
        <v>391.0</v>
      </c>
      <c r="D622" s="20" t="s">
        <v>2144</v>
      </c>
      <c r="E622" s="20" t="s">
        <v>80</v>
      </c>
      <c r="F622" s="27"/>
    </row>
    <row r="623">
      <c r="A623" s="26">
        <v>44644.8246809375</v>
      </c>
      <c r="B623" s="20" t="s">
        <v>129</v>
      </c>
      <c r="C623" s="20">
        <v>1183.0</v>
      </c>
      <c r="D623" s="20" t="s">
        <v>2144</v>
      </c>
      <c r="E623" s="20" t="s">
        <v>80</v>
      </c>
      <c r="F623" s="27"/>
    </row>
    <row r="624">
      <c r="A624" s="26">
        <v>44644.82492745371</v>
      </c>
      <c r="B624" s="20" t="s">
        <v>129</v>
      </c>
      <c r="C624" s="20">
        <v>1121.0</v>
      </c>
      <c r="D624" s="20" t="s">
        <v>2144</v>
      </c>
      <c r="E624" s="20" t="s">
        <v>40</v>
      </c>
      <c r="F624" s="27"/>
    </row>
    <row r="625">
      <c r="A625" s="26">
        <v>44644.82526684028</v>
      </c>
      <c r="B625" s="20" t="s">
        <v>129</v>
      </c>
      <c r="C625" s="20">
        <v>1039.0</v>
      </c>
      <c r="D625" s="20" t="s">
        <v>2144</v>
      </c>
      <c r="E625" s="20" t="s">
        <v>40</v>
      </c>
      <c r="F625" s="27"/>
    </row>
    <row r="626">
      <c r="A626" s="26">
        <v>44644.82545650463</v>
      </c>
      <c r="B626" s="20" t="s">
        <v>129</v>
      </c>
      <c r="C626" s="20">
        <v>1209.0</v>
      </c>
      <c r="D626" s="20" t="s">
        <v>2144</v>
      </c>
      <c r="E626" s="20" t="s">
        <v>40</v>
      </c>
      <c r="F626" s="27"/>
    </row>
    <row r="627">
      <c r="A627" s="26">
        <v>44644.825649074075</v>
      </c>
      <c r="B627" s="20" t="s">
        <v>129</v>
      </c>
      <c r="C627" s="20">
        <v>2156.0</v>
      </c>
      <c r="D627" s="20" t="s">
        <v>2144</v>
      </c>
      <c r="E627" s="20" t="s">
        <v>53</v>
      </c>
      <c r="F627" s="27"/>
    </row>
    <row r="628">
      <c r="A628" s="26">
        <v>44645.74504863426</v>
      </c>
      <c r="B628" s="20" t="s">
        <v>49</v>
      </c>
      <c r="C628" s="20">
        <v>651.0</v>
      </c>
      <c r="D628" s="20" t="s">
        <v>2148</v>
      </c>
      <c r="E628" s="20" t="s">
        <v>40</v>
      </c>
      <c r="F628" s="27"/>
    </row>
    <row r="629">
      <c r="A629" s="26">
        <v>44645.74549752315</v>
      </c>
      <c r="B629" s="20" t="s">
        <v>49</v>
      </c>
      <c r="C629" s="20">
        <v>663.0</v>
      </c>
      <c r="D629" s="20" t="s">
        <v>2148</v>
      </c>
      <c r="E629" s="20" t="s">
        <v>40</v>
      </c>
      <c r="F629" s="27"/>
    </row>
    <row r="630">
      <c r="A630" s="26">
        <v>44645.745903958334</v>
      </c>
      <c r="B630" s="20" t="s">
        <v>49</v>
      </c>
      <c r="C630" s="20">
        <v>679.0</v>
      </c>
      <c r="D630" s="20" t="s">
        <v>2148</v>
      </c>
      <c r="E630" s="20" t="s">
        <v>40</v>
      </c>
      <c r="F630" s="27"/>
    </row>
    <row r="631">
      <c r="A631" s="26">
        <v>44645.746376678246</v>
      </c>
      <c r="B631" s="20" t="s">
        <v>49</v>
      </c>
      <c r="C631" s="20">
        <v>715.0</v>
      </c>
      <c r="D631" s="20" t="s">
        <v>2148</v>
      </c>
      <c r="E631" s="20" t="s">
        <v>40</v>
      </c>
      <c r="F631" s="27"/>
    </row>
    <row r="632">
      <c r="A632" s="26">
        <v>44645.746778113426</v>
      </c>
      <c r="B632" s="20" t="s">
        <v>49</v>
      </c>
      <c r="C632" s="20">
        <v>690.0</v>
      </c>
      <c r="D632" s="20" t="s">
        <v>2148</v>
      </c>
      <c r="E632" s="20" t="s">
        <v>40</v>
      </c>
      <c r="F632" s="27"/>
    </row>
    <row r="633">
      <c r="A633" s="26">
        <v>44645.74696761574</v>
      </c>
      <c r="B633" s="20" t="s">
        <v>49</v>
      </c>
      <c r="C633" s="20">
        <v>680.0</v>
      </c>
      <c r="D633" s="20" t="s">
        <v>2148</v>
      </c>
      <c r="E633" s="20" t="s">
        <v>40</v>
      </c>
      <c r="F633" s="27"/>
    </row>
    <row r="634">
      <c r="A634" s="26">
        <v>44647.55836068287</v>
      </c>
      <c r="B634" s="20" t="s">
        <v>249</v>
      </c>
      <c r="C634" s="20">
        <v>55.0</v>
      </c>
      <c r="D634" s="20" t="s">
        <v>2149</v>
      </c>
      <c r="E634" s="20" t="s">
        <v>64</v>
      </c>
      <c r="F634" s="27"/>
    </row>
    <row r="635">
      <c r="A635" s="26">
        <v>44647.684108263886</v>
      </c>
      <c r="B635" s="20" t="s">
        <v>63</v>
      </c>
      <c r="C635" s="20">
        <v>179.0</v>
      </c>
      <c r="D635" s="20" t="s">
        <v>2144</v>
      </c>
      <c r="E635" s="20" t="s">
        <v>40</v>
      </c>
      <c r="F635" s="27"/>
    </row>
    <row r="636">
      <c r="A636" s="26">
        <v>44647.69130255787</v>
      </c>
      <c r="B636" s="20" t="s">
        <v>63</v>
      </c>
      <c r="C636" s="20">
        <v>629.0</v>
      </c>
      <c r="D636" s="20" t="s">
        <v>2144</v>
      </c>
      <c r="E636" s="20" t="s">
        <v>36</v>
      </c>
      <c r="F636" s="27"/>
    </row>
    <row r="637">
      <c r="A637" s="26">
        <v>44647.69315063657</v>
      </c>
      <c r="B637" s="20" t="s">
        <v>63</v>
      </c>
      <c r="C637" s="20">
        <v>1172.0</v>
      </c>
      <c r="D637" s="20" t="s">
        <v>2144</v>
      </c>
      <c r="E637" s="20" t="s">
        <v>40</v>
      </c>
      <c r="F637" s="27"/>
    </row>
    <row r="638">
      <c r="A638" s="26">
        <v>44647.693721944444</v>
      </c>
      <c r="B638" s="20" t="s">
        <v>63</v>
      </c>
      <c r="C638" s="20">
        <v>1256.0</v>
      </c>
      <c r="D638" s="20" t="s">
        <v>2144</v>
      </c>
      <c r="E638" s="20" t="s">
        <v>36</v>
      </c>
      <c r="F638" s="27"/>
    </row>
    <row r="639">
      <c r="A639" s="26">
        <v>44647.694304143515</v>
      </c>
      <c r="B639" s="20" t="s">
        <v>63</v>
      </c>
      <c r="C639" s="20">
        <v>1442.0</v>
      </c>
      <c r="D639" s="20" t="s">
        <v>2144</v>
      </c>
      <c r="E639" s="20" t="s">
        <v>80</v>
      </c>
      <c r="F639" s="27"/>
    </row>
    <row r="640">
      <c r="A640" s="26">
        <v>44647.69476701389</v>
      </c>
      <c r="B640" s="20" t="s">
        <v>63</v>
      </c>
      <c r="C640" s="20">
        <v>397.0</v>
      </c>
      <c r="D640" s="20" t="s">
        <v>2144</v>
      </c>
      <c r="E640" s="20" t="s">
        <v>47</v>
      </c>
      <c r="F640" s="27"/>
    </row>
    <row r="641">
      <c r="A641" s="26">
        <v>44649.55370258102</v>
      </c>
      <c r="B641" s="20" t="s">
        <v>406</v>
      </c>
      <c r="C641" s="20">
        <v>218.0</v>
      </c>
      <c r="D641" s="20" t="s">
        <v>2144</v>
      </c>
      <c r="E641" s="20" t="s">
        <v>40</v>
      </c>
      <c r="F641" s="27"/>
    </row>
    <row r="642">
      <c r="A642" s="26">
        <v>44649.55418315972</v>
      </c>
      <c r="B642" s="20" t="s">
        <v>285</v>
      </c>
      <c r="C642" s="20">
        <v>513.0</v>
      </c>
      <c r="D642" s="20" t="s">
        <v>2144</v>
      </c>
      <c r="E642" s="20" t="s">
        <v>80</v>
      </c>
      <c r="F642" s="27"/>
    </row>
    <row r="643">
      <c r="A643" s="26">
        <v>44649.554541631944</v>
      </c>
      <c r="B643" s="20" t="s">
        <v>285</v>
      </c>
      <c r="C643" s="20">
        <v>868.0</v>
      </c>
      <c r="D643" s="20" t="s">
        <v>2144</v>
      </c>
      <c r="E643" s="20" t="s">
        <v>40</v>
      </c>
      <c r="F643" s="27"/>
    </row>
    <row r="644">
      <c r="A644" s="26">
        <v>44649.55556605324</v>
      </c>
      <c r="B644" s="20" t="s">
        <v>285</v>
      </c>
      <c r="C644" s="20">
        <v>642.0</v>
      </c>
      <c r="D644" s="20" t="s">
        <v>2144</v>
      </c>
      <c r="E644" s="20" t="s">
        <v>40</v>
      </c>
      <c r="F644" s="27"/>
    </row>
    <row r="645">
      <c r="A645" s="26">
        <v>44649.55589025463</v>
      </c>
      <c r="B645" s="20" t="s">
        <v>285</v>
      </c>
      <c r="C645" s="20">
        <v>644.0</v>
      </c>
      <c r="D645" s="20" t="s">
        <v>2144</v>
      </c>
      <c r="E645" s="20" t="s">
        <v>80</v>
      </c>
      <c r="F645" s="27"/>
    </row>
    <row r="646">
      <c r="A646" s="26">
        <v>44649.55632640046</v>
      </c>
      <c r="B646" s="20" t="s">
        <v>285</v>
      </c>
      <c r="C646" s="20">
        <v>11128.0</v>
      </c>
      <c r="D646" s="20" t="s">
        <v>2144</v>
      </c>
      <c r="E646" s="20" t="s">
        <v>47</v>
      </c>
      <c r="F646" s="27"/>
    </row>
    <row r="647">
      <c r="A647" s="26">
        <v>44649.556952962965</v>
      </c>
      <c r="B647" s="20" t="s">
        <v>285</v>
      </c>
      <c r="C647" s="20">
        <v>875.0</v>
      </c>
      <c r="D647" s="20" t="s">
        <v>2144</v>
      </c>
      <c r="E647" s="20" t="s">
        <v>47</v>
      </c>
      <c r="F647" s="27"/>
    </row>
    <row r="648">
      <c r="A648" s="26">
        <v>44649.55728020833</v>
      </c>
      <c r="B648" s="20" t="s">
        <v>285</v>
      </c>
      <c r="C648" s="20">
        <v>1069.0</v>
      </c>
      <c r="D648" s="20" t="s">
        <v>2144</v>
      </c>
      <c r="E648" s="20" t="s">
        <v>47</v>
      </c>
      <c r="F648" s="27"/>
    </row>
    <row r="649">
      <c r="A649" s="26">
        <v>44649.55774631945</v>
      </c>
      <c r="B649" s="20" t="s">
        <v>285</v>
      </c>
      <c r="C649" s="20">
        <v>675.0</v>
      </c>
      <c r="D649" s="20" t="s">
        <v>2144</v>
      </c>
      <c r="E649" s="20" t="s">
        <v>47</v>
      </c>
      <c r="F649" s="27"/>
    </row>
    <row r="650">
      <c r="A650" s="26">
        <v>44649.56827105324</v>
      </c>
      <c r="B650" s="20" t="s">
        <v>285</v>
      </c>
      <c r="C650" s="20">
        <v>296.0</v>
      </c>
      <c r="D650" s="20" t="s">
        <v>2144</v>
      </c>
      <c r="E650" s="20" t="s">
        <v>2195</v>
      </c>
      <c r="F650" s="27"/>
    </row>
    <row r="651">
      <c r="A651" s="26">
        <v>44650.8797240625</v>
      </c>
      <c r="B651" s="20" t="s">
        <v>1158</v>
      </c>
      <c r="C651" s="20">
        <v>584.0</v>
      </c>
      <c r="D651" s="20" t="s">
        <v>2144</v>
      </c>
      <c r="E651" s="20" t="s">
        <v>47</v>
      </c>
      <c r="F651" s="27"/>
    </row>
    <row r="652">
      <c r="A652" s="26">
        <v>44650.880386006946</v>
      </c>
      <c r="B652" s="20" t="s">
        <v>1158</v>
      </c>
      <c r="C652" s="20">
        <v>548.0</v>
      </c>
      <c r="D652" s="20" t="s">
        <v>2144</v>
      </c>
      <c r="E652" s="20" t="s">
        <v>64</v>
      </c>
      <c r="F652" s="27"/>
    </row>
    <row r="653">
      <c r="A653" s="26">
        <v>44650.880692708335</v>
      </c>
      <c r="B653" s="20" t="s">
        <v>1158</v>
      </c>
      <c r="C653" s="20">
        <v>790.0</v>
      </c>
      <c r="D653" s="20" t="s">
        <v>2144</v>
      </c>
      <c r="E653" s="20" t="s">
        <v>80</v>
      </c>
      <c r="F653" s="27"/>
    </row>
    <row r="654">
      <c r="A654" s="26">
        <v>44650.88111366898</v>
      </c>
      <c r="B654" s="20" t="s">
        <v>1158</v>
      </c>
      <c r="C654" s="20">
        <v>812.0</v>
      </c>
      <c r="D654" s="20" t="s">
        <v>2144</v>
      </c>
      <c r="E654" s="20" t="s">
        <v>47</v>
      </c>
      <c r="F654" s="27"/>
    </row>
    <row r="655">
      <c r="A655" s="26">
        <v>44650.88336494213</v>
      </c>
      <c r="B655" s="20" t="s">
        <v>1158</v>
      </c>
      <c r="C655" s="20">
        <v>820.0</v>
      </c>
      <c r="D655" s="20" t="s">
        <v>2144</v>
      </c>
      <c r="E655" s="20" t="s">
        <v>47</v>
      </c>
      <c r="F655" s="27"/>
    </row>
    <row r="656">
      <c r="A656" s="26">
        <v>44650.88483098379</v>
      </c>
      <c r="B656" s="20" t="s">
        <v>1158</v>
      </c>
      <c r="C656" s="20">
        <v>1029.0</v>
      </c>
      <c r="D656" s="20" t="s">
        <v>2144</v>
      </c>
      <c r="E656" s="20" t="s">
        <v>47</v>
      </c>
      <c r="F656" s="27"/>
    </row>
    <row r="657">
      <c r="A657" s="26">
        <v>44650.88809953704</v>
      </c>
      <c r="B657" s="20" t="s">
        <v>1158</v>
      </c>
      <c r="C657" s="20">
        <v>710.0</v>
      </c>
      <c r="D657" s="20" t="s">
        <v>2144</v>
      </c>
      <c r="E657" s="20" t="s">
        <v>47</v>
      </c>
      <c r="F657" s="27"/>
    </row>
    <row r="658">
      <c r="A658" s="26">
        <v>44652.559821284725</v>
      </c>
      <c r="B658" s="20" t="s">
        <v>344</v>
      </c>
      <c r="C658" s="20">
        <v>945.0</v>
      </c>
      <c r="D658" s="20" t="s">
        <v>2148</v>
      </c>
      <c r="E658" s="20" t="s">
        <v>40</v>
      </c>
      <c r="F658" s="27"/>
    </row>
    <row r="659">
      <c r="A659" s="26">
        <v>44652.5600925926</v>
      </c>
      <c r="B659" s="20" t="s">
        <v>344</v>
      </c>
      <c r="C659" s="20">
        <v>971.0</v>
      </c>
      <c r="D659" s="20" t="s">
        <v>2148</v>
      </c>
      <c r="E659" s="20" t="s">
        <v>40</v>
      </c>
      <c r="F659" s="27"/>
    </row>
    <row r="660">
      <c r="A660" s="26">
        <v>44652.56034658565</v>
      </c>
      <c r="B660" s="20" t="s">
        <v>2196</v>
      </c>
      <c r="C660" s="20">
        <v>940.0</v>
      </c>
      <c r="D660" s="20" t="s">
        <v>2148</v>
      </c>
      <c r="E660" s="20" t="s">
        <v>40</v>
      </c>
      <c r="F660" s="27"/>
    </row>
    <row r="661">
      <c r="A661" s="26">
        <v>44652.560541134255</v>
      </c>
      <c r="B661" s="20" t="s">
        <v>2196</v>
      </c>
      <c r="C661" s="20">
        <v>986.0</v>
      </c>
      <c r="D661" s="20" t="s">
        <v>2148</v>
      </c>
      <c r="E661" s="20" t="s">
        <v>40</v>
      </c>
      <c r="F661" s="27"/>
    </row>
    <row r="662">
      <c r="A662" s="26">
        <v>44652.560779039355</v>
      </c>
      <c r="B662" s="20" t="s">
        <v>2196</v>
      </c>
      <c r="C662" s="20">
        <v>905.0</v>
      </c>
      <c r="D662" s="20" t="s">
        <v>2148</v>
      </c>
      <c r="E662" s="20" t="s">
        <v>40</v>
      </c>
      <c r="F662" s="27"/>
    </row>
    <row r="663">
      <c r="A663" s="26">
        <v>44652.560970810184</v>
      </c>
      <c r="B663" s="20" t="s">
        <v>2196</v>
      </c>
      <c r="C663" s="20">
        <v>981.0</v>
      </c>
      <c r="D663" s="20" t="s">
        <v>2148</v>
      </c>
      <c r="E663" s="20" t="s">
        <v>40</v>
      </c>
      <c r="F663" s="27"/>
    </row>
    <row r="664">
      <c r="A664" s="26">
        <v>44654.57303210648</v>
      </c>
      <c r="B664" s="20" t="s">
        <v>214</v>
      </c>
      <c r="C664" s="20">
        <v>342.0</v>
      </c>
      <c r="D664" s="20" t="s">
        <v>2144</v>
      </c>
      <c r="E664" s="20" t="s">
        <v>36</v>
      </c>
      <c r="F664" s="27"/>
    </row>
    <row r="665">
      <c r="A665" s="26">
        <v>44654.573278344906</v>
      </c>
      <c r="B665" s="20" t="s">
        <v>214</v>
      </c>
      <c r="C665" s="20">
        <v>955.0</v>
      </c>
      <c r="D665" s="20" t="s">
        <v>2144</v>
      </c>
      <c r="E665" s="20" t="s">
        <v>36</v>
      </c>
      <c r="F665" s="27"/>
    </row>
    <row r="666">
      <c r="A666" s="26">
        <v>44654.57440975694</v>
      </c>
      <c r="B666" s="20" t="s">
        <v>214</v>
      </c>
      <c r="C666" s="20">
        <v>787.0</v>
      </c>
      <c r="D666" s="20" t="s">
        <v>2144</v>
      </c>
      <c r="E666" s="20" t="s">
        <v>38</v>
      </c>
      <c r="F666" s="27"/>
    </row>
    <row r="667">
      <c r="A667" s="26">
        <v>44654.57499579861</v>
      </c>
      <c r="B667" s="20" t="s">
        <v>214</v>
      </c>
      <c r="C667" s="20">
        <v>166.0</v>
      </c>
      <c r="D667" s="20" t="s">
        <v>2144</v>
      </c>
      <c r="E667" s="20" t="s">
        <v>95</v>
      </c>
      <c r="F667" s="27"/>
    </row>
    <row r="668">
      <c r="A668" s="26">
        <v>44654.57530502314</v>
      </c>
      <c r="B668" s="20" t="s">
        <v>214</v>
      </c>
      <c r="C668" s="20">
        <v>147.0</v>
      </c>
      <c r="D668" s="20" t="s">
        <v>2144</v>
      </c>
      <c r="E668" s="20" t="s">
        <v>95</v>
      </c>
      <c r="F668" s="27"/>
    </row>
    <row r="669">
      <c r="A669" s="26">
        <v>44654.57570033565</v>
      </c>
      <c r="B669" s="20" t="s">
        <v>214</v>
      </c>
      <c r="C669" s="20">
        <v>981.0</v>
      </c>
      <c r="D669" s="20" t="s">
        <v>2144</v>
      </c>
      <c r="E669" s="20" t="s">
        <v>80</v>
      </c>
      <c r="F669" s="27"/>
    </row>
    <row r="670">
      <c r="A670" s="26">
        <v>44654.57623951389</v>
      </c>
      <c r="B670" s="20" t="s">
        <v>214</v>
      </c>
      <c r="C670" s="20">
        <v>1438.0</v>
      </c>
      <c r="D670" s="20" t="s">
        <v>2144</v>
      </c>
      <c r="E670" s="20" t="s">
        <v>93</v>
      </c>
      <c r="F670" s="27"/>
    </row>
    <row r="671">
      <c r="A671" s="26">
        <v>44654.66817024305</v>
      </c>
      <c r="B671" s="20" t="s">
        <v>63</v>
      </c>
      <c r="C671" s="20">
        <v>216.0</v>
      </c>
      <c r="D671" s="20" t="s">
        <v>2144</v>
      </c>
      <c r="E671" s="20" t="s">
        <v>40</v>
      </c>
      <c r="F671" s="27"/>
    </row>
    <row r="672">
      <c r="A672" s="26">
        <v>44654.66845574074</v>
      </c>
      <c r="B672" s="20" t="s">
        <v>63</v>
      </c>
      <c r="C672" s="20">
        <v>325.0</v>
      </c>
      <c r="D672" s="20" t="s">
        <v>2144</v>
      </c>
      <c r="E672" s="20" t="s">
        <v>40</v>
      </c>
      <c r="F672" s="27"/>
    </row>
    <row r="673">
      <c r="A673" s="26">
        <v>44654.66903387732</v>
      </c>
      <c r="B673" s="20" t="s">
        <v>2144</v>
      </c>
      <c r="C673" s="20">
        <v>582.0</v>
      </c>
      <c r="D673" s="20" t="s">
        <v>2144</v>
      </c>
      <c r="E673" s="20" t="s">
        <v>80</v>
      </c>
      <c r="F673" s="27"/>
    </row>
    <row r="674">
      <c r="A674" s="26">
        <v>44654.66972662037</v>
      </c>
      <c r="B674" s="20" t="s">
        <v>63</v>
      </c>
      <c r="C674" s="20">
        <v>589.0</v>
      </c>
      <c r="D674" s="20" t="s">
        <v>2144</v>
      </c>
      <c r="E674" s="20" t="s">
        <v>40</v>
      </c>
      <c r="F674" s="27"/>
    </row>
    <row r="675">
      <c r="A675" s="26">
        <v>44654.67010379629</v>
      </c>
      <c r="B675" s="20" t="s">
        <v>63</v>
      </c>
      <c r="C675" s="20">
        <v>687.0</v>
      </c>
      <c r="D675" s="20" t="s">
        <v>2144</v>
      </c>
      <c r="E675" s="20" t="s">
        <v>36</v>
      </c>
      <c r="F675" s="27"/>
    </row>
    <row r="676">
      <c r="A676" s="26">
        <v>44654.674540277774</v>
      </c>
      <c r="B676" s="20" t="s">
        <v>63</v>
      </c>
      <c r="C676" s="20">
        <v>1261.0</v>
      </c>
      <c r="D676" s="20" t="s">
        <v>2144</v>
      </c>
      <c r="E676" s="20" t="s">
        <v>38</v>
      </c>
      <c r="F676" s="27"/>
    </row>
    <row r="677">
      <c r="A677" s="26">
        <v>44654.678219849535</v>
      </c>
      <c r="B677" s="20" t="s">
        <v>63</v>
      </c>
      <c r="C677" s="20">
        <v>1315.0</v>
      </c>
      <c r="D677" s="20" t="s">
        <v>2144</v>
      </c>
      <c r="E677" s="20" t="s">
        <v>38</v>
      </c>
      <c r="F677" s="27"/>
    </row>
    <row r="678">
      <c r="A678" s="26">
        <v>44654.68123505787</v>
      </c>
      <c r="B678" s="20" t="s">
        <v>63</v>
      </c>
      <c r="C678" s="20">
        <v>1157.0</v>
      </c>
      <c r="D678" s="20" t="s">
        <v>2144</v>
      </c>
      <c r="E678" s="20" t="s">
        <v>38</v>
      </c>
      <c r="F678" s="27"/>
    </row>
    <row r="679">
      <c r="A679" s="26">
        <v>44654.69083840278</v>
      </c>
      <c r="B679" s="20" t="s">
        <v>63</v>
      </c>
      <c r="C679" s="20">
        <v>1157.0</v>
      </c>
      <c r="D679" s="20" t="s">
        <v>2144</v>
      </c>
      <c r="E679" s="20" t="s">
        <v>38</v>
      </c>
      <c r="F679" s="27"/>
    </row>
    <row r="680">
      <c r="A680" s="26">
        <v>44657.87071815973</v>
      </c>
      <c r="B680" s="20" t="s">
        <v>1158</v>
      </c>
      <c r="C680" s="20">
        <v>357.0</v>
      </c>
      <c r="D680" s="20" t="s">
        <v>2144</v>
      </c>
      <c r="E680" s="20" t="s">
        <v>40</v>
      </c>
      <c r="F680" s="27"/>
    </row>
    <row r="681">
      <c r="A681" s="26">
        <v>44657.87096210648</v>
      </c>
      <c r="B681" s="20" t="s">
        <v>1158</v>
      </c>
      <c r="C681" s="20">
        <v>854.0</v>
      </c>
      <c r="D681" s="20" t="s">
        <v>2144</v>
      </c>
      <c r="E681" s="20" t="s">
        <v>80</v>
      </c>
      <c r="F681" s="27"/>
    </row>
    <row r="682">
      <c r="A682" s="26">
        <v>44657.87126622685</v>
      </c>
      <c r="B682" s="20" t="s">
        <v>1158</v>
      </c>
      <c r="C682" s="20">
        <v>1434.0</v>
      </c>
      <c r="D682" s="20" t="s">
        <v>2144</v>
      </c>
      <c r="E682" s="20" t="s">
        <v>36</v>
      </c>
      <c r="F682" s="27"/>
    </row>
    <row r="683">
      <c r="A683" s="26">
        <v>44657.87148880787</v>
      </c>
      <c r="B683" s="20" t="s">
        <v>1158</v>
      </c>
      <c r="C683" s="20">
        <v>596.0</v>
      </c>
      <c r="D683" s="20" t="s">
        <v>2144</v>
      </c>
      <c r="E683" s="20" t="s">
        <v>40</v>
      </c>
      <c r="F683" s="27"/>
    </row>
    <row r="684">
      <c r="A684" s="26">
        <v>44657.87174584491</v>
      </c>
      <c r="B684" s="20" t="s">
        <v>1158</v>
      </c>
      <c r="C684" s="20">
        <v>548.0</v>
      </c>
      <c r="D684" s="20" t="s">
        <v>2144</v>
      </c>
      <c r="E684" s="20" t="s">
        <v>40</v>
      </c>
      <c r="F684" s="27"/>
    </row>
    <row r="685">
      <c r="A685" s="26">
        <v>44657.87207716436</v>
      </c>
      <c r="B685" s="20" t="s">
        <v>1158</v>
      </c>
      <c r="C685" s="20">
        <v>100.0</v>
      </c>
      <c r="D685" s="20" t="s">
        <v>2144</v>
      </c>
      <c r="E685" s="20" t="s">
        <v>2197</v>
      </c>
      <c r="F685" s="27"/>
    </row>
    <row r="686">
      <c r="A686" s="26">
        <v>44657.87231894676</v>
      </c>
      <c r="B686" s="20" t="s">
        <v>1158</v>
      </c>
      <c r="C686" s="20">
        <v>724.0</v>
      </c>
      <c r="D686" s="20" t="s">
        <v>2144</v>
      </c>
      <c r="E686" s="20" t="s">
        <v>47</v>
      </c>
      <c r="F686" s="27"/>
    </row>
    <row r="687">
      <c r="A687" s="26">
        <v>44657.87277100694</v>
      </c>
      <c r="B687" s="20" t="s">
        <v>1158</v>
      </c>
      <c r="C687" s="20">
        <v>1094.0</v>
      </c>
      <c r="D687" s="20" t="s">
        <v>2144</v>
      </c>
      <c r="E687" s="20" t="s">
        <v>47</v>
      </c>
      <c r="F687" s="27"/>
    </row>
    <row r="688">
      <c r="A688" s="26">
        <v>44657.874332754625</v>
      </c>
      <c r="B688" s="20" t="s">
        <v>1158</v>
      </c>
      <c r="C688" s="20">
        <v>599.0</v>
      </c>
      <c r="D688" s="20" t="s">
        <v>2144</v>
      </c>
      <c r="E688" s="20" t="s">
        <v>47</v>
      </c>
      <c r="F688" s="27"/>
    </row>
    <row r="689">
      <c r="A689" s="26">
        <v>44657.92049212963</v>
      </c>
      <c r="B689" s="20" t="s">
        <v>49</v>
      </c>
      <c r="C689" s="20">
        <v>762.0</v>
      </c>
      <c r="D689" s="20" t="s">
        <v>2144</v>
      </c>
      <c r="E689" s="20" t="s">
        <v>47</v>
      </c>
      <c r="F689" s="27"/>
    </row>
    <row r="690">
      <c r="A690" s="26">
        <v>44657.92067232639</v>
      </c>
      <c r="B690" s="20" t="s">
        <v>49</v>
      </c>
      <c r="C690" s="20">
        <v>421.0</v>
      </c>
      <c r="D690" s="20" t="s">
        <v>2144</v>
      </c>
      <c r="E690" s="20" t="s">
        <v>47</v>
      </c>
      <c r="F690" s="27"/>
    </row>
    <row r="691">
      <c r="A691" s="26">
        <v>44657.92086027778</v>
      </c>
      <c r="B691" s="20" t="s">
        <v>49</v>
      </c>
      <c r="C691" s="20">
        <v>430.0</v>
      </c>
      <c r="D691" s="20" t="s">
        <v>2144</v>
      </c>
      <c r="E691" s="20" t="s">
        <v>47</v>
      </c>
      <c r="F691" s="27"/>
    </row>
    <row r="692">
      <c r="A692" s="26">
        <v>44657.921033252314</v>
      </c>
      <c r="B692" s="20" t="s">
        <v>49</v>
      </c>
      <c r="C692" s="20">
        <v>492.0</v>
      </c>
      <c r="D692" s="20" t="s">
        <v>2144</v>
      </c>
      <c r="E692" s="20" t="s">
        <v>47</v>
      </c>
      <c r="F692" s="27"/>
    </row>
    <row r="693">
      <c r="A693" s="26">
        <v>44659.81913428241</v>
      </c>
      <c r="B693" s="20" t="s">
        <v>49</v>
      </c>
      <c r="C693" s="20">
        <v>700.0</v>
      </c>
      <c r="D693" s="20" t="s">
        <v>2144</v>
      </c>
      <c r="E693" s="20" t="s">
        <v>2198</v>
      </c>
      <c r="F693" s="27"/>
    </row>
    <row r="694">
      <c r="A694" s="26">
        <v>44659.819332893516</v>
      </c>
      <c r="B694" s="20" t="s">
        <v>49</v>
      </c>
      <c r="C694" s="20">
        <v>113.0</v>
      </c>
      <c r="D694" s="20" t="s">
        <v>2144</v>
      </c>
      <c r="E694" s="20" t="s">
        <v>47</v>
      </c>
      <c r="F694" s="27"/>
    </row>
    <row r="695">
      <c r="A695" s="26">
        <v>44660.57007342593</v>
      </c>
      <c r="B695" s="20" t="s">
        <v>300</v>
      </c>
      <c r="C695" s="20">
        <v>522.0</v>
      </c>
      <c r="D695" s="20" t="s">
        <v>2144</v>
      </c>
      <c r="E695" s="20" t="s">
        <v>93</v>
      </c>
      <c r="F695" s="27"/>
    </row>
    <row r="696">
      <c r="A696" s="26">
        <v>44660.57283859953</v>
      </c>
      <c r="B696" s="20" t="s">
        <v>300</v>
      </c>
      <c r="C696" s="20">
        <v>96.0</v>
      </c>
      <c r="D696" s="20" t="s">
        <v>2144</v>
      </c>
      <c r="E696" s="20" t="s">
        <v>95</v>
      </c>
      <c r="F696" s="27"/>
    </row>
    <row r="697">
      <c r="A697" s="26">
        <v>44661.58592706019</v>
      </c>
      <c r="B697" s="20" t="s">
        <v>266</v>
      </c>
      <c r="C697" s="20">
        <v>37.0</v>
      </c>
      <c r="D697" s="20" t="s">
        <v>2149</v>
      </c>
      <c r="E697" s="20" t="s">
        <v>2199</v>
      </c>
      <c r="F697" s="27"/>
    </row>
    <row r="698">
      <c r="A698" s="26">
        <v>44661.707871446764</v>
      </c>
      <c r="B698" s="20" t="s">
        <v>63</v>
      </c>
      <c r="C698" s="20">
        <v>749.0</v>
      </c>
      <c r="D698" s="20" t="s">
        <v>2144</v>
      </c>
      <c r="E698" s="20" t="s">
        <v>40</v>
      </c>
      <c r="F698" s="27"/>
    </row>
    <row r="699">
      <c r="A699" s="26">
        <v>44661.70958230324</v>
      </c>
      <c r="B699" s="20" t="s">
        <v>63</v>
      </c>
      <c r="C699" s="20">
        <v>671.0</v>
      </c>
      <c r="D699" s="20" t="s">
        <v>2144</v>
      </c>
      <c r="E699" s="20" t="s">
        <v>40</v>
      </c>
      <c r="F699" s="27"/>
    </row>
    <row r="700">
      <c r="A700" s="26">
        <v>44661.709812974535</v>
      </c>
      <c r="B700" s="20" t="s">
        <v>63</v>
      </c>
      <c r="C700" s="20">
        <v>837.0</v>
      </c>
      <c r="D700" s="20" t="s">
        <v>2144</v>
      </c>
      <c r="E700" s="20" t="s">
        <v>38</v>
      </c>
      <c r="F700" s="27"/>
    </row>
    <row r="701">
      <c r="A701" s="26">
        <v>44661.710336331016</v>
      </c>
      <c r="B701" s="20" t="s">
        <v>63</v>
      </c>
      <c r="C701" s="20">
        <v>929.0</v>
      </c>
      <c r="D701" s="20" t="s">
        <v>2144</v>
      </c>
      <c r="E701" s="20" t="s">
        <v>40</v>
      </c>
      <c r="F701" s="27"/>
    </row>
    <row r="702">
      <c r="A702" s="26">
        <v>44661.71061318287</v>
      </c>
      <c r="B702" s="20" t="s">
        <v>63</v>
      </c>
      <c r="C702" s="20">
        <v>655.0</v>
      </c>
      <c r="D702" s="20" t="s">
        <v>2144</v>
      </c>
      <c r="E702" s="20" t="s">
        <v>36</v>
      </c>
      <c r="F702" s="27"/>
    </row>
    <row r="703">
      <c r="A703" s="26">
        <v>44661.7110187037</v>
      </c>
      <c r="B703" s="20" t="s">
        <v>63</v>
      </c>
      <c r="C703" s="20">
        <v>1177.0</v>
      </c>
      <c r="D703" s="20" t="s">
        <v>2144</v>
      </c>
      <c r="E703" s="20" t="s">
        <v>80</v>
      </c>
      <c r="F703" s="27"/>
    </row>
    <row r="704">
      <c r="A704" s="26">
        <v>44661.71124550926</v>
      </c>
      <c r="B704" s="20" t="s">
        <v>63</v>
      </c>
      <c r="C704" s="20">
        <v>1095.0</v>
      </c>
      <c r="D704" s="20" t="s">
        <v>2144</v>
      </c>
      <c r="E704" s="20" t="s">
        <v>80</v>
      </c>
      <c r="F704" s="27"/>
    </row>
    <row r="705">
      <c r="A705" s="26">
        <v>44663.578455752315</v>
      </c>
      <c r="B705" s="20" t="s">
        <v>163</v>
      </c>
      <c r="C705" s="20">
        <v>964.0</v>
      </c>
      <c r="D705" s="20" t="s">
        <v>2144</v>
      </c>
      <c r="E705" s="20" t="s">
        <v>40</v>
      </c>
      <c r="F705" s="27"/>
    </row>
    <row r="706">
      <c r="A706" s="26">
        <v>44663.5791184375</v>
      </c>
      <c r="B706" s="20" t="s">
        <v>163</v>
      </c>
      <c r="C706" s="20">
        <v>446.0</v>
      </c>
      <c r="D706" s="20" t="s">
        <v>2144</v>
      </c>
      <c r="E706" s="20" t="s">
        <v>47</v>
      </c>
      <c r="F706" s="27"/>
    </row>
    <row r="707">
      <c r="A707" s="26">
        <v>44663.579435231484</v>
      </c>
      <c r="B707" s="20" t="s">
        <v>163</v>
      </c>
      <c r="C707" s="20">
        <v>643.0</v>
      </c>
      <c r="D707" s="20" t="s">
        <v>2144</v>
      </c>
      <c r="E707" s="20" t="s">
        <v>47</v>
      </c>
      <c r="F707" s="27"/>
    </row>
    <row r="708">
      <c r="A708" s="26">
        <v>44663.58176980324</v>
      </c>
      <c r="B708" s="20" t="s">
        <v>163</v>
      </c>
      <c r="C708" s="20">
        <v>670.0</v>
      </c>
      <c r="D708" s="20" t="s">
        <v>2144</v>
      </c>
      <c r="E708" s="20" t="s">
        <v>80</v>
      </c>
      <c r="F708" s="27"/>
    </row>
    <row r="709">
      <c r="A709" s="26">
        <v>44663.58216996527</v>
      </c>
      <c r="B709" s="20" t="s">
        <v>163</v>
      </c>
      <c r="C709" s="20">
        <v>80.0</v>
      </c>
      <c r="D709" s="20" t="s">
        <v>2144</v>
      </c>
      <c r="E709" s="20" t="s">
        <v>95</v>
      </c>
      <c r="F709" s="27"/>
    </row>
    <row r="710">
      <c r="A710" s="26">
        <v>44664.54914849537</v>
      </c>
      <c r="B710" s="20" t="s">
        <v>214</v>
      </c>
      <c r="C710" s="20">
        <v>495.0</v>
      </c>
      <c r="D710" s="20" t="s">
        <v>2144</v>
      </c>
      <c r="E710" s="20" t="s">
        <v>40</v>
      </c>
      <c r="F710" s="27"/>
    </row>
    <row r="711">
      <c r="A711" s="26">
        <v>44664.55162399306</v>
      </c>
      <c r="B711" s="20" t="s">
        <v>2200</v>
      </c>
      <c r="C711" s="20">
        <v>777.0</v>
      </c>
      <c r="D711" s="20" t="s">
        <v>2144</v>
      </c>
      <c r="E711" s="20" t="s">
        <v>40</v>
      </c>
      <c r="F711" s="27"/>
    </row>
    <row r="712">
      <c r="A712" s="26">
        <v>44664.55355641204</v>
      </c>
      <c r="B712" s="20" t="s">
        <v>214</v>
      </c>
      <c r="C712" s="20">
        <v>359.0</v>
      </c>
      <c r="D712" s="20" t="s">
        <v>2144</v>
      </c>
      <c r="E712" s="20" t="s">
        <v>40</v>
      </c>
      <c r="F712" s="27"/>
    </row>
    <row r="713">
      <c r="A713" s="26">
        <v>44664.55521194445</v>
      </c>
      <c r="B713" s="20" t="s">
        <v>214</v>
      </c>
      <c r="C713" s="20">
        <v>272.0</v>
      </c>
      <c r="D713" s="20" t="s">
        <v>2201</v>
      </c>
      <c r="E713" s="20" t="s">
        <v>40</v>
      </c>
      <c r="F713" s="27"/>
    </row>
    <row r="714">
      <c r="A714" s="26">
        <v>44664.55688741898</v>
      </c>
      <c r="B714" s="20" t="s">
        <v>214</v>
      </c>
      <c r="C714" s="20">
        <v>635.0</v>
      </c>
      <c r="D714" s="20" t="s">
        <v>2144</v>
      </c>
      <c r="E714" s="20" t="s">
        <v>40</v>
      </c>
      <c r="F714" s="27"/>
    </row>
    <row r="715">
      <c r="A715" s="26">
        <v>44664.558871099536</v>
      </c>
      <c r="B715" s="20" t="s">
        <v>214</v>
      </c>
      <c r="C715" s="20">
        <v>447.0</v>
      </c>
      <c r="D715" s="20" t="s">
        <v>2144</v>
      </c>
      <c r="E715" s="20" t="s">
        <v>2202</v>
      </c>
      <c r="F715" s="27"/>
    </row>
    <row r="716">
      <c r="A716" s="26">
        <v>44664.560883935184</v>
      </c>
      <c r="B716" s="20" t="s">
        <v>214</v>
      </c>
      <c r="C716" s="20">
        <v>632.0</v>
      </c>
      <c r="D716" s="20" t="s">
        <v>2144</v>
      </c>
      <c r="E716" s="20" t="s">
        <v>2203</v>
      </c>
      <c r="F716" s="27"/>
    </row>
    <row r="717">
      <c r="A717" s="26">
        <v>44664.563253472224</v>
      </c>
      <c r="B717" s="20" t="s">
        <v>214</v>
      </c>
      <c r="C717" s="20">
        <v>91.0</v>
      </c>
      <c r="D717" s="20" t="s">
        <v>2144</v>
      </c>
      <c r="E717" s="20" t="s">
        <v>95</v>
      </c>
      <c r="F717" s="27"/>
    </row>
    <row r="718">
      <c r="A718" s="26">
        <v>44664.74514672454</v>
      </c>
      <c r="B718" s="20" t="s">
        <v>786</v>
      </c>
      <c r="C718" s="20">
        <v>576.0</v>
      </c>
      <c r="D718" s="20" t="s">
        <v>2144</v>
      </c>
      <c r="E718" s="20" t="s">
        <v>36</v>
      </c>
      <c r="F718" s="27"/>
    </row>
    <row r="719">
      <c r="A719" s="26">
        <v>44664.74977726852</v>
      </c>
      <c r="B719" s="20" t="s">
        <v>786</v>
      </c>
      <c r="C719" s="20">
        <v>705.0</v>
      </c>
      <c r="D719" s="20" t="s">
        <v>2144</v>
      </c>
      <c r="E719" s="20" t="s">
        <v>36</v>
      </c>
      <c r="F719" s="27"/>
    </row>
    <row r="720">
      <c r="A720" s="26">
        <v>44664.75340828704</v>
      </c>
      <c r="B720" s="20" t="s">
        <v>1609</v>
      </c>
      <c r="C720" s="20">
        <v>278.0</v>
      </c>
      <c r="D720" s="20" t="s">
        <v>2144</v>
      </c>
      <c r="E720" s="20" t="s">
        <v>76</v>
      </c>
      <c r="F720" s="27"/>
    </row>
    <row r="721">
      <c r="A721" s="26">
        <v>44664.75618489583</v>
      </c>
      <c r="B721" s="20" t="s">
        <v>786</v>
      </c>
      <c r="C721" s="20">
        <v>533.0</v>
      </c>
      <c r="D721" s="20" t="s">
        <v>2144</v>
      </c>
      <c r="E721" s="20" t="s">
        <v>80</v>
      </c>
      <c r="F721" s="27"/>
    </row>
    <row r="722">
      <c r="A722" s="26">
        <v>44664.757222326385</v>
      </c>
      <c r="B722" s="20" t="s">
        <v>786</v>
      </c>
      <c r="C722" s="20">
        <v>915.0</v>
      </c>
      <c r="D722" s="20" t="s">
        <v>2144</v>
      </c>
      <c r="E722" s="20" t="s">
        <v>279</v>
      </c>
      <c r="F722" s="27"/>
    </row>
    <row r="723">
      <c r="A723" s="26">
        <v>44664.790240601855</v>
      </c>
      <c r="B723" s="20" t="s">
        <v>49</v>
      </c>
      <c r="C723" s="20">
        <v>540.0</v>
      </c>
      <c r="D723" s="20" t="s">
        <v>2144</v>
      </c>
      <c r="E723" s="20" t="s">
        <v>47</v>
      </c>
      <c r="F723" s="27"/>
    </row>
    <row r="724">
      <c r="A724" s="26">
        <v>44664.83299480324</v>
      </c>
      <c r="B724" s="20" t="s">
        <v>49</v>
      </c>
      <c r="C724" s="20">
        <v>585.0</v>
      </c>
      <c r="D724" s="20" t="s">
        <v>2148</v>
      </c>
      <c r="E724" s="20" t="s">
        <v>40</v>
      </c>
      <c r="F724" s="27"/>
    </row>
    <row r="725">
      <c r="A725" s="26">
        <v>44664.833159965274</v>
      </c>
      <c r="B725" s="20" t="s">
        <v>49</v>
      </c>
      <c r="C725" s="20">
        <v>576.0</v>
      </c>
      <c r="D725" s="20" t="s">
        <v>2148</v>
      </c>
      <c r="E725" s="20" t="s">
        <v>40</v>
      </c>
      <c r="F725" s="27"/>
    </row>
    <row r="726">
      <c r="A726" s="26">
        <v>44664.83335078704</v>
      </c>
      <c r="B726" s="20" t="s">
        <v>49</v>
      </c>
      <c r="C726" s="20">
        <v>616.0</v>
      </c>
      <c r="D726" s="20" t="s">
        <v>2148</v>
      </c>
      <c r="E726" s="20" t="s">
        <v>40</v>
      </c>
      <c r="F726" s="27"/>
    </row>
    <row r="727">
      <c r="A727" s="26">
        <v>44664.833646122686</v>
      </c>
      <c r="B727" s="20" t="s">
        <v>49</v>
      </c>
      <c r="C727" s="20">
        <v>551.0</v>
      </c>
      <c r="D727" s="20" t="s">
        <v>2148</v>
      </c>
      <c r="E727" s="20" t="s">
        <v>40</v>
      </c>
      <c r="F727" s="27"/>
    </row>
    <row r="728">
      <c r="A728" s="26">
        <v>44664.83385119213</v>
      </c>
      <c r="B728" s="20" t="s">
        <v>49</v>
      </c>
      <c r="C728" s="20">
        <v>561.0</v>
      </c>
      <c r="D728" s="20" t="s">
        <v>2148</v>
      </c>
      <c r="E728" s="20" t="s">
        <v>40</v>
      </c>
      <c r="F728" s="27"/>
    </row>
    <row r="729">
      <c r="A729" s="26">
        <v>44664.83402498843</v>
      </c>
      <c r="B729" s="20" t="s">
        <v>49</v>
      </c>
      <c r="C729" s="20">
        <v>570.0</v>
      </c>
      <c r="D729" s="20" t="s">
        <v>2148</v>
      </c>
      <c r="E729" s="20" t="s">
        <v>40</v>
      </c>
      <c r="F729" s="27"/>
    </row>
    <row r="730">
      <c r="A730" s="26">
        <v>44666.75654825231</v>
      </c>
      <c r="B730" s="20" t="s">
        <v>49</v>
      </c>
      <c r="C730" s="20">
        <v>4196.0</v>
      </c>
      <c r="D730" s="20" t="s">
        <v>2148</v>
      </c>
      <c r="E730" s="20" t="s">
        <v>40</v>
      </c>
      <c r="F730" s="27"/>
    </row>
    <row r="731">
      <c r="A731" s="26">
        <v>44668.52380737269</v>
      </c>
      <c r="C731" s="20">
        <v>11.0</v>
      </c>
      <c r="D731" s="20" t="s">
        <v>2149</v>
      </c>
      <c r="E731" s="20" t="s">
        <v>2204</v>
      </c>
      <c r="F731" s="27"/>
    </row>
    <row r="732">
      <c r="A732" s="26">
        <v>44668.52775168981</v>
      </c>
      <c r="C732" s="20">
        <v>1149.0</v>
      </c>
      <c r="D732" s="20" t="s">
        <v>2144</v>
      </c>
      <c r="E732" s="20" t="s">
        <v>2205</v>
      </c>
      <c r="F732" s="27"/>
    </row>
    <row r="733">
      <c r="A733" s="26">
        <v>44668.528374490736</v>
      </c>
      <c r="C733" s="20">
        <v>1487.0</v>
      </c>
      <c r="D733" s="20" t="s">
        <v>2144</v>
      </c>
      <c r="E733" s="20" t="s">
        <v>40</v>
      </c>
      <c r="F733" s="27"/>
    </row>
    <row r="734">
      <c r="A734" s="26">
        <v>44668.53989600694</v>
      </c>
      <c r="C734" s="20">
        <v>334.0</v>
      </c>
      <c r="D734" s="20" t="s">
        <v>2144</v>
      </c>
      <c r="E734" s="20" t="s">
        <v>2206</v>
      </c>
      <c r="F734" s="27"/>
    </row>
    <row r="735">
      <c r="A735" s="26">
        <v>44668.543726539356</v>
      </c>
      <c r="C735" s="20">
        <v>319.0</v>
      </c>
      <c r="D735" s="20" t="s">
        <v>2144</v>
      </c>
      <c r="E735" s="20" t="s">
        <v>95</v>
      </c>
      <c r="F735" s="27"/>
    </row>
    <row r="736">
      <c r="A736" s="26">
        <v>44668.54912195602</v>
      </c>
      <c r="C736" s="20">
        <v>536.0</v>
      </c>
      <c r="D736" s="20" t="s">
        <v>2144</v>
      </c>
      <c r="E736" s="20" t="s">
        <v>47</v>
      </c>
      <c r="F736" s="27"/>
    </row>
    <row r="737">
      <c r="A737" s="26">
        <v>44668.55420805556</v>
      </c>
      <c r="C737" s="20">
        <v>630.0</v>
      </c>
      <c r="D737" s="20" t="s">
        <v>2144</v>
      </c>
      <c r="E737" s="20" t="s">
        <v>40</v>
      </c>
      <c r="F737" s="27"/>
    </row>
    <row r="738">
      <c r="A738" s="26">
        <v>44668.556247025466</v>
      </c>
      <c r="C738" s="20">
        <v>1111.0</v>
      </c>
      <c r="D738" s="20" t="s">
        <v>2144</v>
      </c>
      <c r="E738" s="20" t="s">
        <v>80</v>
      </c>
      <c r="F738" s="27"/>
    </row>
    <row r="739">
      <c r="A739" s="26">
        <v>44668.55872688658</v>
      </c>
      <c r="C739" s="20">
        <v>225.0</v>
      </c>
      <c r="D739" s="20" t="s">
        <v>2144</v>
      </c>
      <c r="E739" s="20" t="s">
        <v>93</v>
      </c>
      <c r="F739" s="27"/>
    </row>
    <row r="740">
      <c r="A740" s="26">
        <v>44668.56033046296</v>
      </c>
      <c r="C740" s="20">
        <v>764.0</v>
      </c>
      <c r="D740" s="20" t="s">
        <v>2144</v>
      </c>
      <c r="E740" s="20" t="s">
        <v>87</v>
      </c>
      <c r="F740" s="27"/>
    </row>
    <row r="741">
      <c r="A741" s="26">
        <v>44668.562146041666</v>
      </c>
      <c r="C741" s="20">
        <v>560.0</v>
      </c>
      <c r="D741" s="20" t="s">
        <v>2144</v>
      </c>
      <c r="E741" s="20" t="s">
        <v>80</v>
      </c>
      <c r="F741" s="27"/>
    </row>
    <row r="742">
      <c r="A742" s="26">
        <v>44668.56393107639</v>
      </c>
      <c r="C742" s="20">
        <v>803.0</v>
      </c>
      <c r="D742" s="20" t="s">
        <v>2144</v>
      </c>
      <c r="E742" s="20" t="s">
        <v>80</v>
      </c>
      <c r="F742" s="27"/>
    </row>
    <row r="743">
      <c r="A743" s="26">
        <v>44668.5666412963</v>
      </c>
      <c r="C743" s="20">
        <v>1534.0</v>
      </c>
      <c r="D743" s="20" t="s">
        <v>2144</v>
      </c>
      <c r="E743" s="20" t="s">
        <v>80</v>
      </c>
      <c r="F743" s="27"/>
    </row>
    <row r="744">
      <c r="A744" s="26">
        <v>44668.568226296295</v>
      </c>
      <c r="C744" s="20">
        <v>1344.0</v>
      </c>
      <c r="D744" s="20" t="s">
        <v>2144</v>
      </c>
      <c r="E744" s="20" t="s">
        <v>53</v>
      </c>
      <c r="F744" s="27"/>
    </row>
    <row r="745">
      <c r="A745" s="26">
        <v>44668.56980359954</v>
      </c>
      <c r="C745" s="20">
        <v>464.0</v>
      </c>
      <c r="D745" s="20" t="s">
        <v>2144</v>
      </c>
      <c r="E745" s="20" t="s">
        <v>80</v>
      </c>
      <c r="F745" s="27"/>
    </row>
    <row r="746">
      <c r="A746" s="26">
        <v>44668.74684396991</v>
      </c>
      <c r="B746" s="20" t="s">
        <v>67</v>
      </c>
      <c r="C746" s="20">
        <v>681.0</v>
      </c>
      <c r="D746" s="20" t="s">
        <v>2144</v>
      </c>
      <c r="E746" s="20" t="s">
        <v>40</v>
      </c>
      <c r="F746" s="27"/>
    </row>
    <row r="747">
      <c r="A747" s="26">
        <v>44668.74707650463</v>
      </c>
      <c r="B747" s="20" t="s">
        <v>67</v>
      </c>
      <c r="C747" s="20">
        <v>112.0</v>
      </c>
      <c r="D747" s="20" t="s">
        <v>2144</v>
      </c>
      <c r="E747" s="20" t="s">
        <v>40</v>
      </c>
      <c r="F747" s="27"/>
    </row>
    <row r="748">
      <c r="A748" s="26">
        <v>44668.74737215278</v>
      </c>
      <c r="B748" s="20" t="s">
        <v>67</v>
      </c>
      <c r="C748" s="20">
        <v>432.0</v>
      </c>
      <c r="D748" s="20" t="s">
        <v>2144</v>
      </c>
      <c r="E748" s="20" t="s">
        <v>80</v>
      </c>
      <c r="F748" s="27"/>
    </row>
    <row r="749">
      <c r="A749" s="26">
        <v>44668.74769234954</v>
      </c>
      <c r="B749" s="20" t="s">
        <v>67</v>
      </c>
      <c r="C749" s="20">
        <v>987.0</v>
      </c>
      <c r="D749" s="20" t="s">
        <v>2144</v>
      </c>
      <c r="E749" s="20" t="s">
        <v>80</v>
      </c>
      <c r="F749" s="27"/>
    </row>
    <row r="750">
      <c r="A750" s="26">
        <v>44670.56019752315</v>
      </c>
      <c r="B750" s="20" t="s">
        <v>163</v>
      </c>
      <c r="C750" s="20">
        <v>68.0</v>
      </c>
      <c r="D750" s="20" t="s">
        <v>2144</v>
      </c>
      <c r="E750" s="20" t="s">
        <v>2207</v>
      </c>
      <c r="F750" s="27"/>
    </row>
    <row r="751">
      <c r="A751" s="26">
        <v>44670.56547822917</v>
      </c>
      <c r="B751" s="20" t="s">
        <v>163</v>
      </c>
      <c r="C751" s="20">
        <v>947.0</v>
      </c>
      <c r="D751" s="20" t="s">
        <v>2144</v>
      </c>
      <c r="E751" s="20" t="s">
        <v>78</v>
      </c>
      <c r="F751" s="27"/>
    </row>
    <row r="752">
      <c r="A752" s="26">
        <v>44670.56605216435</v>
      </c>
      <c r="B752" s="20" t="s">
        <v>163</v>
      </c>
      <c r="C752" s="20">
        <v>1071.0</v>
      </c>
      <c r="D752" s="20" t="s">
        <v>2144</v>
      </c>
      <c r="E752" s="20" t="s">
        <v>93</v>
      </c>
      <c r="F752" s="27"/>
    </row>
    <row r="753">
      <c r="A753" s="26">
        <v>44670.56773539352</v>
      </c>
      <c r="B753" s="20" t="s">
        <v>163</v>
      </c>
      <c r="C753" s="20">
        <v>649.0</v>
      </c>
      <c r="D753" s="20" t="s">
        <v>2144</v>
      </c>
      <c r="E753" s="20" t="s">
        <v>80</v>
      </c>
      <c r="F753" s="27"/>
    </row>
    <row r="754">
      <c r="A754" s="26">
        <v>44670.572718194446</v>
      </c>
      <c r="B754" s="20" t="s">
        <v>163</v>
      </c>
      <c r="C754" s="20">
        <v>271.0</v>
      </c>
      <c r="D754" s="20" t="s">
        <v>2144</v>
      </c>
      <c r="E754" s="20" t="s">
        <v>80</v>
      </c>
      <c r="F754" s="27"/>
    </row>
    <row r="755">
      <c r="A755" s="26">
        <v>44670.576092187504</v>
      </c>
      <c r="B755" s="20" t="s">
        <v>163</v>
      </c>
      <c r="C755" s="20">
        <v>1251.0</v>
      </c>
      <c r="D755" s="20" t="s">
        <v>2144</v>
      </c>
      <c r="E755" s="20" t="s">
        <v>80</v>
      </c>
      <c r="F755" s="27"/>
    </row>
    <row r="756">
      <c r="A756" s="26">
        <v>44670.57982550926</v>
      </c>
      <c r="B756" s="20" t="s">
        <v>163</v>
      </c>
      <c r="C756" s="20">
        <v>97.0</v>
      </c>
      <c r="D756" s="20" t="s">
        <v>2144</v>
      </c>
      <c r="E756" s="20" t="s">
        <v>95</v>
      </c>
      <c r="F756" s="27"/>
    </row>
    <row r="757">
      <c r="A757" s="26">
        <v>44671.84430251157</v>
      </c>
      <c r="B757" s="20" t="s">
        <v>1158</v>
      </c>
      <c r="C757" s="20">
        <v>523.0</v>
      </c>
      <c r="D757" s="20" t="s">
        <v>2144</v>
      </c>
      <c r="E757" s="20" t="s">
        <v>47</v>
      </c>
      <c r="F757" s="27"/>
    </row>
    <row r="758">
      <c r="A758" s="26">
        <v>44671.845360057865</v>
      </c>
      <c r="B758" s="20" t="s">
        <v>1158</v>
      </c>
      <c r="C758" s="20">
        <v>532.0</v>
      </c>
      <c r="D758" s="20" t="s">
        <v>2144</v>
      </c>
      <c r="E758" s="20" t="s">
        <v>47</v>
      </c>
      <c r="F758" s="27"/>
    </row>
    <row r="759">
      <c r="A759" s="26">
        <v>44671.84708049768</v>
      </c>
      <c r="B759" s="20" t="s">
        <v>342</v>
      </c>
      <c r="C759" s="20">
        <v>926.0</v>
      </c>
      <c r="D759" s="20" t="s">
        <v>2144</v>
      </c>
      <c r="E759" s="20" t="s">
        <v>40</v>
      </c>
      <c r="F759" s="27"/>
    </row>
    <row r="760">
      <c r="A760" s="26">
        <v>44671.849076342594</v>
      </c>
      <c r="B760" s="20" t="s">
        <v>1158</v>
      </c>
      <c r="C760" s="20">
        <v>1005.0</v>
      </c>
      <c r="D760" s="20" t="s">
        <v>2144</v>
      </c>
      <c r="E760" s="20" t="s">
        <v>36</v>
      </c>
      <c r="F760" s="27"/>
    </row>
    <row r="761">
      <c r="A761" s="26">
        <v>44671.85079215278</v>
      </c>
      <c r="B761" s="20" t="s">
        <v>1158</v>
      </c>
      <c r="C761" s="20">
        <v>701.0</v>
      </c>
      <c r="D761" s="20" t="s">
        <v>2144</v>
      </c>
      <c r="E761" s="20" t="s">
        <v>38</v>
      </c>
      <c r="F761" s="27"/>
    </row>
    <row r="762">
      <c r="A762" s="26">
        <v>44671.85247482639</v>
      </c>
      <c r="B762" s="20" t="s">
        <v>1158</v>
      </c>
      <c r="C762" s="20">
        <v>1086.0</v>
      </c>
      <c r="D762" s="20" t="s">
        <v>2144</v>
      </c>
      <c r="E762" s="20" t="s">
        <v>36</v>
      </c>
      <c r="F762" s="27"/>
    </row>
    <row r="763">
      <c r="A763" s="26">
        <v>44671.8552647801</v>
      </c>
      <c r="B763" s="20" t="s">
        <v>1158</v>
      </c>
      <c r="C763" s="20">
        <v>572.0</v>
      </c>
      <c r="D763" s="20" t="s">
        <v>2144</v>
      </c>
      <c r="E763" s="20" t="s">
        <v>78</v>
      </c>
      <c r="F763" s="27"/>
    </row>
    <row r="764">
      <c r="A764" s="26">
        <v>44671.85685052084</v>
      </c>
      <c r="B764" s="20" t="s">
        <v>1158</v>
      </c>
      <c r="C764" s="20">
        <v>998.0</v>
      </c>
      <c r="D764" s="20" t="s">
        <v>2144</v>
      </c>
      <c r="E764" s="20" t="s">
        <v>40</v>
      </c>
      <c r="F764" s="27"/>
    </row>
    <row r="765">
      <c r="A765" s="26">
        <v>44671.858870833334</v>
      </c>
      <c r="B765" s="20" t="s">
        <v>1158</v>
      </c>
      <c r="C765" s="20">
        <v>1534.0</v>
      </c>
      <c r="D765" s="20" t="s">
        <v>2144</v>
      </c>
      <c r="E765" s="20" t="s">
        <v>80</v>
      </c>
      <c r="F765" s="27"/>
    </row>
    <row r="766">
      <c r="A766" s="26">
        <v>44671.86240817129</v>
      </c>
      <c r="B766" s="20" t="s">
        <v>1158</v>
      </c>
      <c r="C766" s="20">
        <v>1272.0</v>
      </c>
      <c r="D766" s="20" t="s">
        <v>2144</v>
      </c>
      <c r="E766" s="20" t="s">
        <v>80</v>
      </c>
      <c r="F766" s="27"/>
    </row>
    <row r="767">
      <c r="A767" s="26">
        <v>44673.73112334491</v>
      </c>
      <c r="B767" s="20" t="s">
        <v>49</v>
      </c>
      <c r="C767" s="20">
        <v>5461.0</v>
      </c>
      <c r="D767" s="20" t="s">
        <v>2148</v>
      </c>
      <c r="E767" s="20" t="s">
        <v>40</v>
      </c>
      <c r="F767" s="27"/>
    </row>
    <row r="768">
      <c r="A768" s="26">
        <v>44674.676518356486</v>
      </c>
      <c r="B768" s="20" t="s">
        <v>193</v>
      </c>
      <c r="C768" s="20">
        <v>380.0</v>
      </c>
      <c r="D768" s="20" t="s">
        <v>311</v>
      </c>
      <c r="E768" s="20" t="s">
        <v>47</v>
      </c>
      <c r="F768" s="27"/>
    </row>
    <row r="769">
      <c r="A769" s="26">
        <v>44674.67722290509</v>
      </c>
      <c r="B769" s="20" t="s">
        <v>191</v>
      </c>
      <c r="C769" s="20">
        <v>763.0</v>
      </c>
      <c r="D769" s="20" t="s">
        <v>312</v>
      </c>
      <c r="E769" s="20" t="s">
        <v>607</v>
      </c>
      <c r="F769" s="27"/>
    </row>
    <row r="770">
      <c r="A770" s="26">
        <v>44674.80932945602</v>
      </c>
      <c r="B770" s="20" t="s">
        <v>49</v>
      </c>
      <c r="C770" s="20">
        <v>629.0</v>
      </c>
      <c r="D770" s="20" t="s">
        <v>2144</v>
      </c>
      <c r="E770" s="20" t="s">
        <v>40</v>
      </c>
      <c r="F770" s="27"/>
    </row>
    <row r="771">
      <c r="A771" s="26">
        <v>44674.80953466435</v>
      </c>
      <c r="B771" s="20" t="s">
        <v>49</v>
      </c>
      <c r="C771" s="20">
        <v>1000.0</v>
      </c>
      <c r="D771" s="20" t="s">
        <v>2144</v>
      </c>
      <c r="E771" s="20" t="s">
        <v>38</v>
      </c>
      <c r="F771" s="27"/>
    </row>
    <row r="772">
      <c r="A772" s="26">
        <v>44674.80971072917</v>
      </c>
      <c r="B772" s="20" t="s">
        <v>49</v>
      </c>
      <c r="C772" s="20">
        <v>740.0</v>
      </c>
      <c r="D772" s="20" t="s">
        <v>2144</v>
      </c>
      <c r="E772" s="20" t="s">
        <v>80</v>
      </c>
      <c r="F772" s="27"/>
    </row>
    <row r="773">
      <c r="A773" s="26">
        <v>44675.68238053241</v>
      </c>
      <c r="B773" s="20" t="s">
        <v>49</v>
      </c>
      <c r="C773" s="20">
        <v>784.0</v>
      </c>
      <c r="D773" s="20" t="s">
        <v>2144</v>
      </c>
      <c r="E773" s="20" t="s">
        <v>80</v>
      </c>
      <c r="F773" s="27"/>
    </row>
    <row r="774">
      <c r="A774" s="26">
        <v>44675.68331541667</v>
      </c>
      <c r="B774" s="20" t="s">
        <v>63</v>
      </c>
      <c r="C774" s="20">
        <v>568.0</v>
      </c>
      <c r="D774" s="20" t="s">
        <v>2144</v>
      </c>
      <c r="E774" s="20" t="s">
        <v>40</v>
      </c>
      <c r="F774" s="27"/>
    </row>
    <row r="775">
      <c r="A775" s="26">
        <v>44675.68364372685</v>
      </c>
      <c r="B775" s="20" t="s">
        <v>63</v>
      </c>
      <c r="C775" s="20">
        <v>1774.0</v>
      </c>
      <c r="D775" s="20" t="s">
        <v>2144</v>
      </c>
      <c r="E775" s="20" t="s">
        <v>38</v>
      </c>
      <c r="F775" s="27"/>
    </row>
    <row r="776">
      <c r="A776" s="26">
        <v>44675.683892685185</v>
      </c>
      <c r="B776" s="20" t="s">
        <v>63</v>
      </c>
      <c r="C776" s="20">
        <v>772.0</v>
      </c>
      <c r="D776" s="20" t="s">
        <v>2144</v>
      </c>
      <c r="E776" s="20" t="s">
        <v>80</v>
      </c>
      <c r="F776" s="27"/>
    </row>
    <row r="777">
      <c r="A777" s="26">
        <v>44675.71537293981</v>
      </c>
      <c r="B777" s="20" t="s">
        <v>49</v>
      </c>
      <c r="C777" s="20">
        <v>772.0</v>
      </c>
      <c r="D777" s="20" t="s">
        <v>2144</v>
      </c>
      <c r="E777" s="20" t="s">
        <v>80</v>
      </c>
      <c r="F777" s="27"/>
    </row>
    <row r="778">
      <c r="A778" s="26">
        <v>44677.590894594905</v>
      </c>
      <c r="B778" s="20" t="s">
        <v>163</v>
      </c>
      <c r="C778" s="20">
        <v>473.0</v>
      </c>
      <c r="D778" s="20" t="s">
        <v>2144</v>
      </c>
      <c r="E778" s="20" t="s">
        <v>40</v>
      </c>
      <c r="F778" s="27"/>
    </row>
    <row r="779">
      <c r="A779" s="26">
        <v>44677.59488604167</v>
      </c>
      <c r="B779" s="20" t="s">
        <v>163</v>
      </c>
      <c r="C779" s="20">
        <v>670.0</v>
      </c>
      <c r="D779" s="20" t="s">
        <v>2144</v>
      </c>
      <c r="E779" s="20" t="s">
        <v>47</v>
      </c>
      <c r="F779" s="27"/>
    </row>
    <row r="780">
      <c r="A780" s="26">
        <v>44677.595524062504</v>
      </c>
      <c r="B780" s="20" t="s">
        <v>163</v>
      </c>
      <c r="C780" s="20">
        <v>675.0</v>
      </c>
      <c r="D780" s="20" t="s">
        <v>2144</v>
      </c>
      <c r="E780" s="20" t="s">
        <v>2208</v>
      </c>
      <c r="F780" s="27"/>
    </row>
    <row r="781">
      <c r="A781" s="26">
        <v>44677.59636925926</v>
      </c>
      <c r="B781" s="20" t="s">
        <v>163</v>
      </c>
      <c r="C781" s="20">
        <v>237.0</v>
      </c>
      <c r="D781" s="20" t="s">
        <v>2144</v>
      </c>
      <c r="E781" s="20" t="s">
        <v>80</v>
      </c>
      <c r="F781" s="27"/>
    </row>
    <row r="782">
      <c r="A782" s="26">
        <v>44677.59683008102</v>
      </c>
      <c r="B782" s="20" t="s">
        <v>163</v>
      </c>
      <c r="C782" s="20">
        <v>497.0</v>
      </c>
      <c r="D782" s="20" t="s">
        <v>2144</v>
      </c>
      <c r="E782" s="20" t="s">
        <v>80</v>
      </c>
      <c r="F782" s="27"/>
    </row>
    <row r="783">
      <c r="A783" s="26">
        <v>44677.59767076389</v>
      </c>
      <c r="B783" s="20" t="s">
        <v>163</v>
      </c>
      <c r="C783" s="20">
        <v>497.0</v>
      </c>
      <c r="D783" s="20" t="s">
        <v>2144</v>
      </c>
      <c r="E783" s="20" t="s">
        <v>80</v>
      </c>
      <c r="F783" s="27"/>
    </row>
    <row r="784">
      <c r="A784" s="26">
        <v>44677.598040717596</v>
      </c>
      <c r="B784" s="20" t="s">
        <v>163</v>
      </c>
      <c r="C784" s="20">
        <v>495.0</v>
      </c>
      <c r="D784" s="20" t="s">
        <v>2144</v>
      </c>
      <c r="E784" s="20" t="s">
        <v>80</v>
      </c>
      <c r="F784" s="27"/>
    </row>
    <row r="785">
      <c r="A785" s="26">
        <v>44677.5995859838</v>
      </c>
      <c r="B785" s="20" t="s">
        <v>163</v>
      </c>
      <c r="C785" s="20">
        <v>570.0</v>
      </c>
      <c r="D785" s="20" t="s">
        <v>2144</v>
      </c>
      <c r="E785" s="20" t="s">
        <v>80</v>
      </c>
      <c r="F785" s="27"/>
    </row>
    <row r="786">
      <c r="A786" s="26">
        <v>44677.60026835648</v>
      </c>
      <c r="B786" s="20" t="s">
        <v>163</v>
      </c>
      <c r="C786" s="20">
        <v>709.0</v>
      </c>
      <c r="D786" s="20" t="s">
        <v>2144</v>
      </c>
      <c r="E786" s="20" t="s">
        <v>2209</v>
      </c>
      <c r="F786" s="27"/>
    </row>
    <row r="787">
      <c r="A787" s="26">
        <v>44677.60072883102</v>
      </c>
      <c r="B787" s="20" t="s">
        <v>163</v>
      </c>
      <c r="C787" s="20">
        <v>1315.0</v>
      </c>
      <c r="D787" s="20" t="s">
        <v>2144</v>
      </c>
      <c r="E787" s="20" t="s">
        <v>38</v>
      </c>
      <c r="F787" s="27"/>
    </row>
    <row r="788">
      <c r="A788" s="26">
        <v>44678.77869585648</v>
      </c>
      <c r="B788" s="20" t="s">
        <v>338</v>
      </c>
      <c r="C788" s="20">
        <v>1692.0</v>
      </c>
      <c r="D788" s="20" t="s">
        <v>2144</v>
      </c>
      <c r="E788" s="20" t="s">
        <v>38</v>
      </c>
      <c r="F788" s="27"/>
    </row>
    <row r="789">
      <c r="A789" s="26">
        <v>44678.77904432871</v>
      </c>
      <c r="B789" s="20" t="s">
        <v>338</v>
      </c>
      <c r="C789" s="20">
        <v>583.0</v>
      </c>
      <c r="D789" s="20" t="s">
        <v>2144</v>
      </c>
      <c r="E789" s="20" t="s">
        <v>80</v>
      </c>
      <c r="F789" s="27"/>
    </row>
    <row r="790">
      <c r="A790" s="26">
        <v>44678.7793527662</v>
      </c>
      <c r="B790" s="20" t="s">
        <v>338</v>
      </c>
      <c r="C790" s="20">
        <v>839.0</v>
      </c>
      <c r="D790" s="20" t="s">
        <v>2144</v>
      </c>
      <c r="E790" s="20" t="s">
        <v>36</v>
      </c>
      <c r="F790" s="27"/>
    </row>
    <row r="791">
      <c r="A791" s="26">
        <v>44678.77977822917</v>
      </c>
      <c r="B791" s="20" t="s">
        <v>338</v>
      </c>
      <c r="C791" s="20">
        <v>783.0</v>
      </c>
      <c r="D791" s="20" t="s">
        <v>2144</v>
      </c>
      <c r="E791" s="20" t="s">
        <v>80</v>
      </c>
      <c r="F791" s="27"/>
    </row>
    <row r="792">
      <c r="A792" s="26">
        <v>44678.780076446754</v>
      </c>
      <c r="B792" s="20" t="s">
        <v>338</v>
      </c>
      <c r="C792" s="20">
        <v>1041.0</v>
      </c>
      <c r="D792" s="20" t="s">
        <v>2144</v>
      </c>
      <c r="E792" s="20" t="s">
        <v>40</v>
      </c>
      <c r="F792" s="27"/>
    </row>
    <row r="793">
      <c r="A793" s="26">
        <v>44680.54553366898</v>
      </c>
      <c r="B793" s="20" t="s">
        <v>344</v>
      </c>
      <c r="C793" s="20">
        <v>1004.0</v>
      </c>
      <c r="D793" s="20" t="s">
        <v>2148</v>
      </c>
      <c r="E793" s="20" t="s">
        <v>40</v>
      </c>
      <c r="F793" s="27"/>
    </row>
    <row r="794">
      <c r="A794" s="26">
        <v>44680.54572465278</v>
      </c>
      <c r="B794" s="20" t="s">
        <v>344</v>
      </c>
      <c r="C794" s="20">
        <v>972.0</v>
      </c>
      <c r="D794" s="20" t="s">
        <v>2148</v>
      </c>
      <c r="E794" s="20" t="s">
        <v>40</v>
      </c>
      <c r="F794" s="27"/>
    </row>
    <row r="795">
      <c r="A795" s="26">
        <v>44681.54572916667</v>
      </c>
      <c r="B795" s="20" t="s">
        <v>2210</v>
      </c>
      <c r="C795" s="20">
        <v>1001.0</v>
      </c>
      <c r="D795" s="20" t="s">
        <v>2148</v>
      </c>
      <c r="E795" s="20" t="s">
        <v>40</v>
      </c>
      <c r="F795" s="27"/>
      <c r="G795" s="24">
        <f>sum(C658:C795)</f>
        <v>106220</v>
      </c>
    </row>
    <row r="796">
      <c r="A796" s="26">
        <v>44682.54572916667</v>
      </c>
      <c r="B796" s="20" t="s">
        <v>2210</v>
      </c>
      <c r="C796" s="20">
        <v>1003.0</v>
      </c>
      <c r="D796" s="20" t="s">
        <v>2148</v>
      </c>
      <c r="E796" s="20" t="s">
        <v>40</v>
      </c>
      <c r="F796" s="27"/>
    </row>
    <row r="797">
      <c r="A797" s="26">
        <v>44683.54572916667</v>
      </c>
      <c r="B797" s="20" t="s">
        <v>2210</v>
      </c>
      <c r="C797" s="20">
        <v>998.0</v>
      </c>
      <c r="D797" s="20" t="s">
        <v>2148</v>
      </c>
      <c r="E797" s="20" t="s">
        <v>40</v>
      </c>
      <c r="F797" s="27"/>
    </row>
    <row r="798">
      <c r="A798" s="26">
        <v>44682.73543119213</v>
      </c>
      <c r="B798" s="20" t="s">
        <v>67</v>
      </c>
      <c r="C798" s="20">
        <v>1124.0</v>
      </c>
      <c r="D798" s="20" t="s">
        <v>2144</v>
      </c>
      <c r="E798" s="20" t="s">
        <v>40</v>
      </c>
      <c r="F798" s="27"/>
    </row>
    <row r="799">
      <c r="A799" s="26">
        <v>44682.73584040509</v>
      </c>
      <c r="B799" s="20" t="s">
        <v>67</v>
      </c>
      <c r="C799" s="20">
        <v>34.0</v>
      </c>
      <c r="D799" s="20" t="s">
        <v>2144</v>
      </c>
      <c r="E799" s="20" t="s">
        <v>76</v>
      </c>
      <c r="F799" s="27"/>
    </row>
    <row r="800">
      <c r="A800" s="26">
        <v>44682.517231516205</v>
      </c>
      <c r="B800" s="20" t="s">
        <v>203</v>
      </c>
      <c r="C800" s="20">
        <v>33.0</v>
      </c>
      <c r="D800" s="20" t="s">
        <v>2211</v>
      </c>
      <c r="E800" s="20" t="s">
        <v>2212</v>
      </c>
      <c r="F800" s="27"/>
    </row>
    <row r="801">
      <c r="A801" s="26">
        <v>44682.73622096065</v>
      </c>
      <c r="B801" s="20" t="s">
        <v>67</v>
      </c>
      <c r="C801" s="20">
        <v>217.0</v>
      </c>
      <c r="D801" s="20" t="s">
        <v>2144</v>
      </c>
      <c r="E801" s="20" t="s">
        <v>40</v>
      </c>
      <c r="F801" s="27"/>
    </row>
    <row r="802">
      <c r="A802" s="26">
        <v>44682.736758541665</v>
      </c>
      <c r="B802" s="20" t="s">
        <v>67</v>
      </c>
      <c r="C802" s="20">
        <v>488.0</v>
      </c>
      <c r="D802" s="20" t="s">
        <v>2144</v>
      </c>
      <c r="E802" s="20" t="s">
        <v>80</v>
      </c>
      <c r="F802" s="27"/>
    </row>
    <row r="803">
      <c r="A803" s="26">
        <v>44682.73709623843</v>
      </c>
      <c r="B803" s="20" t="s">
        <v>67</v>
      </c>
      <c r="C803" s="20">
        <v>988.0</v>
      </c>
      <c r="D803" s="20" t="s">
        <v>2144</v>
      </c>
      <c r="E803" s="20" t="s">
        <v>40</v>
      </c>
      <c r="F803" s="27"/>
    </row>
    <row r="804">
      <c r="A804" s="26">
        <v>44682.73754277777</v>
      </c>
      <c r="B804" s="20" t="s">
        <v>67</v>
      </c>
      <c r="C804" s="20">
        <v>951.0</v>
      </c>
      <c r="D804" s="20" t="s">
        <v>2144</v>
      </c>
      <c r="E804" s="20" t="s">
        <v>40</v>
      </c>
      <c r="F804" s="27"/>
    </row>
    <row r="805">
      <c r="A805" s="26">
        <v>44682.73783707176</v>
      </c>
      <c r="B805" s="20" t="s">
        <v>67</v>
      </c>
      <c r="C805" s="20">
        <v>691.0</v>
      </c>
      <c r="D805" s="20" t="s">
        <v>2144</v>
      </c>
      <c r="E805" s="20" t="s">
        <v>80</v>
      </c>
      <c r="F805" s="27"/>
    </row>
    <row r="806">
      <c r="A806" s="26">
        <v>44682.73806613426</v>
      </c>
      <c r="B806" s="20" t="s">
        <v>67</v>
      </c>
      <c r="C806" s="20">
        <v>432.0</v>
      </c>
      <c r="D806" s="20" t="s">
        <v>2144</v>
      </c>
      <c r="E806" s="20" t="s">
        <v>80</v>
      </c>
      <c r="F806" s="27"/>
    </row>
    <row r="807">
      <c r="A807" s="26">
        <v>44682.738323541664</v>
      </c>
      <c r="B807" s="20" t="s">
        <v>67</v>
      </c>
      <c r="C807" s="20">
        <v>1007.0</v>
      </c>
      <c r="D807" s="20" t="s">
        <v>2144</v>
      </c>
      <c r="E807" s="20" t="s">
        <v>80</v>
      </c>
      <c r="F807" s="27"/>
    </row>
    <row r="808">
      <c r="A808" s="28">
        <v>44685.0</v>
      </c>
      <c r="B808" s="20" t="s">
        <v>2210</v>
      </c>
      <c r="C808" s="20">
        <v>305.0</v>
      </c>
      <c r="D808" s="20" t="s">
        <v>2144</v>
      </c>
      <c r="E808" s="20" t="s">
        <v>40</v>
      </c>
      <c r="F808" s="27"/>
    </row>
    <row r="809">
      <c r="A809" s="28">
        <v>44682.0</v>
      </c>
      <c r="B809" s="20" t="s">
        <v>2213</v>
      </c>
      <c r="C809" s="20">
        <v>1030.0</v>
      </c>
      <c r="D809" s="20" t="s">
        <v>2144</v>
      </c>
      <c r="E809" s="20" t="s">
        <v>40</v>
      </c>
      <c r="F809" s="27"/>
    </row>
    <row r="810">
      <c r="A810" s="28">
        <v>44682.0</v>
      </c>
      <c r="B810" s="20" t="s">
        <v>2213</v>
      </c>
      <c r="C810" s="20">
        <v>1497.0</v>
      </c>
      <c r="D810" s="20" t="s">
        <v>2144</v>
      </c>
      <c r="E810" s="20" t="s">
        <v>36</v>
      </c>
      <c r="F810" s="27"/>
    </row>
    <row r="811">
      <c r="A811" s="28">
        <v>44682.0</v>
      </c>
      <c r="B811" s="20" t="s">
        <v>2213</v>
      </c>
      <c r="C811" s="20">
        <v>1157.0</v>
      </c>
      <c r="D811" s="20" t="s">
        <v>2144</v>
      </c>
      <c r="E811" s="20" t="s">
        <v>2165</v>
      </c>
      <c r="F811" s="27"/>
    </row>
    <row r="812">
      <c r="A812" s="28">
        <v>44682.0</v>
      </c>
      <c r="B812" s="20" t="s">
        <v>2213</v>
      </c>
      <c r="C812" s="20">
        <v>345.0</v>
      </c>
      <c r="D812" s="20" t="s">
        <v>2144</v>
      </c>
      <c r="E812" s="20" t="s">
        <v>40</v>
      </c>
      <c r="F812" s="27"/>
    </row>
    <row r="813">
      <c r="A813" s="28">
        <v>44682.0</v>
      </c>
      <c r="B813" s="20" t="s">
        <v>2213</v>
      </c>
      <c r="C813" s="20">
        <v>167.0</v>
      </c>
      <c r="D813" s="20" t="s">
        <v>2144</v>
      </c>
      <c r="E813" s="20"/>
      <c r="F813" s="27"/>
    </row>
    <row r="814">
      <c r="A814" s="26">
        <v>44686.83265810185</v>
      </c>
      <c r="C814" s="20">
        <v>268.0</v>
      </c>
      <c r="D814" s="20" t="s">
        <v>2144</v>
      </c>
      <c r="E814" s="20" t="s">
        <v>80</v>
      </c>
      <c r="F814" s="27"/>
    </row>
    <row r="815">
      <c r="A815" s="26">
        <v>44686.832766481486</v>
      </c>
      <c r="C815" s="20">
        <v>613.0</v>
      </c>
      <c r="D815" s="20" t="s">
        <v>2144</v>
      </c>
      <c r="E815" s="20" t="s">
        <v>40</v>
      </c>
      <c r="F815" s="27"/>
    </row>
    <row r="816">
      <c r="A816" s="26">
        <v>44686.83288015046</v>
      </c>
      <c r="C816" s="20">
        <v>712.0</v>
      </c>
      <c r="D816" s="20" t="s">
        <v>2144</v>
      </c>
      <c r="E816" s="20" t="s">
        <v>38</v>
      </c>
      <c r="F816" s="27"/>
    </row>
    <row r="817">
      <c r="A817" s="26">
        <v>44686.83303300926</v>
      </c>
      <c r="C817" s="20">
        <v>856.0</v>
      </c>
      <c r="D817" s="20" t="s">
        <v>2144</v>
      </c>
      <c r="E817" s="20" t="s">
        <v>47</v>
      </c>
      <c r="F817" s="27"/>
    </row>
    <row r="818">
      <c r="A818" s="26">
        <v>44686.83319538194</v>
      </c>
      <c r="C818" s="20">
        <v>867.0</v>
      </c>
      <c r="D818" s="20" t="s">
        <v>2144</v>
      </c>
      <c r="E818" s="20" t="s">
        <v>47</v>
      </c>
      <c r="F818" s="27"/>
    </row>
    <row r="819">
      <c r="A819" s="26">
        <v>44687.61868034722</v>
      </c>
      <c r="B819" s="20" t="s">
        <v>366</v>
      </c>
      <c r="C819" s="20">
        <v>775.0</v>
      </c>
      <c r="D819" s="20" t="s">
        <v>2148</v>
      </c>
      <c r="E819" s="20" t="s">
        <v>40</v>
      </c>
      <c r="F819" s="27"/>
    </row>
    <row r="820">
      <c r="A820" s="26">
        <v>44687.61929017361</v>
      </c>
      <c r="B820" s="20" t="s">
        <v>366</v>
      </c>
      <c r="C820" s="20">
        <v>600.0</v>
      </c>
      <c r="D820" s="20" t="s">
        <v>2148</v>
      </c>
      <c r="E820" s="20" t="s">
        <v>40</v>
      </c>
      <c r="F820" s="27"/>
    </row>
    <row r="821">
      <c r="A821" s="26">
        <v>44687.61982032408</v>
      </c>
      <c r="B821" s="20" t="s">
        <v>366</v>
      </c>
      <c r="C821" s="20">
        <v>763.0</v>
      </c>
      <c r="D821" s="20" t="s">
        <v>2148</v>
      </c>
      <c r="E821" s="20" t="s">
        <v>40</v>
      </c>
      <c r="F821" s="27"/>
    </row>
    <row r="822">
      <c r="A822" s="26">
        <v>44687.620152766205</v>
      </c>
      <c r="B822" s="20" t="s">
        <v>366</v>
      </c>
      <c r="C822" s="20">
        <v>764.0</v>
      </c>
      <c r="D822" s="20" t="s">
        <v>2148</v>
      </c>
      <c r="E822" s="20" t="s">
        <v>40</v>
      </c>
      <c r="F822" s="27"/>
    </row>
    <row r="823">
      <c r="A823" s="26">
        <v>44687.620779467594</v>
      </c>
      <c r="B823" s="20" t="s">
        <v>366</v>
      </c>
      <c r="C823" s="20">
        <v>734.0</v>
      </c>
      <c r="D823" s="20" t="s">
        <v>2148</v>
      </c>
      <c r="E823" s="20" t="s">
        <v>40</v>
      </c>
      <c r="F823" s="27"/>
    </row>
    <row r="824">
      <c r="A824" s="26">
        <v>44687.796688993054</v>
      </c>
      <c r="B824" s="20" t="s">
        <v>67</v>
      </c>
      <c r="C824" s="20">
        <v>1412.0</v>
      </c>
      <c r="D824" s="20" t="s">
        <v>2144</v>
      </c>
      <c r="E824" s="20" t="s">
        <v>36</v>
      </c>
      <c r="F824" s="27"/>
    </row>
    <row r="825">
      <c r="A825" s="26">
        <v>44687.79695314815</v>
      </c>
      <c r="B825" s="20" t="s">
        <v>67</v>
      </c>
      <c r="C825" s="20">
        <v>1291.0</v>
      </c>
      <c r="D825" s="20" t="s">
        <v>2144</v>
      </c>
      <c r="E825" s="20" t="s">
        <v>38</v>
      </c>
      <c r="F825" s="27"/>
    </row>
    <row r="826">
      <c r="A826" s="26">
        <v>44687.79717302084</v>
      </c>
      <c r="B826" s="20" t="s">
        <v>67</v>
      </c>
      <c r="C826" s="20">
        <v>791.0</v>
      </c>
      <c r="D826" s="20" t="s">
        <v>2144</v>
      </c>
      <c r="E826" s="20" t="s">
        <v>38</v>
      </c>
      <c r="F826" s="27"/>
    </row>
    <row r="827">
      <c r="A827" s="28">
        <v>44687.0</v>
      </c>
      <c r="B827" s="20" t="s">
        <v>345</v>
      </c>
      <c r="C827" s="20">
        <v>175.0</v>
      </c>
      <c r="D827" s="20" t="s">
        <v>2144</v>
      </c>
      <c r="E827" s="20" t="s">
        <v>2165</v>
      </c>
      <c r="F827" s="27"/>
    </row>
    <row r="828">
      <c r="A828" s="26">
        <v>44689.5372666551</v>
      </c>
      <c r="B828" s="20" t="s">
        <v>49</v>
      </c>
      <c r="C828" s="20">
        <v>139.0</v>
      </c>
      <c r="D828" s="20" t="s">
        <v>2149</v>
      </c>
      <c r="E828" s="20" t="s">
        <v>227</v>
      </c>
      <c r="F828" s="27"/>
    </row>
    <row r="829">
      <c r="A829" s="26">
        <v>44689.69197930556</v>
      </c>
      <c r="B829" s="20" t="s">
        <v>67</v>
      </c>
      <c r="C829" s="20">
        <v>946.0</v>
      </c>
      <c r="D829" s="20" t="s">
        <v>2144</v>
      </c>
      <c r="E829" s="20" t="s">
        <v>40</v>
      </c>
      <c r="F829" s="27"/>
    </row>
    <row r="830">
      <c r="A830" s="26">
        <v>44689.69223221065</v>
      </c>
      <c r="B830" s="20" t="s">
        <v>67</v>
      </c>
      <c r="C830" s="20">
        <v>825.0</v>
      </c>
      <c r="D830" s="20" t="s">
        <v>2144</v>
      </c>
      <c r="E830" s="20" t="s">
        <v>80</v>
      </c>
      <c r="F830" s="27"/>
    </row>
    <row r="831">
      <c r="A831" s="26">
        <v>44689.692580104165</v>
      </c>
      <c r="B831" s="20" t="s">
        <v>67</v>
      </c>
      <c r="C831" s="20">
        <v>942.0</v>
      </c>
      <c r="D831" s="20" t="s">
        <v>2144</v>
      </c>
      <c r="E831" s="20" t="s">
        <v>40</v>
      </c>
      <c r="F831" s="27"/>
    </row>
    <row r="832">
      <c r="A832" s="26">
        <v>44689.69290332176</v>
      </c>
      <c r="B832" s="20" t="s">
        <v>67</v>
      </c>
      <c r="C832" s="20">
        <v>602.0</v>
      </c>
      <c r="D832" s="20" t="s">
        <v>2144</v>
      </c>
      <c r="E832" s="20" t="s">
        <v>80</v>
      </c>
      <c r="F832" s="27"/>
    </row>
    <row r="833">
      <c r="A833" s="26">
        <v>44689.693187592595</v>
      </c>
      <c r="B833" s="20" t="s">
        <v>67</v>
      </c>
      <c r="C833" s="20">
        <v>440.0</v>
      </c>
      <c r="D833" s="20" t="s">
        <v>2144</v>
      </c>
      <c r="E833" s="20" t="s">
        <v>80</v>
      </c>
      <c r="F833" s="27"/>
    </row>
    <row r="834">
      <c r="A834" s="26">
        <v>44689.69356043982</v>
      </c>
      <c r="B834" s="20" t="s">
        <v>67</v>
      </c>
      <c r="C834" s="20">
        <v>672.0</v>
      </c>
      <c r="D834" s="20" t="s">
        <v>2144</v>
      </c>
      <c r="E834" s="20" t="s">
        <v>80</v>
      </c>
      <c r="F834" s="27"/>
    </row>
    <row r="835">
      <c r="A835" s="26">
        <v>44694.59319861111</v>
      </c>
      <c r="B835" s="20" t="s">
        <v>300</v>
      </c>
      <c r="C835" s="20">
        <v>11.0</v>
      </c>
      <c r="D835" s="20" t="s">
        <v>374</v>
      </c>
      <c r="E835" s="20" t="s">
        <v>64</v>
      </c>
      <c r="F835" s="27"/>
    </row>
    <row r="836">
      <c r="A836" s="26">
        <v>44694.71752651621</v>
      </c>
      <c r="B836" s="20" t="s">
        <v>67</v>
      </c>
      <c r="C836" s="20">
        <v>199.0</v>
      </c>
      <c r="D836" s="20" t="s">
        <v>2144</v>
      </c>
      <c r="E836" s="20" t="s">
        <v>38</v>
      </c>
      <c r="F836" s="27"/>
    </row>
    <row r="837">
      <c r="A837" s="26">
        <v>44694.71786296296</v>
      </c>
      <c r="B837" s="20" t="s">
        <v>67</v>
      </c>
      <c r="C837" s="20">
        <v>739.0</v>
      </c>
      <c r="D837" s="20" t="s">
        <v>2144</v>
      </c>
      <c r="E837" s="20" t="s">
        <v>47</v>
      </c>
      <c r="F837" s="27"/>
    </row>
    <row r="838">
      <c r="A838" s="26">
        <v>44694.71811821759</v>
      </c>
      <c r="B838" s="20" t="s">
        <v>67</v>
      </c>
      <c r="C838" s="20">
        <v>561.0</v>
      </c>
      <c r="D838" s="20" t="s">
        <v>2144</v>
      </c>
      <c r="E838" s="20" t="s">
        <v>47</v>
      </c>
      <c r="F838" s="27"/>
    </row>
    <row r="839">
      <c r="A839" s="26">
        <v>44694.71844774306</v>
      </c>
      <c r="B839" s="20" t="s">
        <v>67</v>
      </c>
      <c r="C839" s="20">
        <v>276.0</v>
      </c>
      <c r="D839" s="20" t="s">
        <v>2144</v>
      </c>
      <c r="E839" s="20" t="s">
        <v>47</v>
      </c>
      <c r="F839" s="27"/>
    </row>
    <row r="840">
      <c r="A840" s="26">
        <v>44694.71873146991</v>
      </c>
      <c r="B840" s="20" t="s">
        <v>67</v>
      </c>
      <c r="C840" s="20">
        <v>302.0</v>
      </c>
      <c r="D840" s="20" t="s">
        <v>2144</v>
      </c>
      <c r="E840" s="20" t="s">
        <v>47</v>
      </c>
      <c r="F840" s="27"/>
    </row>
    <row r="841">
      <c r="A841" s="26">
        <v>44694.7189515625</v>
      </c>
      <c r="B841" s="20" t="s">
        <v>67</v>
      </c>
      <c r="C841" s="20">
        <v>947.0</v>
      </c>
      <c r="D841" s="20" t="s">
        <v>2144</v>
      </c>
      <c r="E841" s="20" t="s">
        <v>47</v>
      </c>
      <c r="F841" s="27"/>
    </row>
    <row r="842">
      <c r="A842" s="26">
        <v>44694.71927238426</v>
      </c>
      <c r="B842" s="20" t="s">
        <v>67</v>
      </c>
      <c r="C842" s="20">
        <v>893.0</v>
      </c>
      <c r="D842" s="20" t="s">
        <v>2144</v>
      </c>
      <c r="E842" s="20" t="s">
        <v>40</v>
      </c>
      <c r="F842" s="27"/>
    </row>
    <row r="843">
      <c r="A843" s="26">
        <v>44694.71955666666</v>
      </c>
      <c r="B843" s="20" t="s">
        <v>67</v>
      </c>
      <c r="C843" s="20">
        <v>672.0</v>
      </c>
      <c r="D843" s="20" t="s">
        <v>2144</v>
      </c>
      <c r="E843" s="20" t="s">
        <v>80</v>
      </c>
      <c r="F843" s="27"/>
    </row>
    <row r="844">
      <c r="A844" s="26">
        <v>44694.719829050926</v>
      </c>
      <c r="B844" s="20" t="s">
        <v>67</v>
      </c>
      <c r="C844" s="20">
        <v>948.0</v>
      </c>
      <c r="D844" s="20" t="s">
        <v>2144</v>
      </c>
      <c r="E844" s="20" t="s">
        <v>36</v>
      </c>
      <c r="F844" s="27"/>
    </row>
    <row r="845">
      <c r="A845" s="26">
        <v>44694.72014502315</v>
      </c>
      <c r="B845" s="20" t="s">
        <v>67</v>
      </c>
      <c r="C845" s="20">
        <v>324.0</v>
      </c>
      <c r="D845" s="20" t="s">
        <v>2144</v>
      </c>
      <c r="E845" s="20" t="s">
        <v>80</v>
      </c>
      <c r="F845" s="27"/>
    </row>
    <row r="846">
      <c r="A846" s="26">
        <v>44696.55468564815</v>
      </c>
      <c r="B846" s="20" t="s">
        <v>49</v>
      </c>
      <c r="C846" s="20">
        <v>84.0</v>
      </c>
      <c r="D846" s="20" t="s">
        <v>2149</v>
      </c>
      <c r="E846" s="20" t="s">
        <v>2214</v>
      </c>
      <c r="F846" s="27"/>
    </row>
    <row r="847">
      <c r="A847" s="26">
        <v>44696.66954403935</v>
      </c>
      <c r="B847" s="20" t="s">
        <v>63</v>
      </c>
      <c r="C847" s="20">
        <v>292.0</v>
      </c>
      <c r="D847" s="20" t="s">
        <v>2144</v>
      </c>
      <c r="E847" s="20" t="s">
        <v>40</v>
      </c>
      <c r="F847" s="27"/>
    </row>
    <row r="848">
      <c r="A848" s="26">
        <v>44696.66986703704</v>
      </c>
      <c r="B848" s="20" t="s">
        <v>63</v>
      </c>
      <c r="C848" s="20">
        <v>666.0</v>
      </c>
      <c r="D848" s="20" t="s">
        <v>2144</v>
      </c>
      <c r="E848" s="20" t="s">
        <v>40</v>
      </c>
      <c r="F848" s="27"/>
    </row>
    <row r="849">
      <c r="A849" s="26">
        <v>44696.67011813658</v>
      </c>
      <c r="B849" s="20" t="s">
        <v>63</v>
      </c>
      <c r="C849" s="20">
        <v>447.0</v>
      </c>
      <c r="D849" s="20" t="s">
        <v>2144</v>
      </c>
      <c r="E849" s="20" t="s">
        <v>36</v>
      </c>
      <c r="F849" s="27"/>
    </row>
    <row r="850">
      <c r="A850" s="26">
        <v>44696.671612754624</v>
      </c>
      <c r="B850" s="20" t="s">
        <v>63</v>
      </c>
      <c r="C850" s="20">
        <v>571.0</v>
      </c>
      <c r="D850" s="20" t="s">
        <v>2144</v>
      </c>
      <c r="E850" s="20" t="s">
        <v>80</v>
      </c>
      <c r="F850" s="27"/>
    </row>
    <row r="851">
      <c r="A851" s="26">
        <v>44696.67324931713</v>
      </c>
      <c r="B851" s="20" t="s">
        <v>63</v>
      </c>
      <c r="C851" s="20">
        <v>723.0</v>
      </c>
      <c r="D851" s="20" t="s">
        <v>2144</v>
      </c>
      <c r="E851" s="20" t="s">
        <v>2215</v>
      </c>
      <c r="F851" s="27"/>
    </row>
    <row r="852">
      <c r="A852" s="26">
        <v>44696.674959641205</v>
      </c>
      <c r="B852" s="20" t="s">
        <v>63</v>
      </c>
      <c r="C852" s="20">
        <v>583.0</v>
      </c>
      <c r="D852" s="20" t="s">
        <v>2144</v>
      </c>
      <c r="E852" s="20" t="s">
        <v>80</v>
      </c>
      <c r="F852" s="27"/>
    </row>
    <row r="853">
      <c r="A853" s="26">
        <v>44696.678352048606</v>
      </c>
      <c r="B853" s="20" t="s">
        <v>63</v>
      </c>
      <c r="C853" s="20">
        <v>377.0</v>
      </c>
      <c r="D853" s="20" t="s">
        <v>2144</v>
      </c>
      <c r="E853" s="20" t="s">
        <v>95</v>
      </c>
      <c r="F853" s="27"/>
    </row>
    <row r="854">
      <c r="A854" s="26">
        <v>44699.57300805555</v>
      </c>
      <c r="B854" s="20" t="s">
        <v>285</v>
      </c>
      <c r="C854" s="20">
        <v>55.0</v>
      </c>
      <c r="D854" s="20" t="s">
        <v>2144</v>
      </c>
      <c r="E854" s="20" t="s">
        <v>47</v>
      </c>
      <c r="F854" s="27"/>
    </row>
    <row r="855">
      <c r="A855" s="26">
        <v>44699.5755584838</v>
      </c>
      <c r="B855" s="20" t="s">
        <v>285</v>
      </c>
      <c r="C855" s="20">
        <v>337.0</v>
      </c>
      <c r="D855" s="20" t="s">
        <v>2144</v>
      </c>
      <c r="E855" s="20" t="s">
        <v>585</v>
      </c>
      <c r="F855" s="27"/>
    </row>
    <row r="856">
      <c r="A856" s="26">
        <v>44699.5777859838</v>
      </c>
      <c r="B856" s="20" t="s">
        <v>285</v>
      </c>
      <c r="C856" s="20">
        <v>601.0</v>
      </c>
      <c r="D856" s="20" t="s">
        <v>2144</v>
      </c>
      <c r="E856" s="20" t="s">
        <v>40</v>
      </c>
      <c r="F856" s="27"/>
    </row>
    <row r="857">
      <c r="A857" s="26">
        <v>44699.57993306713</v>
      </c>
      <c r="B857" s="20" t="s">
        <v>285</v>
      </c>
      <c r="C857" s="20">
        <v>810.0</v>
      </c>
      <c r="D857" s="20" t="s">
        <v>2144</v>
      </c>
      <c r="E857" s="20" t="s">
        <v>40</v>
      </c>
      <c r="F857" s="27"/>
    </row>
    <row r="858">
      <c r="A858" s="26">
        <v>44699.58364171296</v>
      </c>
      <c r="B858" s="20" t="s">
        <v>285</v>
      </c>
      <c r="C858" s="20">
        <v>611.0</v>
      </c>
      <c r="D858" s="20" t="s">
        <v>2144</v>
      </c>
      <c r="E858" s="20" t="s">
        <v>40</v>
      </c>
      <c r="F858" s="27"/>
    </row>
    <row r="859">
      <c r="A859" s="26">
        <v>44699.58711659722</v>
      </c>
      <c r="B859" s="20" t="s">
        <v>285</v>
      </c>
      <c r="C859" s="20">
        <v>1063.0</v>
      </c>
      <c r="D859" s="20" t="s">
        <v>2144</v>
      </c>
      <c r="E859" s="20" t="s">
        <v>585</v>
      </c>
      <c r="F859" s="27"/>
    </row>
    <row r="860">
      <c r="A860" s="26">
        <v>44699.58932842592</v>
      </c>
      <c r="B860" s="20" t="s">
        <v>285</v>
      </c>
      <c r="C860" s="20">
        <v>601.0</v>
      </c>
      <c r="D860" s="20" t="s">
        <v>2144</v>
      </c>
      <c r="E860" s="20" t="s">
        <v>2216</v>
      </c>
      <c r="F860" s="27"/>
    </row>
    <row r="861">
      <c r="A861" s="26">
        <v>44699.5909425</v>
      </c>
      <c r="B861" s="20" t="s">
        <v>285</v>
      </c>
      <c r="C861" s="20">
        <v>234.0</v>
      </c>
      <c r="D861" s="20" t="s">
        <v>2144</v>
      </c>
      <c r="E861" s="20" t="s">
        <v>38</v>
      </c>
      <c r="F861" s="27"/>
    </row>
    <row r="862">
      <c r="A862" s="26">
        <v>44699.592669895836</v>
      </c>
      <c r="B862" s="20" t="s">
        <v>285</v>
      </c>
      <c r="C862" s="20">
        <v>318.0</v>
      </c>
      <c r="D862" s="20" t="s">
        <v>2144</v>
      </c>
      <c r="E862" s="20" t="s">
        <v>2217</v>
      </c>
      <c r="F862" s="27"/>
    </row>
    <row r="863">
      <c r="A863" s="26">
        <v>44699.595517152775</v>
      </c>
      <c r="B863" s="20" t="s">
        <v>285</v>
      </c>
      <c r="C863" s="20">
        <v>138.0</v>
      </c>
      <c r="D863" s="20" t="s">
        <v>2144</v>
      </c>
      <c r="E863" s="20" t="s">
        <v>95</v>
      </c>
      <c r="F863" s="27"/>
    </row>
    <row r="864">
      <c r="A864" s="26">
        <v>44699.89530800926</v>
      </c>
      <c r="B864" s="20" t="s">
        <v>786</v>
      </c>
      <c r="C864" s="20">
        <v>439.0</v>
      </c>
      <c r="D864" s="20" t="s">
        <v>2144</v>
      </c>
      <c r="E864" s="20" t="s">
        <v>47</v>
      </c>
      <c r="F864" s="27"/>
    </row>
    <row r="865">
      <c r="A865" s="26">
        <v>44699.896101817125</v>
      </c>
      <c r="B865" s="20" t="s">
        <v>1609</v>
      </c>
      <c r="C865" s="20">
        <v>625.0</v>
      </c>
      <c r="D865" s="20" t="s">
        <v>2144</v>
      </c>
      <c r="E865" s="20" t="s">
        <v>64</v>
      </c>
      <c r="F865" s="27"/>
    </row>
    <row r="866">
      <c r="A866" s="26">
        <v>44699.89966804398</v>
      </c>
      <c r="B866" s="20" t="s">
        <v>786</v>
      </c>
      <c r="C866" s="20">
        <v>634.0</v>
      </c>
      <c r="D866" s="20" t="s">
        <v>2144</v>
      </c>
      <c r="E866" s="20" t="s">
        <v>2218</v>
      </c>
      <c r="F866" s="27"/>
    </row>
    <row r="867">
      <c r="A867" s="26">
        <v>44699.90307980324</v>
      </c>
      <c r="B867" s="20" t="s">
        <v>786</v>
      </c>
      <c r="C867" s="20">
        <v>529.0</v>
      </c>
      <c r="D867" s="20" t="s">
        <v>2144</v>
      </c>
      <c r="E867" s="20" t="s">
        <v>64</v>
      </c>
      <c r="F867" s="27"/>
    </row>
    <row r="868">
      <c r="A868" s="26">
        <v>44699.90598130787</v>
      </c>
      <c r="B868" s="20" t="s">
        <v>786</v>
      </c>
      <c r="C868" s="20">
        <v>239.0</v>
      </c>
      <c r="D868" s="20" t="s">
        <v>2144</v>
      </c>
      <c r="E868" s="20" t="s">
        <v>80</v>
      </c>
      <c r="F868" s="27"/>
    </row>
    <row r="869">
      <c r="A869" s="26">
        <v>44701.83190123843</v>
      </c>
      <c r="B869" s="20" t="s">
        <v>49</v>
      </c>
      <c r="C869" s="20">
        <v>322.0</v>
      </c>
      <c r="D869" s="20" t="s">
        <v>2219</v>
      </c>
      <c r="E869" s="20" t="s">
        <v>95</v>
      </c>
      <c r="F869" s="27"/>
    </row>
    <row r="870">
      <c r="A870" s="26">
        <v>44701.83219930556</v>
      </c>
      <c r="B870" s="20" t="s">
        <v>49</v>
      </c>
      <c r="C870" s="20">
        <v>184.0</v>
      </c>
      <c r="D870" s="20" t="s">
        <v>2220</v>
      </c>
      <c r="E870" s="20" t="s">
        <v>95</v>
      </c>
      <c r="F870" s="27"/>
    </row>
    <row r="871">
      <c r="A871" s="26">
        <v>44703.52384351852</v>
      </c>
      <c r="B871" s="20" t="s">
        <v>67</v>
      </c>
      <c r="C871" s="20">
        <v>82.0</v>
      </c>
      <c r="D871" s="20" t="s">
        <v>2144</v>
      </c>
      <c r="E871" s="20" t="s">
        <v>47</v>
      </c>
      <c r="F871" s="27"/>
    </row>
    <row r="872">
      <c r="A872" s="26">
        <v>44703.52417388889</v>
      </c>
      <c r="B872" s="20" t="s">
        <v>67</v>
      </c>
      <c r="C872" s="20">
        <v>738.0</v>
      </c>
      <c r="D872" s="20" t="s">
        <v>2144</v>
      </c>
      <c r="E872" s="20" t="s">
        <v>40</v>
      </c>
      <c r="F872" s="27"/>
    </row>
    <row r="873">
      <c r="A873" s="26">
        <v>44703.5244039699</v>
      </c>
      <c r="B873" s="20" t="s">
        <v>67</v>
      </c>
      <c r="C873" s="20">
        <v>632.0</v>
      </c>
      <c r="D873" s="20" t="s">
        <v>2144</v>
      </c>
      <c r="E873" s="20" t="s">
        <v>80</v>
      </c>
      <c r="F873" s="27"/>
    </row>
    <row r="874">
      <c r="A874" s="26">
        <v>44703.52464783565</v>
      </c>
      <c r="B874" s="20" t="s">
        <v>67</v>
      </c>
      <c r="C874" s="20">
        <v>625.0</v>
      </c>
      <c r="D874" s="20" t="s">
        <v>2144</v>
      </c>
      <c r="E874" s="20" t="s">
        <v>80</v>
      </c>
      <c r="F874" s="27"/>
    </row>
    <row r="875">
      <c r="A875" s="26">
        <v>44703.52510917824</v>
      </c>
      <c r="B875" s="20" t="s">
        <v>67</v>
      </c>
      <c r="C875" s="20">
        <v>303.0</v>
      </c>
      <c r="D875" s="20" t="s">
        <v>2144</v>
      </c>
      <c r="E875" s="20" t="s">
        <v>80</v>
      </c>
      <c r="F875" s="27"/>
    </row>
    <row r="876">
      <c r="A876" s="26">
        <v>44703.52561842593</v>
      </c>
      <c r="B876" s="20" t="s">
        <v>67</v>
      </c>
      <c r="C876" s="20">
        <v>608.0</v>
      </c>
      <c r="D876" s="20" t="s">
        <v>2144</v>
      </c>
      <c r="E876" s="20" t="s">
        <v>80</v>
      </c>
      <c r="F876" s="27"/>
    </row>
    <row r="877">
      <c r="A877" s="26">
        <v>44703.52612922454</v>
      </c>
      <c r="B877" s="20" t="s">
        <v>67</v>
      </c>
      <c r="C877" s="20">
        <v>475.0</v>
      </c>
      <c r="D877" s="20" t="s">
        <v>2144</v>
      </c>
      <c r="E877" s="20" t="s">
        <v>80</v>
      </c>
      <c r="F877" s="27"/>
    </row>
    <row r="878">
      <c r="A878" s="26">
        <v>44703.52640274305</v>
      </c>
      <c r="B878" s="20" t="s">
        <v>67</v>
      </c>
      <c r="C878" s="20">
        <v>77.0</v>
      </c>
      <c r="D878" s="20" t="s">
        <v>2144</v>
      </c>
      <c r="E878" s="20" t="s">
        <v>80</v>
      </c>
      <c r="F878" s="27"/>
    </row>
    <row r="879">
      <c r="A879" s="26">
        <v>44703.56786496528</v>
      </c>
      <c r="B879" s="20" t="s">
        <v>49</v>
      </c>
      <c r="C879" s="20">
        <v>41.0</v>
      </c>
      <c r="D879" s="20" t="s">
        <v>2149</v>
      </c>
      <c r="E879" s="20" t="s">
        <v>117</v>
      </c>
      <c r="F879" s="27"/>
    </row>
    <row r="880">
      <c r="A880" s="26">
        <v>44703.64293770833</v>
      </c>
      <c r="B880" s="20" t="s">
        <v>49</v>
      </c>
      <c r="C880" s="20">
        <v>77.0</v>
      </c>
      <c r="D880" s="20" t="s">
        <v>2149</v>
      </c>
      <c r="E880" s="20" t="s">
        <v>646</v>
      </c>
      <c r="F880" s="27"/>
    </row>
    <row r="881">
      <c r="A881" s="26">
        <v>44703.71456366898</v>
      </c>
      <c r="B881" s="20" t="s">
        <v>63</v>
      </c>
      <c r="C881" s="20">
        <v>792.0</v>
      </c>
      <c r="D881" s="20" t="s">
        <v>2144</v>
      </c>
      <c r="E881" s="20" t="s">
        <v>36</v>
      </c>
      <c r="F881" s="27"/>
    </row>
    <row r="882">
      <c r="A882" s="26">
        <v>44703.7149375</v>
      </c>
      <c r="B882" s="20" t="s">
        <v>63</v>
      </c>
      <c r="C882" s="20">
        <v>525.0</v>
      </c>
      <c r="D882" s="20" t="s">
        <v>2144</v>
      </c>
      <c r="E882" s="20" t="s">
        <v>40</v>
      </c>
      <c r="F882" s="27"/>
    </row>
    <row r="883">
      <c r="A883" s="26">
        <v>44703.715248113425</v>
      </c>
      <c r="B883" s="20" t="s">
        <v>63</v>
      </c>
      <c r="C883" s="20">
        <v>299.0</v>
      </c>
      <c r="D883" s="20" t="s">
        <v>2144</v>
      </c>
      <c r="E883" s="20" t="s">
        <v>80</v>
      </c>
      <c r="F883" s="27"/>
    </row>
    <row r="884">
      <c r="A884" s="26">
        <v>44703.71547210648</v>
      </c>
      <c r="B884" s="20" t="s">
        <v>63</v>
      </c>
      <c r="C884" s="20">
        <v>614.0</v>
      </c>
      <c r="D884" s="20" t="s">
        <v>2144</v>
      </c>
      <c r="E884" s="20" t="s">
        <v>80</v>
      </c>
      <c r="F884" s="27"/>
    </row>
    <row r="885">
      <c r="A885" s="26">
        <v>44703.71578049769</v>
      </c>
      <c r="B885" s="20" t="s">
        <v>63</v>
      </c>
      <c r="C885" s="20">
        <v>653.0</v>
      </c>
      <c r="D885" s="20" t="s">
        <v>2144</v>
      </c>
      <c r="E885" s="20" t="s">
        <v>40</v>
      </c>
      <c r="F885" s="27"/>
    </row>
    <row r="886">
      <c r="A886" s="26">
        <v>44703.71609128472</v>
      </c>
      <c r="B886" s="20" t="s">
        <v>63</v>
      </c>
      <c r="C886" s="20">
        <v>297.0</v>
      </c>
      <c r="D886" s="20" t="s">
        <v>2144</v>
      </c>
      <c r="E886" s="20" t="s">
        <v>95</v>
      </c>
      <c r="F886" s="27"/>
    </row>
    <row r="887">
      <c r="A887" s="26">
        <v>44703.71637005787</v>
      </c>
      <c r="B887" s="20" t="s">
        <v>63</v>
      </c>
      <c r="C887" s="20">
        <v>230.0</v>
      </c>
      <c r="D887" s="20" t="s">
        <v>2144</v>
      </c>
      <c r="E887" s="20" t="s">
        <v>95</v>
      </c>
      <c r="F887" s="27"/>
    </row>
    <row r="888">
      <c r="A888" s="28">
        <v>44705.0</v>
      </c>
      <c r="B888" s="20" t="s">
        <v>345</v>
      </c>
      <c r="C888" s="20">
        <v>676.0</v>
      </c>
      <c r="D888" s="20" t="s">
        <v>2144</v>
      </c>
      <c r="E888" s="20" t="s">
        <v>40</v>
      </c>
      <c r="F888" s="27"/>
    </row>
    <row r="889">
      <c r="A889" s="28">
        <v>44705.0</v>
      </c>
      <c r="B889" s="20" t="s">
        <v>345</v>
      </c>
      <c r="C889" s="20">
        <v>475.0</v>
      </c>
      <c r="D889" s="20" t="s">
        <v>2144</v>
      </c>
      <c r="E889" s="20" t="s">
        <v>40</v>
      </c>
      <c r="F889" s="27"/>
    </row>
    <row r="890">
      <c r="A890" s="26">
        <v>44706.62668224537</v>
      </c>
      <c r="B890" s="20" t="s">
        <v>177</v>
      </c>
      <c r="C890" s="20">
        <v>901.0</v>
      </c>
      <c r="D890" s="20" t="s">
        <v>2144</v>
      </c>
      <c r="E890" s="20" t="s">
        <v>2221</v>
      </c>
      <c r="F890" s="27"/>
    </row>
    <row r="891">
      <c r="A891" s="26">
        <v>44706.627775625</v>
      </c>
      <c r="B891" s="20" t="s">
        <v>236</v>
      </c>
      <c r="C891" s="20">
        <v>859.0</v>
      </c>
      <c r="D891" s="20" t="s">
        <v>2144</v>
      </c>
      <c r="E891" s="20" t="s">
        <v>467</v>
      </c>
      <c r="F891" s="27"/>
    </row>
    <row r="892">
      <c r="A892" s="26">
        <v>44706.628169999996</v>
      </c>
      <c r="B892" s="20" t="s">
        <v>177</v>
      </c>
      <c r="C892" s="20">
        <v>856.0</v>
      </c>
      <c r="D892" s="20" t="s">
        <v>2144</v>
      </c>
      <c r="E892" s="20" t="s">
        <v>64</v>
      </c>
      <c r="F892" s="27"/>
    </row>
    <row r="893">
      <c r="A893" s="26">
        <v>44706.62871981482</v>
      </c>
      <c r="B893" s="20" t="s">
        <v>177</v>
      </c>
      <c r="C893" s="20">
        <v>430.0</v>
      </c>
      <c r="D893" s="20" t="s">
        <v>2144</v>
      </c>
      <c r="E893" s="20" t="s">
        <v>64</v>
      </c>
      <c r="F893" s="27"/>
    </row>
    <row r="894">
      <c r="A894" s="26">
        <v>44706.62976214121</v>
      </c>
      <c r="B894" s="20" t="s">
        <v>177</v>
      </c>
      <c r="C894" s="20">
        <v>98.0</v>
      </c>
      <c r="D894" s="20" t="s">
        <v>2144</v>
      </c>
      <c r="E894" s="20" t="s">
        <v>95</v>
      </c>
      <c r="F894" s="27"/>
    </row>
    <row r="895">
      <c r="A895" s="26">
        <v>44706.63078125</v>
      </c>
      <c r="B895" s="20" t="s">
        <v>177</v>
      </c>
      <c r="C895" s="20">
        <v>1060.0</v>
      </c>
      <c r="D895" s="20" t="s">
        <v>2144</v>
      </c>
      <c r="E895" s="20" t="s">
        <v>64</v>
      </c>
      <c r="F895" s="27"/>
    </row>
    <row r="896">
      <c r="A896" s="26">
        <v>44706.63114293982</v>
      </c>
      <c r="B896" s="20" t="s">
        <v>236</v>
      </c>
      <c r="C896" s="20">
        <v>1680.0</v>
      </c>
      <c r="D896" s="20" t="s">
        <v>2144</v>
      </c>
      <c r="E896" s="20" t="s">
        <v>64</v>
      </c>
      <c r="F896" s="27"/>
    </row>
    <row r="897">
      <c r="A897" s="26">
        <v>44706.63263712963</v>
      </c>
      <c r="B897" s="20" t="s">
        <v>177</v>
      </c>
      <c r="C897" s="20">
        <v>892.0</v>
      </c>
      <c r="D897" s="20" t="s">
        <v>2144</v>
      </c>
      <c r="E897" s="20" t="s">
        <v>64</v>
      </c>
      <c r="F897" s="27"/>
    </row>
    <row r="898">
      <c r="A898" s="26">
        <v>44706.63300938657</v>
      </c>
      <c r="B898" s="20" t="s">
        <v>177</v>
      </c>
      <c r="C898" s="20">
        <v>803.0</v>
      </c>
      <c r="D898" s="20" t="s">
        <v>2144</v>
      </c>
      <c r="E898" s="20" t="s">
        <v>40</v>
      </c>
      <c r="F898" s="27"/>
    </row>
    <row r="899">
      <c r="A899" s="26">
        <v>44706.63334729167</v>
      </c>
      <c r="B899" s="20" t="s">
        <v>177</v>
      </c>
      <c r="C899" s="20">
        <v>762.0</v>
      </c>
      <c r="D899" s="20" t="s">
        <v>2144</v>
      </c>
      <c r="E899" s="20" t="s">
        <v>40</v>
      </c>
      <c r="F899" s="27"/>
    </row>
    <row r="900">
      <c r="A900" s="26">
        <v>44706.63365224537</v>
      </c>
      <c r="B900" s="20" t="s">
        <v>177</v>
      </c>
      <c r="C900" s="20">
        <v>360.0</v>
      </c>
      <c r="D900" s="20" t="s">
        <v>2144</v>
      </c>
      <c r="E900" s="20" t="s">
        <v>47</v>
      </c>
      <c r="F900" s="27"/>
    </row>
    <row r="901">
      <c r="A901" s="26">
        <v>44706.63391693287</v>
      </c>
      <c r="B901" s="20" t="s">
        <v>177</v>
      </c>
      <c r="C901" s="20">
        <v>809.0</v>
      </c>
      <c r="D901" s="20" t="s">
        <v>2144</v>
      </c>
      <c r="E901" s="20" t="s">
        <v>47</v>
      </c>
      <c r="F901" s="27"/>
    </row>
    <row r="902">
      <c r="A902" s="26">
        <v>44706.63535571759</v>
      </c>
      <c r="B902" s="20" t="s">
        <v>177</v>
      </c>
      <c r="C902" s="20">
        <v>1705.0</v>
      </c>
      <c r="D902" s="20" t="s">
        <v>2144</v>
      </c>
      <c r="E902" s="20" t="s">
        <v>64</v>
      </c>
      <c r="F902" s="27"/>
    </row>
    <row r="903">
      <c r="A903" s="26">
        <v>44706.63631434028</v>
      </c>
      <c r="B903" s="20" t="s">
        <v>177</v>
      </c>
      <c r="C903" s="20">
        <v>1054.0</v>
      </c>
      <c r="D903" s="20" t="s">
        <v>2144</v>
      </c>
      <c r="E903" s="20" t="s">
        <v>47</v>
      </c>
      <c r="F903" s="27"/>
    </row>
    <row r="904">
      <c r="A904" s="26">
        <v>44706.636796192135</v>
      </c>
      <c r="B904" s="20" t="s">
        <v>177</v>
      </c>
      <c r="C904" s="20">
        <v>695.0</v>
      </c>
      <c r="D904" s="20" t="s">
        <v>2144</v>
      </c>
      <c r="E904" s="20" t="s">
        <v>47</v>
      </c>
      <c r="F904" s="27"/>
    </row>
    <row r="905">
      <c r="A905" s="26">
        <v>44706.63707030093</v>
      </c>
      <c r="B905" s="20" t="s">
        <v>177</v>
      </c>
      <c r="C905" s="20">
        <v>528.0</v>
      </c>
      <c r="D905" s="20" t="s">
        <v>2144</v>
      </c>
      <c r="E905" s="20" t="s">
        <v>47</v>
      </c>
      <c r="F905" s="27"/>
    </row>
    <row r="906">
      <c r="A906" s="26">
        <v>44706.637356481486</v>
      </c>
      <c r="B906" s="20" t="s">
        <v>177</v>
      </c>
      <c r="C906" s="20">
        <v>646.0</v>
      </c>
      <c r="D906" s="20" t="s">
        <v>2144</v>
      </c>
      <c r="E906" s="20" t="s">
        <v>47</v>
      </c>
      <c r="F906" s="27"/>
    </row>
    <row r="907">
      <c r="A907" s="26">
        <v>44706.63761517361</v>
      </c>
      <c r="B907" s="20" t="s">
        <v>177</v>
      </c>
      <c r="C907" s="20">
        <v>652.0</v>
      </c>
      <c r="D907" s="20" t="s">
        <v>2144</v>
      </c>
      <c r="E907" s="20" t="s">
        <v>47</v>
      </c>
      <c r="F907" s="27"/>
    </row>
    <row r="908">
      <c r="A908" s="26">
        <v>44706.64145164352</v>
      </c>
      <c r="B908" s="20" t="s">
        <v>177</v>
      </c>
      <c r="C908" s="20">
        <v>933.0</v>
      </c>
      <c r="D908" s="20" t="s">
        <v>2144</v>
      </c>
      <c r="E908" s="20" t="s">
        <v>80</v>
      </c>
      <c r="F908" s="27"/>
    </row>
    <row r="909">
      <c r="A909" s="26">
        <v>44706.64937179398</v>
      </c>
      <c r="B909" s="20" t="s">
        <v>177</v>
      </c>
      <c r="C909" s="20">
        <v>214.0</v>
      </c>
      <c r="D909" s="20" t="s">
        <v>2144</v>
      </c>
      <c r="E909" s="20" t="s">
        <v>40</v>
      </c>
      <c r="F909" s="27"/>
    </row>
    <row r="910">
      <c r="A910" s="26">
        <v>44706.650775358794</v>
      </c>
      <c r="B910" s="20" t="s">
        <v>177</v>
      </c>
      <c r="C910" s="20">
        <v>523.0</v>
      </c>
      <c r="D910" s="20" t="s">
        <v>2144</v>
      </c>
      <c r="E910" s="20" t="s">
        <v>80</v>
      </c>
      <c r="F910" s="27"/>
    </row>
    <row r="911">
      <c r="A911" s="26">
        <v>44706.6522690162</v>
      </c>
      <c r="B911" s="20" t="s">
        <v>177</v>
      </c>
      <c r="C911" s="20">
        <v>552.0</v>
      </c>
      <c r="D911" s="20" t="s">
        <v>2144</v>
      </c>
      <c r="E911" s="20" t="s">
        <v>80</v>
      </c>
      <c r="F911" s="27"/>
    </row>
    <row r="912">
      <c r="A912" s="26">
        <v>44706.65388604166</v>
      </c>
      <c r="B912" s="20" t="s">
        <v>177</v>
      </c>
      <c r="C912" s="20">
        <v>552.0</v>
      </c>
      <c r="D912" s="20" t="s">
        <v>2144</v>
      </c>
      <c r="E912" s="20" t="s">
        <v>80</v>
      </c>
      <c r="F912" s="27"/>
    </row>
    <row r="913">
      <c r="A913" s="26">
        <v>44706.655964618054</v>
      </c>
      <c r="B913" s="20" t="s">
        <v>177</v>
      </c>
      <c r="C913" s="20">
        <v>676.0</v>
      </c>
      <c r="D913" s="20" t="s">
        <v>2144</v>
      </c>
      <c r="E913" s="20" t="s">
        <v>40</v>
      </c>
      <c r="F913" s="27"/>
    </row>
    <row r="914">
      <c r="A914" s="26">
        <v>44706.658794131945</v>
      </c>
      <c r="B914" s="20" t="s">
        <v>236</v>
      </c>
      <c r="C914" s="20">
        <v>475.0</v>
      </c>
      <c r="D914" s="20" t="s">
        <v>2144</v>
      </c>
      <c r="E914" s="20" t="s">
        <v>40</v>
      </c>
      <c r="F914" s="27"/>
    </row>
    <row r="915">
      <c r="A915" s="26">
        <v>44706.8414821412</v>
      </c>
      <c r="B915" s="20" t="s">
        <v>1158</v>
      </c>
      <c r="C915" s="20">
        <v>1061.0</v>
      </c>
      <c r="D915" s="20" t="s">
        <v>2144</v>
      </c>
      <c r="E915" s="20" t="s">
        <v>38</v>
      </c>
      <c r="F915" s="27"/>
    </row>
    <row r="916">
      <c r="A916" s="26">
        <v>44706.84176469907</v>
      </c>
      <c r="B916" s="20" t="s">
        <v>2222</v>
      </c>
      <c r="C916" s="20">
        <v>343.0</v>
      </c>
      <c r="D916" s="20" t="s">
        <v>2144</v>
      </c>
      <c r="E916" s="20" t="s">
        <v>80</v>
      </c>
      <c r="F916" s="27"/>
    </row>
    <row r="917">
      <c r="A917" s="26">
        <v>44708.88873515047</v>
      </c>
      <c r="B917" s="20" t="s">
        <v>55</v>
      </c>
      <c r="C917" s="20">
        <v>483.0</v>
      </c>
      <c r="D917" s="20" t="s">
        <v>2144</v>
      </c>
      <c r="E917" s="20" t="s">
        <v>404</v>
      </c>
      <c r="F917" s="27"/>
    </row>
    <row r="918">
      <c r="A918" s="26">
        <v>44708.88898103009</v>
      </c>
      <c r="B918" s="20" t="s">
        <v>55</v>
      </c>
      <c r="C918" s="20">
        <v>587.0</v>
      </c>
      <c r="D918" s="20" t="s">
        <v>2144</v>
      </c>
      <c r="E918" s="20" t="s">
        <v>80</v>
      </c>
      <c r="F918" s="27"/>
    </row>
    <row r="919">
      <c r="A919" s="26">
        <v>44708.889160763894</v>
      </c>
      <c r="B919" s="20" t="s">
        <v>55</v>
      </c>
      <c r="C919" s="20">
        <v>2308.0</v>
      </c>
      <c r="D919" s="20" t="s">
        <v>2144</v>
      </c>
      <c r="E919" s="20" t="s">
        <v>53</v>
      </c>
      <c r="F919" s="27"/>
    </row>
    <row r="920">
      <c r="A920" s="26">
        <v>44708.88938792824</v>
      </c>
      <c r="B920" s="20" t="s">
        <v>55</v>
      </c>
      <c r="C920" s="20">
        <v>830.0</v>
      </c>
      <c r="D920" s="20" t="s">
        <v>2144</v>
      </c>
      <c r="E920" s="20" t="s">
        <v>64</v>
      </c>
      <c r="F920" s="27"/>
    </row>
    <row r="921">
      <c r="A921" s="26">
        <v>44708.88970540509</v>
      </c>
      <c r="B921" s="20" t="s">
        <v>55</v>
      </c>
      <c r="C921" s="20">
        <v>756.0</v>
      </c>
      <c r="D921" s="20" t="s">
        <v>2144</v>
      </c>
      <c r="E921" s="20" t="s">
        <v>2223</v>
      </c>
      <c r="F921" s="27"/>
    </row>
    <row r="922">
      <c r="A922" s="26">
        <v>44708.88988505787</v>
      </c>
      <c r="B922" s="20" t="s">
        <v>55</v>
      </c>
      <c r="C922" s="20">
        <v>1444.0</v>
      </c>
      <c r="D922" s="20" t="s">
        <v>2144</v>
      </c>
      <c r="E922" s="20" t="s">
        <v>38</v>
      </c>
      <c r="F922" s="27"/>
    </row>
    <row r="923">
      <c r="A923" s="26">
        <v>44708.8900931713</v>
      </c>
      <c r="B923" s="20" t="s">
        <v>55</v>
      </c>
      <c r="C923" s="20">
        <v>726.0</v>
      </c>
      <c r="D923" s="20" t="s">
        <v>2144</v>
      </c>
      <c r="E923" s="20" t="s">
        <v>47</v>
      </c>
      <c r="F923" s="27"/>
    </row>
    <row r="924">
      <c r="A924" s="26">
        <v>44710.69996048611</v>
      </c>
      <c r="B924" s="20" t="s">
        <v>411</v>
      </c>
      <c r="C924" s="20">
        <v>691.0</v>
      </c>
      <c r="D924" s="20" t="s">
        <v>2144</v>
      </c>
      <c r="E924" s="20" t="s">
        <v>40</v>
      </c>
      <c r="F924" s="27"/>
    </row>
    <row r="925">
      <c r="A925" s="26">
        <v>44710.702146111114</v>
      </c>
      <c r="B925" s="20" t="s">
        <v>411</v>
      </c>
      <c r="C925" s="20">
        <v>710.0</v>
      </c>
      <c r="D925" s="20" t="s">
        <v>2144</v>
      </c>
      <c r="E925" s="20" t="s">
        <v>64</v>
      </c>
      <c r="F925" s="27"/>
    </row>
    <row r="926">
      <c r="A926" s="26">
        <v>44710.70403724537</v>
      </c>
      <c r="B926" s="20" t="s">
        <v>411</v>
      </c>
      <c r="C926" s="20">
        <v>763.0</v>
      </c>
      <c r="D926" s="20" t="s">
        <v>2144</v>
      </c>
      <c r="E926" s="20" t="s">
        <v>40</v>
      </c>
      <c r="F926" s="27"/>
    </row>
    <row r="927">
      <c r="A927" s="26">
        <v>44710.70649060185</v>
      </c>
      <c r="B927" s="20" t="s">
        <v>411</v>
      </c>
      <c r="C927" s="20">
        <v>728.0</v>
      </c>
      <c r="D927" s="20" t="s">
        <v>2144</v>
      </c>
      <c r="E927" s="20" t="s">
        <v>40</v>
      </c>
      <c r="F927" s="27"/>
    </row>
    <row r="928">
      <c r="A928" s="26">
        <v>44710.70795616898</v>
      </c>
      <c r="B928" s="20" t="s">
        <v>411</v>
      </c>
      <c r="C928" s="20">
        <v>127.0</v>
      </c>
      <c r="D928" s="20" t="s">
        <v>2144</v>
      </c>
      <c r="E928" s="20" t="s">
        <v>2224</v>
      </c>
      <c r="F928" s="27"/>
    </row>
    <row r="929">
      <c r="A929" s="26">
        <v>44710.70879746528</v>
      </c>
      <c r="B929" s="20" t="s">
        <v>411</v>
      </c>
      <c r="C929" s="20">
        <v>1636.0</v>
      </c>
      <c r="D929" s="20" t="s">
        <v>2144</v>
      </c>
      <c r="E929" s="20" t="s">
        <v>36</v>
      </c>
      <c r="F929" s="27"/>
    </row>
    <row r="930">
      <c r="A930" s="26">
        <v>44710.713972303245</v>
      </c>
      <c r="B930" s="20" t="s">
        <v>411</v>
      </c>
      <c r="C930" s="20">
        <v>672.0</v>
      </c>
      <c r="D930" s="20" t="s">
        <v>2144</v>
      </c>
      <c r="E930" s="20" t="s">
        <v>40</v>
      </c>
      <c r="F930" s="27"/>
    </row>
    <row r="931">
      <c r="A931" s="26">
        <v>44710.7145637037</v>
      </c>
      <c r="B931" s="20" t="s">
        <v>411</v>
      </c>
      <c r="C931" s="20">
        <v>1636.0</v>
      </c>
      <c r="D931" s="20" t="s">
        <v>2144</v>
      </c>
      <c r="E931" s="20" t="s">
        <v>36</v>
      </c>
      <c r="F931" s="27"/>
    </row>
    <row r="932">
      <c r="A932" s="26">
        <v>44710.71477892361</v>
      </c>
      <c r="B932" s="20" t="s">
        <v>411</v>
      </c>
      <c r="C932" s="20">
        <v>572.0</v>
      </c>
      <c r="D932" s="20" t="s">
        <v>2144</v>
      </c>
      <c r="E932" s="20" t="s">
        <v>40</v>
      </c>
      <c r="F932" s="27"/>
    </row>
    <row r="933">
      <c r="A933" s="28">
        <v>44710.0</v>
      </c>
      <c r="B933" s="20" t="s">
        <v>345</v>
      </c>
      <c r="C933" s="20">
        <v>718.0</v>
      </c>
      <c r="D933" s="20" t="s">
        <v>2144</v>
      </c>
      <c r="E933" s="20" t="s">
        <v>2225</v>
      </c>
      <c r="F933" s="27"/>
    </row>
    <row r="934">
      <c r="A934" s="28">
        <v>44716.0</v>
      </c>
      <c r="B934" s="20" t="s">
        <v>345</v>
      </c>
      <c r="C934" s="20">
        <v>469.0</v>
      </c>
      <c r="D934" s="20" t="s">
        <v>2144</v>
      </c>
      <c r="E934" s="20" t="s">
        <v>40</v>
      </c>
      <c r="F934" s="27"/>
    </row>
    <row r="935">
      <c r="A935" s="28">
        <v>44716.0</v>
      </c>
      <c r="B935" s="20" t="s">
        <v>345</v>
      </c>
      <c r="C935" s="20">
        <v>557.0</v>
      </c>
      <c r="D935" s="20" t="s">
        <v>2144</v>
      </c>
      <c r="E935" s="20" t="s">
        <v>40</v>
      </c>
      <c r="F935" s="27"/>
    </row>
    <row r="936">
      <c r="A936" s="28">
        <v>44716.0</v>
      </c>
      <c r="B936" s="20" t="s">
        <v>345</v>
      </c>
      <c r="C936" s="20">
        <v>380.0</v>
      </c>
      <c r="D936" s="20" t="s">
        <v>2144</v>
      </c>
      <c r="E936" s="20" t="s">
        <v>80</v>
      </c>
      <c r="F936" s="27"/>
    </row>
    <row r="937">
      <c r="A937" s="28">
        <v>44716.0</v>
      </c>
      <c r="B937" s="20" t="s">
        <v>345</v>
      </c>
      <c r="C937" s="20">
        <v>399.0</v>
      </c>
      <c r="D937" s="20" t="s">
        <v>2144</v>
      </c>
      <c r="E937" s="20" t="s">
        <v>95</v>
      </c>
      <c r="F937" s="27"/>
    </row>
    <row r="938">
      <c r="A938" s="26">
        <v>44717.5366415162</v>
      </c>
      <c r="B938" s="20" t="s">
        <v>67</v>
      </c>
      <c r="C938" s="20">
        <v>20.0</v>
      </c>
      <c r="D938" s="20" t="s">
        <v>2226</v>
      </c>
      <c r="E938" s="20" t="s">
        <v>118</v>
      </c>
      <c r="F938" s="27"/>
    </row>
    <row r="939">
      <c r="A939" s="26">
        <v>44717.70676396991</v>
      </c>
      <c r="B939" s="20" t="s">
        <v>411</v>
      </c>
      <c r="C939" s="20">
        <v>1064.0</v>
      </c>
      <c r="D939" s="20" t="s">
        <v>2144</v>
      </c>
      <c r="E939" s="20" t="s">
        <v>80</v>
      </c>
      <c r="F939" s="27"/>
    </row>
    <row r="940">
      <c r="A940" s="26">
        <v>44717.70799818287</v>
      </c>
      <c r="B940" s="20" t="s">
        <v>411</v>
      </c>
      <c r="C940" s="20">
        <v>1063.0</v>
      </c>
      <c r="D940" s="20" t="s">
        <v>2144</v>
      </c>
      <c r="E940" s="20" t="s">
        <v>2227</v>
      </c>
      <c r="F940" s="27"/>
    </row>
    <row r="941">
      <c r="A941" s="26">
        <v>44717.71035959491</v>
      </c>
      <c r="B941" s="20" t="s">
        <v>411</v>
      </c>
      <c r="C941" s="20">
        <v>1089.0</v>
      </c>
      <c r="D941" s="20" t="s">
        <v>2144</v>
      </c>
      <c r="E941" s="20" t="s">
        <v>80</v>
      </c>
      <c r="F941" s="27"/>
    </row>
    <row r="942">
      <c r="A942" s="26">
        <v>44721.62214446759</v>
      </c>
      <c r="B942" s="20" t="s">
        <v>214</v>
      </c>
      <c r="C942" s="20">
        <v>1507.0</v>
      </c>
      <c r="D942" s="20" t="s">
        <v>2144</v>
      </c>
      <c r="E942" s="20" t="s">
        <v>2228</v>
      </c>
      <c r="F942" s="27"/>
    </row>
    <row r="943">
      <c r="A943" s="26">
        <v>44721.622648460645</v>
      </c>
      <c r="B943" s="20" t="s">
        <v>214</v>
      </c>
      <c r="C943" s="20">
        <v>316.0</v>
      </c>
      <c r="D943" s="20" t="s">
        <v>2144</v>
      </c>
      <c r="E943" s="20" t="s">
        <v>2229</v>
      </c>
      <c r="F943" s="27"/>
    </row>
    <row r="944">
      <c r="A944" s="26">
        <v>44721.6252503125</v>
      </c>
      <c r="B944" s="20" t="s">
        <v>214</v>
      </c>
      <c r="C944" s="20">
        <v>600.0</v>
      </c>
      <c r="D944" s="20" t="s">
        <v>2144</v>
      </c>
      <c r="E944" s="20" t="s">
        <v>40</v>
      </c>
      <c r="F944" s="27"/>
    </row>
    <row r="945">
      <c r="A945" s="26">
        <v>44721.63472944444</v>
      </c>
      <c r="B945" s="20" t="s">
        <v>214</v>
      </c>
      <c r="C945" s="20">
        <v>896.0</v>
      </c>
      <c r="D945" s="20" t="s">
        <v>2144</v>
      </c>
      <c r="E945" s="20" t="s">
        <v>2230</v>
      </c>
      <c r="F945" s="27"/>
    </row>
    <row r="946">
      <c r="A946" s="26">
        <v>44721.636382662036</v>
      </c>
      <c r="B946" s="20" t="s">
        <v>214</v>
      </c>
      <c r="C946" s="20">
        <v>1094.0</v>
      </c>
      <c r="D946" s="20" t="s">
        <v>2144</v>
      </c>
      <c r="E946" s="20" t="s">
        <v>47</v>
      </c>
      <c r="F946" s="27"/>
    </row>
    <row r="947">
      <c r="A947" s="26">
        <v>44721.64185679398</v>
      </c>
      <c r="B947" s="20" t="s">
        <v>214</v>
      </c>
      <c r="C947" s="20">
        <v>1577.0</v>
      </c>
      <c r="D947" s="20" t="s">
        <v>2144</v>
      </c>
      <c r="E947" s="20" t="s">
        <v>157</v>
      </c>
      <c r="F947" s="27"/>
    </row>
    <row r="948">
      <c r="A948" s="26">
        <v>44721.64859636574</v>
      </c>
      <c r="B948" s="20" t="s">
        <v>214</v>
      </c>
      <c r="C948" s="20">
        <v>313.0</v>
      </c>
      <c r="D948" s="20" t="s">
        <v>2144</v>
      </c>
      <c r="E948" s="20" t="s">
        <v>169</v>
      </c>
      <c r="F948" s="27"/>
    </row>
    <row r="949">
      <c r="A949" s="26">
        <v>44721.65107280093</v>
      </c>
      <c r="B949" s="20" t="s">
        <v>214</v>
      </c>
      <c r="C949" s="20">
        <v>299.0</v>
      </c>
      <c r="D949" s="20" t="s">
        <v>2144</v>
      </c>
      <c r="E949" s="20" t="s">
        <v>169</v>
      </c>
      <c r="F949" s="27"/>
    </row>
    <row r="950">
      <c r="A950" s="26">
        <v>44721.661020706015</v>
      </c>
      <c r="B950" s="20" t="s">
        <v>214</v>
      </c>
      <c r="C950" s="20">
        <v>298.0</v>
      </c>
      <c r="D950" s="20" t="s">
        <v>2144</v>
      </c>
      <c r="E950" s="20" t="s">
        <v>169</v>
      </c>
      <c r="F950" s="27"/>
    </row>
    <row r="951">
      <c r="A951" s="26">
        <v>44722.68980716435</v>
      </c>
      <c r="B951" s="20" t="s">
        <v>345</v>
      </c>
      <c r="C951" s="20">
        <v>298.0</v>
      </c>
      <c r="D951" s="20" t="s">
        <v>2144</v>
      </c>
      <c r="E951" s="20" t="s">
        <v>299</v>
      </c>
      <c r="F951" s="27"/>
    </row>
    <row r="952">
      <c r="A952" s="26">
        <v>44724.71128984954</v>
      </c>
      <c r="B952" s="20" t="s">
        <v>411</v>
      </c>
      <c r="C952" s="20">
        <v>928.0</v>
      </c>
      <c r="D952" s="20" t="s">
        <v>2144</v>
      </c>
      <c r="E952" s="20" t="s">
        <v>80</v>
      </c>
      <c r="F952" s="27"/>
    </row>
    <row r="953">
      <c r="A953" s="26">
        <v>44724.712959537035</v>
      </c>
      <c r="B953" s="20" t="s">
        <v>411</v>
      </c>
      <c r="C953" s="20">
        <v>1041.0</v>
      </c>
      <c r="D953" s="20" t="s">
        <v>2144</v>
      </c>
      <c r="E953" s="20" t="s">
        <v>40</v>
      </c>
      <c r="F953" s="27"/>
    </row>
    <row r="954">
      <c r="A954" s="26">
        <v>44724.715012534725</v>
      </c>
      <c r="B954" s="20" t="s">
        <v>411</v>
      </c>
      <c r="C954" s="20">
        <v>521.0</v>
      </c>
      <c r="D954" s="20" t="s">
        <v>2144</v>
      </c>
      <c r="E954" s="20" t="s">
        <v>80</v>
      </c>
      <c r="F954" s="27"/>
    </row>
    <row r="955">
      <c r="A955" s="26">
        <v>44724.71680576389</v>
      </c>
      <c r="B955" s="20" t="s">
        <v>411</v>
      </c>
      <c r="C955" s="20">
        <v>397.0</v>
      </c>
      <c r="D955" s="20" t="s">
        <v>2144</v>
      </c>
      <c r="E955" s="20" t="s">
        <v>40</v>
      </c>
      <c r="F955" s="27"/>
    </row>
    <row r="956">
      <c r="A956" s="26">
        <v>44724.71839358796</v>
      </c>
      <c r="B956" s="20" t="s">
        <v>411</v>
      </c>
      <c r="C956" s="20">
        <v>746.0</v>
      </c>
      <c r="D956" s="20" t="s">
        <v>2144</v>
      </c>
      <c r="E956" s="20" t="s">
        <v>40</v>
      </c>
      <c r="F956" s="27"/>
    </row>
    <row r="957">
      <c r="A957" s="26">
        <v>44727.82160722223</v>
      </c>
      <c r="B957" s="20" t="s">
        <v>2231</v>
      </c>
      <c r="C957" s="20">
        <v>871.0</v>
      </c>
      <c r="D957" s="20" t="s">
        <v>2144</v>
      </c>
      <c r="E957" s="20" t="s">
        <v>391</v>
      </c>
      <c r="F957" s="27"/>
    </row>
    <row r="958">
      <c r="A958" s="26">
        <v>44727.82174033565</v>
      </c>
      <c r="B958" s="20" t="s">
        <v>2231</v>
      </c>
      <c r="C958" s="20">
        <v>1198.0</v>
      </c>
      <c r="D958" s="20" t="s">
        <v>2144</v>
      </c>
      <c r="E958" s="20" t="s">
        <v>64</v>
      </c>
      <c r="F958" s="27"/>
    </row>
    <row r="959">
      <c r="A959" s="26">
        <v>44727.823626006946</v>
      </c>
      <c r="C959" s="20">
        <v>302.0</v>
      </c>
      <c r="D959" s="20" t="s">
        <v>2144</v>
      </c>
      <c r="E959" s="20" t="s">
        <v>2232</v>
      </c>
      <c r="F959" s="27"/>
    </row>
    <row r="960">
      <c r="A960" s="26">
        <v>44727.95521739584</v>
      </c>
      <c r="B960" s="20" t="s">
        <v>49</v>
      </c>
      <c r="C960" s="20">
        <v>776.0</v>
      </c>
      <c r="D960" s="20" t="s">
        <v>2144</v>
      </c>
      <c r="E960" s="20" t="s">
        <v>40</v>
      </c>
      <c r="F960" s="27"/>
    </row>
    <row r="961">
      <c r="A961" s="26">
        <v>44727.95540342593</v>
      </c>
      <c r="B961" s="20" t="s">
        <v>49</v>
      </c>
      <c r="C961" s="20">
        <v>380.0</v>
      </c>
      <c r="D961" s="20" t="s">
        <v>2144</v>
      </c>
      <c r="E961" s="20" t="s">
        <v>47</v>
      </c>
      <c r="F961" s="27"/>
    </row>
    <row r="962">
      <c r="A962" s="28">
        <v>44727.0</v>
      </c>
      <c r="B962" s="20" t="s">
        <v>345</v>
      </c>
      <c r="C962" s="20">
        <v>394.0</v>
      </c>
      <c r="D962" s="20" t="s">
        <v>2144</v>
      </c>
      <c r="E962" s="20" t="s">
        <v>2232</v>
      </c>
      <c r="F962" s="27"/>
    </row>
    <row r="963">
      <c r="A963" s="28">
        <v>44727.0</v>
      </c>
      <c r="B963" s="20" t="s">
        <v>345</v>
      </c>
      <c r="C963" s="20">
        <v>514.0</v>
      </c>
      <c r="D963" s="20" t="s">
        <v>2144</v>
      </c>
      <c r="E963" s="20" t="s">
        <v>2233</v>
      </c>
      <c r="F963" s="27"/>
    </row>
    <row r="964">
      <c r="A964" s="28">
        <v>44727.0</v>
      </c>
      <c r="B964" s="20" t="s">
        <v>345</v>
      </c>
      <c r="C964" s="20">
        <v>272.0</v>
      </c>
      <c r="D964" s="20" t="s">
        <v>2144</v>
      </c>
      <c r="E964" s="20" t="s">
        <v>444</v>
      </c>
      <c r="F964" s="27"/>
    </row>
    <row r="965">
      <c r="A965" s="28">
        <v>44727.0</v>
      </c>
      <c r="B965" s="20" t="s">
        <v>345</v>
      </c>
      <c r="C965" s="20">
        <v>701.0</v>
      </c>
      <c r="D965" s="20" t="s">
        <v>2144</v>
      </c>
      <c r="E965" s="20" t="s">
        <v>391</v>
      </c>
      <c r="F965" s="27"/>
    </row>
    <row r="966">
      <c r="A966" s="28">
        <v>44727.0</v>
      </c>
      <c r="B966" s="20" t="s">
        <v>345</v>
      </c>
      <c r="C966" s="20">
        <v>170.0</v>
      </c>
      <c r="D966" s="20" t="s">
        <v>2144</v>
      </c>
      <c r="E966" s="20" t="s">
        <v>391</v>
      </c>
      <c r="F966" s="27"/>
    </row>
    <row r="967">
      <c r="A967" s="28">
        <v>44727.0</v>
      </c>
      <c r="B967" s="20" t="s">
        <v>345</v>
      </c>
      <c r="C967" s="20">
        <v>1368.0</v>
      </c>
      <c r="D967" s="20" t="s">
        <v>2144</v>
      </c>
      <c r="E967" s="20" t="s">
        <v>417</v>
      </c>
      <c r="F967" s="27"/>
    </row>
    <row r="968">
      <c r="A968" s="28">
        <v>44727.0</v>
      </c>
      <c r="B968" s="20" t="s">
        <v>345</v>
      </c>
      <c r="C968" s="20">
        <v>526.0</v>
      </c>
      <c r="D968" s="20" t="s">
        <v>2144</v>
      </c>
      <c r="E968" s="20" t="s">
        <v>417</v>
      </c>
      <c r="F968" s="27"/>
    </row>
    <row r="969">
      <c r="A969" s="28">
        <v>44727.0</v>
      </c>
      <c r="B969" s="20" t="s">
        <v>345</v>
      </c>
      <c r="C969" s="20">
        <v>1012.0</v>
      </c>
      <c r="D969" s="20" t="s">
        <v>2144</v>
      </c>
      <c r="E969" s="20" t="s">
        <v>417</v>
      </c>
      <c r="F969" s="27"/>
    </row>
    <row r="970">
      <c r="A970" s="28">
        <v>44727.0</v>
      </c>
      <c r="B970" s="20" t="s">
        <v>345</v>
      </c>
      <c r="C970" s="20">
        <v>483.0</v>
      </c>
      <c r="D970" s="20" t="s">
        <v>2144</v>
      </c>
      <c r="E970" s="20" t="s">
        <v>391</v>
      </c>
      <c r="F970" s="27"/>
    </row>
    <row r="971">
      <c r="A971" s="28">
        <v>44727.0</v>
      </c>
      <c r="B971" s="20" t="s">
        <v>345</v>
      </c>
      <c r="C971" s="20">
        <v>234.0</v>
      </c>
      <c r="D971" s="20" t="s">
        <v>2144</v>
      </c>
      <c r="E971" s="20" t="s">
        <v>391</v>
      </c>
      <c r="F971" s="27"/>
    </row>
    <row r="972">
      <c r="A972" s="28">
        <v>44727.0</v>
      </c>
      <c r="B972" s="20" t="s">
        <v>345</v>
      </c>
      <c r="C972" s="20">
        <v>206.0</v>
      </c>
      <c r="D972" s="20" t="s">
        <v>2144</v>
      </c>
      <c r="E972" s="20" t="s">
        <v>444</v>
      </c>
      <c r="F972" s="27"/>
    </row>
    <row r="973">
      <c r="A973" s="28">
        <v>44727.0</v>
      </c>
      <c r="B973" s="20" t="s">
        <v>345</v>
      </c>
      <c r="C973" s="20">
        <v>51.0</v>
      </c>
      <c r="D973" s="20" t="s">
        <v>2144</v>
      </c>
      <c r="E973" s="20" t="s">
        <v>444</v>
      </c>
      <c r="F973" s="27"/>
    </row>
    <row r="974">
      <c r="A974" s="28">
        <v>44727.0</v>
      </c>
      <c r="B974" s="20" t="s">
        <v>345</v>
      </c>
      <c r="C974" s="20">
        <v>928.0</v>
      </c>
      <c r="D974" s="20" t="s">
        <v>2144</v>
      </c>
      <c r="E974" s="20" t="s">
        <v>2185</v>
      </c>
      <c r="F974" s="27"/>
    </row>
    <row r="975">
      <c r="A975" s="28">
        <v>44727.0</v>
      </c>
      <c r="B975" s="20" t="s">
        <v>345</v>
      </c>
      <c r="C975" s="20">
        <v>1041.0</v>
      </c>
      <c r="D975" s="20" t="s">
        <v>2144</v>
      </c>
      <c r="E975" s="20" t="s">
        <v>40</v>
      </c>
      <c r="F975" s="27"/>
    </row>
    <row r="976">
      <c r="A976" s="28">
        <v>44727.0</v>
      </c>
      <c r="B976" s="20" t="s">
        <v>345</v>
      </c>
      <c r="C976" s="20">
        <v>521.0</v>
      </c>
      <c r="D976" s="20" t="s">
        <v>2144</v>
      </c>
      <c r="E976" s="20" t="s">
        <v>2185</v>
      </c>
      <c r="F976" s="27"/>
    </row>
    <row r="977">
      <c r="A977" s="28">
        <v>44727.0</v>
      </c>
      <c r="B977" s="20" t="s">
        <v>345</v>
      </c>
      <c r="C977" s="20">
        <v>397.0</v>
      </c>
      <c r="D977" s="20" t="s">
        <v>2144</v>
      </c>
      <c r="E977" s="20" t="s">
        <v>40</v>
      </c>
      <c r="F977" s="27"/>
    </row>
    <row r="978">
      <c r="A978" s="28">
        <v>44727.0</v>
      </c>
      <c r="B978" s="20" t="s">
        <v>345</v>
      </c>
      <c r="C978" s="20">
        <v>746.0</v>
      </c>
      <c r="D978" s="20" t="s">
        <v>2144</v>
      </c>
      <c r="E978" s="20" t="s">
        <v>40</v>
      </c>
      <c r="F978" s="27"/>
    </row>
    <row r="979">
      <c r="A979" s="26">
        <v>44728.863759722226</v>
      </c>
      <c r="B979" s="20" t="s">
        <v>437</v>
      </c>
      <c r="C979" s="20">
        <v>1295.0</v>
      </c>
      <c r="D979" s="20" t="s">
        <v>2144</v>
      </c>
      <c r="E979" s="20" t="s">
        <v>78</v>
      </c>
      <c r="F979" s="27"/>
    </row>
    <row r="980">
      <c r="A980" s="26">
        <v>44728.864060416665</v>
      </c>
      <c r="B980" s="20" t="s">
        <v>437</v>
      </c>
      <c r="C980" s="20">
        <v>613.0</v>
      </c>
      <c r="D980" s="20" t="s">
        <v>2144</v>
      </c>
      <c r="E980" s="20" t="s">
        <v>2234</v>
      </c>
      <c r="F980" s="27"/>
    </row>
    <row r="981">
      <c r="A981" s="26">
        <v>44729.70982690972</v>
      </c>
      <c r="B981" s="20" t="s">
        <v>49</v>
      </c>
      <c r="C981" s="20">
        <v>23.0</v>
      </c>
      <c r="D981" s="20" t="s">
        <v>2235</v>
      </c>
      <c r="E981" s="20" t="s">
        <v>64</v>
      </c>
      <c r="F981" s="27"/>
    </row>
    <row r="982">
      <c r="A982" s="26">
        <v>44731.671368020834</v>
      </c>
      <c r="B982" s="20" t="s">
        <v>411</v>
      </c>
      <c r="C982" s="20">
        <v>10.0</v>
      </c>
      <c r="D982" s="20" t="s">
        <v>2149</v>
      </c>
      <c r="E982" s="20" t="s">
        <v>445</v>
      </c>
      <c r="F982" s="27"/>
    </row>
    <row r="983">
      <c r="A983" s="26">
        <v>44731.67160336806</v>
      </c>
      <c r="B983" s="20" t="s">
        <v>411</v>
      </c>
      <c r="C983" s="20">
        <v>922.0</v>
      </c>
      <c r="D983" s="20" t="s">
        <v>2144</v>
      </c>
      <c r="E983" s="20" t="s">
        <v>80</v>
      </c>
      <c r="F983" s="27"/>
    </row>
    <row r="984">
      <c r="A984" s="26">
        <v>44731.671838159724</v>
      </c>
      <c r="B984" s="20" t="s">
        <v>411</v>
      </c>
      <c r="C984" s="20">
        <v>601.0</v>
      </c>
      <c r="D984" s="20" t="s">
        <v>2144</v>
      </c>
      <c r="E984" s="20" t="s">
        <v>80</v>
      </c>
      <c r="F984" s="27"/>
    </row>
    <row r="985">
      <c r="A985" s="26">
        <v>44731.672137500005</v>
      </c>
      <c r="B985" s="20" t="s">
        <v>411</v>
      </c>
      <c r="C985" s="20">
        <v>947.0</v>
      </c>
      <c r="D985" s="20" t="s">
        <v>2144</v>
      </c>
      <c r="E985" s="20" t="s">
        <v>40</v>
      </c>
      <c r="F985" s="27"/>
    </row>
    <row r="986">
      <c r="A986" s="26">
        <v>44731.6723584375</v>
      </c>
      <c r="B986" s="20" t="s">
        <v>411</v>
      </c>
      <c r="C986" s="20">
        <v>1015.0</v>
      </c>
      <c r="D986" s="20" t="s">
        <v>2144</v>
      </c>
      <c r="E986" s="20" t="s">
        <v>40</v>
      </c>
      <c r="F986" s="27"/>
    </row>
    <row r="987">
      <c r="A987" s="26">
        <v>44733.724960011576</v>
      </c>
      <c r="B987" s="20" t="s">
        <v>345</v>
      </c>
      <c r="C987" s="20">
        <v>264.0</v>
      </c>
      <c r="D987" s="20" t="s">
        <v>2144</v>
      </c>
      <c r="E987" s="20" t="s">
        <v>80</v>
      </c>
      <c r="F987" s="27"/>
    </row>
    <row r="988">
      <c r="A988" s="26">
        <v>44733.72516644676</v>
      </c>
      <c r="B988" s="20" t="s">
        <v>345</v>
      </c>
      <c r="C988" s="20">
        <v>1878.0</v>
      </c>
      <c r="D988" s="20" t="s">
        <v>2144</v>
      </c>
      <c r="E988" s="20" t="s">
        <v>80</v>
      </c>
      <c r="F988" s="27"/>
    </row>
    <row r="989">
      <c r="A989" s="26">
        <v>44733.72532726852</v>
      </c>
      <c r="B989" s="20" t="s">
        <v>345</v>
      </c>
      <c r="C989" s="20">
        <v>2773.0</v>
      </c>
      <c r="D989" s="20" t="s">
        <v>2144</v>
      </c>
      <c r="E989" s="20" t="s">
        <v>64</v>
      </c>
      <c r="F989" s="27"/>
    </row>
    <row r="990">
      <c r="A990" s="26">
        <v>44733.72550677083</v>
      </c>
      <c r="B990" s="20" t="s">
        <v>345</v>
      </c>
      <c r="C990" s="20">
        <v>2223.0</v>
      </c>
      <c r="D990" s="20" t="s">
        <v>2144</v>
      </c>
      <c r="E990" s="20" t="s">
        <v>64</v>
      </c>
      <c r="F990" s="27"/>
    </row>
    <row r="991">
      <c r="A991" s="26">
        <v>44733.72567936343</v>
      </c>
      <c r="B991" s="20" t="s">
        <v>345</v>
      </c>
      <c r="C991" s="20">
        <v>1547.0</v>
      </c>
      <c r="D991" s="20" t="s">
        <v>2144</v>
      </c>
      <c r="E991" s="20" t="s">
        <v>64</v>
      </c>
      <c r="F991" s="27"/>
    </row>
    <row r="992">
      <c r="A992" s="26">
        <v>44733.725943125</v>
      </c>
      <c r="B992" s="20" t="s">
        <v>345</v>
      </c>
      <c r="C992" s="20">
        <v>293.0</v>
      </c>
      <c r="D992" s="20" t="s">
        <v>2144</v>
      </c>
      <c r="E992" s="20" t="s">
        <v>64</v>
      </c>
      <c r="F992" s="27"/>
    </row>
    <row r="993">
      <c r="A993" s="26">
        <v>44733.72614496527</v>
      </c>
      <c r="B993" s="20" t="s">
        <v>345</v>
      </c>
      <c r="C993" s="20">
        <v>1744.0</v>
      </c>
      <c r="D993" s="20" t="s">
        <v>2144</v>
      </c>
      <c r="E993" s="20" t="s">
        <v>64</v>
      </c>
      <c r="F993" s="27"/>
    </row>
    <row r="994">
      <c r="A994" s="26">
        <v>44733.72631576389</v>
      </c>
      <c r="B994" s="20" t="s">
        <v>345</v>
      </c>
      <c r="C994" s="20">
        <v>1292.0</v>
      </c>
      <c r="D994" s="20" t="s">
        <v>2144</v>
      </c>
      <c r="E994" s="20" t="s">
        <v>64</v>
      </c>
      <c r="F994" s="27"/>
    </row>
    <row r="995">
      <c r="A995" s="26">
        <v>44733.72669603009</v>
      </c>
      <c r="B995" s="20" t="s">
        <v>345</v>
      </c>
      <c r="C995" s="20">
        <v>750.0</v>
      </c>
      <c r="D995" s="20" t="s">
        <v>2144</v>
      </c>
      <c r="E995" s="20" t="s">
        <v>47</v>
      </c>
      <c r="F995" s="27"/>
    </row>
    <row r="996">
      <c r="A996" s="26">
        <v>44733.72651451389</v>
      </c>
      <c r="B996" s="20" t="s">
        <v>345</v>
      </c>
      <c r="C996" s="20">
        <v>1522.0</v>
      </c>
      <c r="D996" s="20" t="s">
        <v>2144</v>
      </c>
      <c r="E996" s="20" t="s">
        <v>40</v>
      </c>
      <c r="F996" s="27"/>
    </row>
    <row r="997">
      <c r="A997" s="26">
        <v>44733.7269122338</v>
      </c>
      <c r="B997" s="20" t="s">
        <v>345</v>
      </c>
      <c r="C997" s="20">
        <v>987.0</v>
      </c>
      <c r="D997" s="20" t="s">
        <v>2144</v>
      </c>
      <c r="E997" s="20" t="s">
        <v>40</v>
      </c>
      <c r="F997" s="27"/>
    </row>
    <row r="998">
      <c r="A998" s="26">
        <v>44733.72706435186</v>
      </c>
      <c r="B998" s="20" t="s">
        <v>345</v>
      </c>
      <c r="C998" s="20">
        <v>1014.0</v>
      </c>
      <c r="D998" s="20" t="s">
        <v>2144</v>
      </c>
      <c r="E998" s="20" t="s">
        <v>40</v>
      </c>
      <c r="F998" s="27"/>
    </row>
    <row r="999">
      <c r="A999" s="26">
        <v>44733.727213101854</v>
      </c>
      <c r="B999" s="20" t="s">
        <v>345</v>
      </c>
      <c r="C999" s="20">
        <v>1081.0</v>
      </c>
      <c r="D999" s="20" t="s">
        <v>2144</v>
      </c>
      <c r="E999" s="20" t="s">
        <v>38</v>
      </c>
      <c r="F999" s="27"/>
    </row>
    <row r="1000">
      <c r="A1000" s="26">
        <v>44733.72750930555</v>
      </c>
      <c r="B1000" s="20" t="s">
        <v>345</v>
      </c>
      <c r="C1000" s="20">
        <v>338.0</v>
      </c>
      <c r="D1000" s="20" t="s">
        <v>2144</v>
      </c>
      <c r="E1000" s="20" t="s">
        <v>40</v>
      </c>
      <c r="F1000" s="27"/>
    </row>
    <row r="1001">
      <c r="A1001" s="26">
        <v>44733.72766675926</v>
      </c>
      <c r="B1001" s="20" t="s">
        <v>345</v>
      </c>
      <c r="C1001" s="20">
        <v>788.0</v>
      </c>
      <c r="D1001" s="20" t="s">
        <v>2144</v>
      </c>
      <c r="E1001" s="20" t="s">
        <v>47</v>
      </c>
      <c r="F1001" s="27"/>
    </row>
    <row r="1002">
      <c r="A1002" s="26">
        <v>44733.727835729165</v>
      </c>
      <c r="B1002" s="20" t="s">
        <v>345</v>
      </c>
      <c r="C1002" s="20">
        <v>1213.0</v>
      </c>
      <c r="D1002" s="20" t="s">
        <v>2144</v>
      </c>
      <c r="E1002" s="20" t="s">
        <v>80</v>
      </c>
      <c r="F1002" s="27"/>
    </row>
    <row r="1003">
      <c r="A1003" s="26">
        <v>44733.72798222222</v>
      </c>
      <c r="B1003" s="20" t="s">
        <v>345</v>
      </c>
      <c r="C1003" s="20">
        <v>813.0</v>
      </c>
      <c r="D1003" s="20" t="s">
        <v>2144</v>
      </c>
      <c r="E1003" s="20" t="s">
        <v>80</v>
      </c>
      <c r="F1003" s="27"/>
    </row>
    <row r="1004">
      <c r="A1004" s="26">
        <v>44733.72828234953</v>
      </c>
      <c r="B1004" s="20" t="s">
        <v>345</v>
      </c>
      <c r="C1004" s="20">
        <v>479.0</v>
      </c>
      <c r="D1004" s="20" t="s">
        <v>2144</v>
      </c>
      <c r="E1004" s="20" t="s">
        <v>2236</v>
      </c>
      <c r="F1004" s="27"/>
    </row>
    <row r="1005">
      <c r="A1005" s="26">
        <v>44733.7285434375</v>
      </c>
      <c r="B1005" s="20" t="s">
        <v>345</v>
      </c>
      <c r="C1005" s="20">
        <v>273.0</v>
      </c>
      <c r="D1005" s="20" t="s">
        <v>2144</v>
      </c>
      <c r="E1005" s="20" t="s">
        <v>2237</v>
      </c>
      <c r="F1005" s="27"/>
    </row>
    <row r="1006">
      <c r="A1006" s="28">
        <v>44733.0</v>
      </c>
      <c r="B1006" s="20" t="s">
        <v>345</v>
      </c>
      <c r="C1006" s="20">
        <v>303.0</v>
      </c>
      <c r="D1006" s="20" t="s">
        <v>2144</v>
      </c>
      <c r="E1006" s="20" t="s">
        <v>2238</v>
      </c>
      <c r="F1006" s="27"/>
    </row>
    <row r="1007">
      <c r="A1007" s="28">
        <v>44733.0</v>
      </c>
      <c r="B1007" s="20" t="s">
        <v>345</v>
      </c>
      <c r="C1007" s="20">
        <v>301.0</v>
      </c>
      <c r="D1007" s="20" t="s">
        <v>2144</v>
      </c>
      <c r="E1007" s="20" t="s">
        <v>467</v>
      </c>
      <c r="F1007" s="27"/>
    </row>
    <row r="1008">
      <c r="A1008" s="28">
        <v>44733.0</v>
      </c>
      <c r="B1008" s="20" t="s">
        <v>345</v>
      </c>
      <c r="C1008" s="20">
        <v>281.0</v>
      </c>
      <c r="D1008" s="20" t="s">
        <v>2144</v>
      </c>
      <c r="E1008" s="20" t="s">
        <v>47</v>
      </c>
      <c r="F1008" s="27"/>
    </row>
    <row r="1009">
      <c r="A1009" s="28">
        <v>44733.0</v>
      </c>
      <c r="B1009" s="20" t="s">
        <v>345</v>
      </c>
      <c r="C1009" s="20">
        <v>892.0</v>
      </c>
      <c r="D1009" s="20" t="s">
        <v>2144</v>
      </c>
      <c r="E1009" s="20" t="s">
        <v>47</v>
      </c>
      <c r="F1009" s="27"/>
    </row>
    <row r="1010">
      <c r="A1010" s="28">
        <v>44733.0</v>
      </c>
      <c r="B1010" s="20" t="s">
        <v>345</v>
      </c>
      <c r="C1010" s="20">
        <v>867.0</v>
      </c>
      <c r="D1010" s="20" t="s">
        <v>2144</v>
      </c>
      <c r="E1010" s="20" t="s">
        <v>47</v>
      </c>
      <c r="F1010" s="27"/>
    </row>
    <row r="1011">
      <c r="A1011" s="28">
        <v>44733.0</v>
      </c>
      <c r="B1011" s="20" t="s">
        <v>345</v>
      </c>
      <c r="C1011" s="20">
        <v>901.0</v>
      </c>
      <c r="D1011" s="20" t="s">
        <v>2144</v>
      </c>
      <c r="E1011" s="20" t="s">
        <v>47</v>
      </c>
      <c r="F1011" s="27"/>
    </row>
    <row r="1012">
      <c r="A1012" s="28">
        <v>44733.0</v>
      </c>
      <c r="B1012" s="20" t="s">
        <v>345</v>
      </c>
      <c r="C1012" s="20">
        <v>1305.0</v>
      </c>
      <c r="D1012" s="20" t="s">
        <v>2144</v>
      </c>
      <c r="E1012" s="20" t="s">
        <v>47</v>
      </c>
      <c r="F1012" s="27"/>
    </row>
    <row r="1013">
      <c r="A1013" s="28">
        <v>44734.0</v>
      </c>
      <c r="B1013" s="20" t="s">
        <v>345</v>
      </c>
      <c r="C1013" s="20">
        <v>72.0</v>
      </c>
      <c r="D1013" s="20" t="s">
        <v>2144</v>
      </c>
      <c r="E1013" s="20" t="s">
        <v>95</v>
      </c>
      <c r="F1013" s="27"/>
    </row>
    <row r="1014">
      <c r="A1014" s="28">
        <v>44735.0</v>
      </c>
      <c r="B1014" s="20" t="s">
        <v>345</v>
      </c>
      <c r="C1014" s="20">
        <v>322.0</v>
      </c>
      <c r="D1014" s="20" t="s">
        <v>2144</v>
      </c>
      <c r="E1014" s="20" t="s">
        <v>40</v>
      </c>
      <c r="F1014" s="27"/>
    </row>
    <row r="1015">
      <c r="A1015" s="26">
        <v>44737.44653596065</v>
      </c>
      <c r="B1015" s="20" t="s">
        <v>173</v>
      </c>
      <c r="C1015" s="20">
        <v>621.0</v>
      </c>
      <c r="D1015" s="20" t="s">
        <v>2144</v>
      </c>
      <c r="E1015" s="20" t="s">
        <v>64</v>
      </c>
      <c r="F1015" s="27"/>
    </row>
    <row r="1016">
      <c r="A1016" s="26">
        <v>44737.44684402778</v>
      </c>
      <c r="B1016" s="20" t="s">
        <v>55</v>
      </c>
      <c r="C1016" s="20">
        <v>113.0</v>
      </c>
      <c r="D1016" s="20" t="s">
        <v>2144</v>
      </c>
      <c r="E1016" s="20" t="s">
        <v>430</v>
      </c>
      <c r="F1016" s="27"/>
    </row>
    <row r="1017">
      <c r="A1017" s="26">
        <v>44737.44706177083</v>
      </c>
      <c r="B1017" s="20" t="s">
        <v>55</v>
      </c>
      <c r="C1017" s="20">
        <v>484.0</v>
      </c>
      <c r="D1017" s="20" t="s">
        <v>2144</v>
      </c>
      <c r="E1017" s="20" t="s">
        <v>430</v>
      </c>
      <c r="F1017" s="27"/>
    </row>
    <row r="1018">
      <c r="A1018" s="26">
        <v>44737.44814769676</v>
      </c>
      <c r="B1018" s="20" t="s">
        <v>55</v>
      </c>
      <c r="C1018" s="20">
        <v>928.0</v>
      </c>
      <c r="D1018" s="20" t="s">
        <v>2144</v>
      </c>
      <c r="E1018" s="20" t="s">
        <v>430</v>
      </c>
      <c r="F1018" s="27"/>
    </row>
    <row r="1019">
      <c r="A1019" s="26">
        <v>44737.44842241898</v>
      </c>
      <c r="B1019" s="20" t="s">
        <v>55</v>
      </c>
      <c r="C1019" s="20">
        <v>405.0</v>
      </c>
      <c r="D1019" s="20" t="s">
        <v>2144</v>
      </c>
      <c r="E1019" s="20" t="s">
        <v>430</v>
      </c>
      <c r="F1019" s="27"/>
    </row>
    <row r="1020">
      <c r="A1020" s="26">
        <v>44737.44868988426</v>
      </c>
      <c r="B1020" s="20" t="s">
        <v>55</v>
      </c>
      <c r="C1020" s="20">
        <v>307.0</v>
      </c>
      <c r="D1020" s="20" t="s">
        <v>2144</v>
      </c>
      <c r="E1020" s="20" t="s">
        <v>80</v>
      </c>
      <c r="F1020" s="27"/>
    </row>
    <row r="1021">
      <c r="A1021" s="26">
        <v>44737.44892510417</v>
      </c>
      <c r="B1021" s="20" t="s">
        <v>55</v>
      </c>
      <c r="C1021" s="20">
        <v>840.0</v>
      </c>
      <c r="D1021" s="20" t="s">
        <v>2144</v>
      </c>
      <c r="E1021" s="20" t="s">
        <v>80</v>
      </c>
      <c r="F1021" s="27"/>
    </row>
    <row r="1022">
      <c r="A1022" s="26">
        <v>44737.44909486111</v>
      </c>
      <c r="B1022" s="20" t="s">
        <v>55</v>
      </c>
      <c r="C1022" s="20">
        <v>895.0</v>
      </c>
      <c r="D1022" s="20" t="s">
        <v>2144</v>
      </c>
      <c r="E1022" s="20" t="s">
        <v>80</v>
      </c>
      <c r="F1022" s="27"/>
    </row>
    <row r="1023">
      <c r="A1023" s="26">
        <v>44737.449329826384</v>
      </c>
      <c r="B1023" s="20" t="s">
        <v>55</v>
      </c>
      <c r="C1023" s="20">
        <v>998.0</v>
      </c>
      <c r="D1023" s="20" t="s">
        <v>2144</v>
      </c>
      <c r="E1023" s="20" t="s">
        <v>80</v>
      </c>
      <c r="F1023" s="27"/>
    </row>
    <row r="1024">
      <c r="A1024" s="26">
        <v>44737.69070788195</v>
      </c>
      <c r="B1024" s="20" t="s">
        <v>345</v>
      </c>
      <c r="C1024" s="20">
        <v>878.0</v>
      </c>
      <c r="D1024" s="20" t="s">
        <v>2144</v>
      </c>
      <c r="E1024" s="20" t="s">
        <v>40</v>
      </c>
      <c r="F1024" s="27"/>
    </row>
    <row r="1025">
      <c r="A1025" s="26">
        <v>44737.69103436342</v>
      </c>
      <c r="B1025" s="20" t="s">
        <v>345</v>
      </c>
      <c r="C1025" s="20">
        <v>569.0</v>
      </c>
      <c r="D1025" s="20" t="s">
        <v>2144</v>
      </c>
      <c r="E1025" s="20" t="s">
        <v>80</v>
      </c>
      <c r="F1025" s="27"/>
    </row>
    <row r="1026">
      <c r="A1026" s="26">
        <v>44737.69124579861</v>
      </c>
      <c r="B1026" s="20" t="s">
        <v>345</v>
      </c>
      <c r="C1026" s="20">
        <v>1666.0</v>
      </c>
      <c r="D1026" s="20" t="s">
        <v>2144</v>
      </c>
      <c r="E1026" s="20" t="s">
        <v>93</v>
      </c>
      <c r="F1026" s="27"/>
    </row>
    <row r="1027">
      <c r="A1027" s="26">
        <v>44737.69141290509</v>
      </c>
      <c r="B1027" s="20" t="s">
        <v>345</v>
      </c>
      <c r="C1027" s="20">
        <v>452.0</v>
      </c>
      <c r="D1027" s="20" t="s">
        <v>2144</v>
      </c>
      <c r="E1027" s="20" t="s">
        <v>40</v>
      </c>
      <c r="F1027" s="27"/>
    </row>
    <row r="1028">
      <c r="A1028" s="26">
        <v>44738.63615769676</v>
      </c>
      <c r="B1028" s="20" t="s">
        <v>193</v>
      </c>
      <c r="C1028" s="20">
        <v>744.0</v>
      </c>
      <c r="D1028" s="20" t="s">
        <v>2144</v>
      </c>
      <c r="E1028" s="20" t="s">
        <v>40</v>
      </c>
      <c r="F1028" s="27"/>
    </row>
    <row r="1029">
      <c r="A1029" s="26">
        <v>44738.63742653935</v>
      </c>
      <c r="B1029" s="20" t="s">
        <v>193</v>
      </c>
      <c r="C1029" s="20">
        <v>336.0</v>
      </c>
      <c r="D1029" s="20" t="s">
        <v>2144</v>
      </c>
      <c r="E1029" s="20" t="s">
        <v>40</v>
      </c>
      <c r="F1029" s="27"/>
    </row>
    <row r="1030">
      <c r="A1030" s="26">
        <v>44738.64018905093</v>
      </c>
      <c r="B1030" s="20" t="s">
        <v>193</v>
      </c>
      <c r="C1030" s="20">
        <v>255.0</v>
      </c>
      <c r="D1030" s="20" t="s">
        <v>2144</v>
      </c>
      <c r="E1030" s="20" t="s">
        <v>47</v>
      </c>
      <c r="F1030" s="27"/>
    </row>
    <row r="1031">
      <c r="A1031" s="26">
        <v>44738.64551857639</v>
      </c>
      <c r="B1031" s="20" t="s">
        <v>193</v>
      </c>
      <c r="C1031" s="20">
        <v>325.0</v>
      </c>
      <c r="D1031" s="20" t="s">
        <v>2144</v>
      </c>
      <c r="E1031" s="20" t="s">
        <v>80</v>
      </c>
      <c r="F1031" s="27"/>
    </row>
    <row r="1032">
      <c r="A1032" s="26">
        <v>44738.724018402776</v>
      </c>
      <c r="B1032" s="20" t="s">
        <v>63</v>
      </c>
      <c r="C1032" s="20">
        <v>163.0</v>
      </c>
      <c r="D1032" s="20" t="s">
        <v>2239</v>
      </c>
      <c r="E1032" s="20" t="s">
        <v>465</v>
      </c>
      <c r="F1032" s="27"/>
    </row>
    <row r="1033">
      <c r="A1033" s="26">
        <v>44740.74271730324</v>
      </c>
      <c r="B1033" s="20" t="s">
        <v>193</v>
      </c>
      <c r="C1033" s="20">
        <v>1073.0</v>
      </c>
      <c r="D1033" s="20" t="s">
        <v>2144</v>
      </c>
      <c r="E1033" s="20" t="s">
        <v>2240</v>
      </c>
      <c r="F1033" s="27"/>
    </row>
    <row r="1034">
      <c r="A1034" s="26">
        <v>44740.752464317135</v>
      </c>
      <c r="B1034" s="20" t="s">
        <v>193</v>
      </c>
      <c r="C1034" s="20">
        <v>835.0</v>
      </c>
      <c r="D1034" s="20" t="s">
        <v>2144</v>
      </c>
      <c r="E1034" s="20" t="s">
        <v>80</v>
      </c>
      <c r="F1034" s="27"/>
    </row>
    <row r="1035">
      <c r="A1035" s="26">
        <v>44740.75367857639</v>
      </c>
      <c r="B1035" s="20" t="s">
        <v>193</v>
      </c>
      <c r="C1035" s="20">
        <v>150.0</v>
      </c>
      <c r="D1035" s="20" t="s">
        <v>2144</v>
      </c>
      <c r="E1035" s="20" t="s">
        <v>80</v>
      </c>
      <c r="F1035" s="27"/>
    </row>
    <row r="1036">
      <c r="A1036" s="26">
        <v>44740.75487773148</v>
      </c>
      <c r="B1036" s="20" t="s">
        <v>191</v>
      </c>
      <c r="C1036" s="20">
        <v>797.0</v>
      </c>
      <c r="D1036" s="20" t="s">
        <v>2144</v>
      </c>
      <c r="E1036" s="20" t="s">
        <v>2163</v>
      </c>
      <c r="F1036" s="27"/>
    </row>
    <row r="1037">
      <c r="A1037" s="26">
        <v>44741.83356417824</v>
      </c>
      <c r="B1037" s="20" t="s">
        <v>345</v>
      </c>
      <c r="C1037" s="20">
        <v>846.0</v>
      </c>
      <c r="D1037" s="20" t="s">
        <v>2144</v>
      </c>
      <c r="E1037" s="20" t="s">
        <v>47</v>
      </c>
      <c r="F1037" s="27"/>
    </row>
    <row r="1038">
      <c r="A1038" s="26">
        <v>44741.83376159723</v>
      </c>
      <c r="B1038" s="20" t="s">
        <v>345</v>
      </c>
      <c r="C1038" s="20">
        <v>1015.0</v>
      </c>
      <c r="D1038" s="20" t="s">
        <v>2144</v>
      </c>
      <c r="E1038" s="20" t="s">
        <v>47</v>
      </c>
      <c r="F1038" s="27"/>
    </row>
    <row r="1039">
      <c r="A1039" s="26">
        <v>44741.83395339121</v>
      </c>
      <c r="B1039" s="20" t="s">
        <v>345</v>
      </c>
      <c r="C1039" s="20">
        <v>632.0</v>
      </c>
      <c r="D1039" s="20" t="s">
        <v>2144</v>
      </c>
      <c r="E1039" s="20" t="s">
        <v>47</v>
      </c>
      <c r="F1039" s="27"/>
    </row>
    <row r="1040">
      <c r="A1040" s="26">
        <v>44741.834115578706</v>
      </c>
      <c r="B1040" s="20" t="s">
        <v>345</v>
      </c>
      <c r="C1040" s="20">
        <v>1157.0</v>
      </c>
      <c r="D1040" s="20" t="s">
        <v>2144</v>
      </c>
      <c r="E1040" s="20" t="s">
        <v>47</v>
      </c>
      <c r="F1040" s="27"/>
    </row>
    <row r="1041">
      <c r="A1041" s="26">
        <v>44741.834304814816</v>
      </c>
      <c r="B1041" s="20" t="s">
        <v>345</v>
      </c>
      <c r="C1041" s="20">
        <v>590.0</v>
      </c>
      <c r="D1041" s="20" t="s">
        <v>2144</v>
      </c>
      <c r="E1041" s="20" t="s">
        <v>47</v>
      </c>
      <c r="F1041" s="27"/>
    </row>
    <row r="1042">
      <c r="A1042" s="26">
        <v>44741.83450328704</v>
      </c>
      <c r="B1042" s="20" t="s">
        <v>345</v>
      </c>
      <c r="C1042" s="20">
        <v>733.0</v>
      </c>
      <c r="D1042" s="20" t="s">
        <v>2144</v>
      </c>
      <c r="E1042" s="20" t="s">
        <v>47</v>
      </c>
      <c r="F1042" s="27"/>
    </row>
    <row r="1043">
      <c r="A1043" s="26">
        <v>44741.834656770836</v>
      </c>
      <c r="B1043" s="20" t="s">
        <v>345</v>
      </c>
      <c r="C1043" s="20">
        <v>872.0</v>
      </c>
      <c r="D1043" s="20" t="s">
        <v>2144</v>
      </c>
      <c r="E1043" s="20" t="s">
        <v>47</v>
      </c>
      <c r="F1043" s="27"/>
    </row>
    <row r="1044">
      <c r="A1044" s="26">
        <v>44742.841050682866</v>
      </c>
      <c r="B1044" s="20" t="s">
        <v>167</v>
      </c>
      <c r="C1044" s="20">
        <v>642.0</v>
      </c>
      <c r="D1044" s="20" t="s">
        <v>2144</v>
      </c>
      <c r="E1044" s="20" t="s">
        <v>47</v>
      </c>
      <c r="F1044" s="27"/>
    </row>
    <row r="1045">
      <c r="A1045" s="26">
        <v>44742.84243320602</v>
      </c>
      <c r="B1045" s="20" t="s">
        <v>167</v>
      </c>
      <c r="C1045" s="20">
        <v>768.0</v>
      </c>
      <c r="D1045" s="20" t="s">
        <v>2144</v>
      </c>
      <c r="E1045" s="20" t="s">
        <v>40</v>
      </c>
      <c r="F1045" s="27"/>
    </row>
    <row r="1046">
      <c r="A1046" s="26">
        <v>44742.84440153935</v>
      </c>
      <c r="B1046" s="20" t="s">
        <v>167</v>
      </c>
      <c r="C1046" s="20">
        <v>348.0</v>
      </c>
      <c r="D1046" s="20" t="s">
        <v>2144</v>
      </c>
      <c r="E1046" s="20" t="s">
        <v>40</v>
      </c>
      <c r="F1046" s="27"/>
    </row>
    <row r="1047">
      <c r="A1047" s="26">
        <v>44742.84711153935</v>
      </c>
      <c r="B1047" s="20" t="s">
        <v>167</v>
      </c>
      <c r="C1047" s="20">
        <v>746.0</v>
      </c>
      <c r="D1047" s="20" t="s">
        <v>2144</v>
      </c>
      <c r="E1047" s="20" t="s">
        <v>47</v>
      </c>
      <c r="F1047" s="27"/>
    </row>
    <row r="1048">
      <c r="A1048" s="26">
        <v>44742.84883965278</v>
      </c>
      <c r="B1048" s="20" t="s">
        <v>167</v>
      </c>
      <c r="C1048" s="20">
        <v>710.0</v>
      </c>
      <c r="D1048" s="20" t="s">
        <v>2144</v>
      </c>
      <c r="E1048" s="20" t="s">
        <v>47</v>
      </c>
      <c r="F1048" s="27"/>
    </row>
    <row r="1049">
      <c r="A1049" s="26">
        <v>44742.85027241898</v>
      </c>
      <c r="B1049" s="20" t="s">
        <v>167</v>
      </c>
      <c r="C1049" s="20">
        <v>687.0</v>
      </c>
      <c r="D1049" s="20" t="s">
        <v>2144</v>
      </c>
      <c r="E1049" s="20" t="s">
        <v>36</v>
      </c>
      <c r="F1049" s="27"/>
    </row>
    <row r="1050">
      <c r="A1050" s="26">
        <v>44742.85298365741</v>
      </c>
      <c r="B1050" s="20" t="s">
        <v>167</v>
      </c>
      <c r="C1050" s="20">
        <v>687.0</v>
      </c>
      <c r="D1050" s="20" t="s">
        <v>2144</v>
      </c>
      <c r="E1050" s="20" t="s">
        <v>36</v>
      </c>
      <c r="F1050" s="27"/>
    </row>
    <row r="1051">
      <c r="A1051" s="28">
        <v>44742.0</v>
      </c>
      <c r="B1051" s="20" t="s">
        <v>345</v>
      </c>
      <c r="C1051" s="20">
        <v>22.0</v>
      </c>
      <c r="D1051" s="20" t="s">
        <v>2241</v>
      </c>
      <c r="E1051" s="20" t="s">
        <v>2238</v>
      </c>
      <c r="F1051" s="27"/>
    </row>
    <row r="1052">
      <c r="A1052" s="26">
        <v>44742.85325167824</v>
      </c>
      <c r="B1052" s="20" t="s">
        <v>167</v>
      </c>
      <c r="C1052" s="20">
        <v>1032.0</v>
      </c>
      <c r="D1052" s="20" t="s">
        <v>2144</v>
      </c>
      <c r="E1052" s="20" t="s">
        <v>64</v>
      </c>
      <c r="F1052" s="27"/>
    </row>
    <row r="1053">
      <c r="A1053" s="26">
        <v>44744.768094907406</v>
      </c>
      <c r="B1053" s="20" t="s">
        <v>345</v>
      </c>
      <c r="C1053" s="20">
        <v>390.0</v>
      </c>
      <c r="D1053" s="20" t="s">
        <v>2144</v>
      </c>
      <c r="E1053" s="20" t="s">
        <v>387</v>
      </c>
      <c r="F1053" s="27"/>
    </row>
    <row r="1054">
      <c r="A1054" s="26">
        <v>44744.768552974536</v>
      </c>
      <c r="B1054" s="20" t="s">
        <v>345</v>
      </c>
      <c r="C1054" s="20">
        <v>460.0</v>
      </c>
      <c r="D1054" s="20" t="s">
        <v>2144</v>
      </c>
      <c r="E1054" s="20" t="s">
        <v>387</v>
      </c>
      <c r="F1054" s="27"/>
    </row>
    <row r="1055">
      <c r="A1055" s="26">
        <v>44744.76873844907</v>
      </c>
      <c r="B1055" s="20" t="s">
        <v>345</v>
      </c>
      <c r="C1055" s="20">
        <v>528.0</v>
      </c>
      <c r="D1055" s="20" t="s">
        <v>2144</v>
      </c>
      <c r="E1055" s="20" t="s">
        <v>387</v>
      </c>
      <c r="F1055" s="27"/>
    </row>
    <row r="1056">
      <c r="A1056" s="26">
        <v>44744.76901420139</v>
      </c>
      <c r="B1056" s="20" t="s">
        <v>345</v>
      </c>
      <c r="C1056" s="20">
        <v>755.0</v>
      </c>
      <c r="D1056" s="20" t="s">
        <v>2144</v>
      </c>
      <c r="E1056" s="20" t="s">
        <v>391</v>
      </c>
      <c r="F1056" s="27"/>
    </row>
    <row r="1057">
      <c r="A1057" s="26">
        <v>44744.769282407404</v>
      </c>
      <c r="B1057" s="20" t="s">
        <v>345</v>
      </c>
      <c r="C1057" s="20">
        <v>950.0</v>
      </c>
      <c r="D1057" s="20" t="s">
        <v>2144</v>
      </c>
      <c r="E1057" s="20" t="s">
        <v>387</v>
      </c>
      <c r="F1057" s="27"/>
    </row>
    <row r="1058">
      <c r="A1058" s="26">
        <v>44744.76946684028</v>
      </c>
      <c r="B1058" s="20" t="s">
        <v>345</v>
      </c>
      <c r="C1058" s="20">
        <v>799.0</v>
      </c>
      <c r="D1058" s="20" t="s">
        <v>2144</v>
      </c>
      <c r="E1058" s="20" t="s">
        <v>387</v>
      </c>
      <c r="F1058" s="27"/>
    </row>
    <row r="1059">
      <c r="A1059" s="26">
        <v>44744.76988262731</v>
      </c>
      <c r="B1059" s="20" t="s">
        <v>345</v>
      </c>
      <c r="C1059" s="20">
        <v>1056.0</v>
      </c>
      <c r="D1059" s="20" t="s">
        <v>2144</v>
      </c>
      <c r="E1059" s="20" t="s">
        <v>387</v>
      </c>
      <c r="F1059" s="27"/>
    </row>
    <row r="1060">
      <c r="A1060" s="26">
        <v>44744.77006700232</v>
      </c>
      <c r="B1060" s="20" t="s">
        <v>345</v>
      </c>
      <c r="C1060" s="20">
        <v>526.0</v>
      </c>
      <c r="D1060" s="20" t="s">
        <v>2144</v>
      </c>
      <c r="E1060" s="20" t="s">
        <v>40</v>
      </c>
      <c r="F1060" s="27"/>
    </row>
    <row r="1061">
      <c r="A1061" s="26">
        <v>44744.77040659722</v>
      </c>
      <c r="B1061" s="20" t="s">
        <v>345</v>
      </c>
      <c r="C1061" s="20">
        <v>64.0</v>
      </c>
      <c r="D1061" s="20" t="s">
        <v>2144</v>
      </c>
      <c r="E1061" s="20" t="s">
        <v>80</v>
      </c>
      <c r="F1061" s="27"/>
    </row>
    <row r="1062">
      <c r="A1062" s="26">
        <v>44744.77072136574</v>
      </c>
      <c r="B1062" s="20" t="s">
        <v>345</v>
      </c>
      <c r="C1062" s="20">
        <v>681.0</v>
      </c>
      <c r="D1062" s="20" t="s">
        <v>2144</v>
      </c>
      <c r="E1062" s="20" t="s">
        <v>40</v>
      </c>
      <c r="F1062" s="27"/>
    </row>
    <row r="1063">
      <c r="A1063" s="26">
        <v>44744.77091017361</v>
      </c>
      <c r="B1063" s="20" t="s">
        <v>345</v>
      </c>
      <c r="C1063" s="20">
        <v>421.0</v>
      </c>
      <c r="D1063" s="20" t="s">
        <v>2144</v>
      </c>
      <c r="E1063" s="20" t="s">
        <v>80</v>
      </c>
      <c r="F1063" s="27"/>
    </row>
    <row r="1064">
      <c r="A1064" s="26">
        <v>44744.77108160879</v>
      </c>
      <c r="B1064" s="20" t="s">
        <v>345</v>
      </c>
      <c r="C1064" s="20">
        <v>639.0</v>
      </c>
      <c r="D1064" s="20" t="s">
        <v>2144</v>
      </c>
      <c r="E1064" s="20" t="s">
        <v>47</v>
      </c>
      <c r="F1064" s="27"/>
    </row>
    <row r="1065">
      <c r="A1065" s="26">
        <v>44744.77125523148</v>
      </c>
      <c r="B1065" s="20" t="s">
        <v>345</v>
      </c>
      <c r="C1065" s="20">
        <v>882.0</v>
      </c>
      <c r="D1065" s="20" t="s">
        <v>2144</v>
      </c>
      <c r="E1065" s="20" t="s">
        <v>47</v>
      </c>
      <c r="F1065" s="27"/>
    </row>
    <row r="1066">
      <c r="A1066" s="26">
        <v>44744.77144085648</v>
      </c>
      <c r="B1066" s="20" t="s">
        <v>345</v>
      </c>
      <c r="C1066" s="20">
        <v>944.0</v>
      </c>
      <c r="D1066" s="20" t="s">
        <v>2144</v>
      </c>
      <c r="E1066" s="20" t="s">
        <v>47</v>
      </c>
      <c r="F1066" s="27"/>
    </row>
    <row r="1067">
      <c r="A1067" s="26">
        <v>44744.771565393516</v>
      </c>
      <c r="B1067" s="20" t="s">
        <v>345</v>
      </c>
      <c r="C1067" s="20">
        <v>1080.0</v>
      </c>
      <c r="D1067" s="20" t="s">
        <v>2144</v>
      </c>
      <c r="E1067" s="20" t="s">
        <v>47</v>
      </c>
      <c r="F1067" s="27"/>
    </row>
    <row r="1068">
      <c r="A1068" s="26">
        <v>44745.697990162036</v>
      </c>
      <c r="B1068" s="20" t="s">
        <v>411</v>
      </c>
      <c r="C1068" s="20">
        <v>15.0</v>
      </c>
      <c r="D1068" s="20" t="s">
        <v>2149</v>
      </c>
      <c r="E1068" s="20" t="s">
        <v>117</v>
      </c>
      <c r="F1068" s="27"/>
    </row>
    <row r="1069">
      <c r="A1069" s="26">
        <v>44745.69853001158</v>
      </c>
      <c r="B1069" s="20" t="s">
        <v>411</v>
      </c>
      <c r="C1069" s="20">
        <v>817.0</v>
      </c>
      <c r="D1069" s="20" t="s">
        <v>2144</v>
      </c>
      <c r="E1069" s="20" t="s">
        <v>80</v>
      </c>
      <c r="F1069" s="27"/>
    </row>
    <row r="1070">
      <c r="A1070" s="26">
        <v>44745.69905445602</v>
      </c>
      <c r="B1070" s="20" t="s">
        <v>411</v>
      </c>
      <c r="C1070" s="20">
        <v>713.0</v>
      </c>
      <c r="D1070" s="20" t="s">
        <v>2144</v>
      </c>
      <c r="E1070" s="20" t="s">
        <v>47</v>
      </c>
      <c r="F1070" s="27"/>
    </row>
    <row r="1071">
      <c r="A1071" s="26">
        <v>44745.699360115745</v>
      </c>
      <c r="B1071" s="20" t="s">
        <v>411</v>
      </c>
      <c r="C1071" s="20">
        <v>832.0</v>
      </c>
      <c r="D1071" s="20" t="s">
        <v>2144</v>
      </c>
      <c r="E1071" s="20" t="s">
        <v>80</v>
      </c>
      <c r="F1071" s="27"/>
    </row>
    <row r="1072">
      <c r="A1072" s="26">
        <v>44745.70239712963</v>
      </c>
      <c r="B1072" s="20" t="s">
        <v>411</v>
      </c>
      <c r="C1072" s="20">
        <v>1141.0</v>
      </c>
      <c r="D1072" s="20" t="s">
        <v>2144</v>
      </c>
      <c r="E1072" s="20" t="s">
        <v>40</v>
      </c>
      <c r="F1072" s="27"/>
    </row>
    <row r="1073">
      <c r="A1073" s="26">
        <v>44745.70264769676</v>
      </c>
      <c r="B1073" s="20" t="s">
        <v>411</v>
      </c>
      <c r="C1073" s="20">
        <v>690.0</v>
      </c>
      <c r="D1073" s="20" t="s">
        <v>2144</v>
      </c>
      <c r="E1073" s="20" t="s">
        <v>40</v>
      </c>
      <c r="F1073" s="27"/>
    </row>
    <row r="1074">
      <c r="A1074" s="26">
        <v>44748.77178835648</v>
      </c>
      <c r="B1074" s="20" t="s">
        <v>345</v>
      </c>
      <c r="C1074" s="20">
        <v>235.0</v>
      </c>
      <c r="D1074" s="20" t="s">
        <v>2144</v>
      </c>
      <c r="E1074" s="20" t="s">
        <v>80</v>
      </c>
      <c r="F1074" s="27"/>
    </row>
    <row r="1075">
      <c r="A1075" s="26">
        <v>44748.772032361114</v>
      </c>
      <c r="B1075" s="20" t="s">
        <v>345</v>
      </c>
      <c r="C1075" s="20">
        <v>839.0</v>
      </c>
      <c r="D1075" s="20" t="s">
        <v>2144</v>
      </c>
      <c r="E1075" s="20" t="s">
        <v>38</v>
      </c>
      <c r="F1075" s="27"/>
    </row>
    <row r="1076">
      <c r="A1076" s="26">
        <v>44748.77227306713</v>
      </c>
      <c r="B1076" s="20" t="s">
        <v>345</v>
      </c>
      <c r="C1076" s="20">
        <v>796.0</v>
      </c>
      <c r="D1076" s="20" t="s">
        <v>2144</v>
      </c>
      <c r="E1076" s="20" t="s">
        <v>64</v>
      </c>
      <c r="F1076" s="27"/>
    </row>
    <row r="1077">
      <c r="A1077" s="26">
        <v>44748.77250958333</v>
      </c>
      <c r="B1077" s="20" t="s">
        <v>345</v>
      </c>
      <c r="C1077" s="20">
        <v>868.0</v>
      </c>
      <c r="D1077" s="20" t="s">
        <v>2144</v>
      </c>
      <c r="E1077" s="20" t="s">
        <v>64</v>
      </c>
      <c r="F1077" s="27"/>
    </row>
    <row r="1078">
      <c r="A1078" s="26">
        <v>44748.772690185186</v>
      </c>
      <c r="B1078" s="20" t="s">
        <v>345</v>
      </c>
      <c r="C1078" s="20">
        <v>410.0</v>
      </c>
      <c r="D1078" s="20" t="s">
        <v>2144</v>
      </c>
      <c r="E1078" s="20" t="s">
        <v>64</v>
      </c>
      <c r="F1078" s="27"/>
    </row>
    <row r="1079">
      <c r="A1079" s="26">
        <v>44748.77286753472</v>
      </c>
      <c r="B1079" s="20" t="s">
        <v>345</v>
      </c>
      <c r="C1079" s="20">
        <v>926.0</v>
      </c>
      <c r="D1079" s="20" t="s">
        <v>2144</v>
      </c>
      <c r="E1079" s="20" t="s">
        <v>64</v>
      </c>
      <c r="F1079" s="27"/>
    </row>
    <row r="1080">
      <c r="A1080" s="26">
        <v>44748.773069814815</v>
      </c>
      <c r="B1080" s="20" t="s">
        <v>345</v>
      </c>
      <c r="C1080" s="20">
        <v>513.0</v>
      </c>
      <c r="D1080" s="20" t="s">
        <v>2144</v>
      </c>
      <c r="E1080" s="20" t="s">
        <v>64</v>
      </c>
      <c r="F1080" s="27"/>
    </row>
    <row r="1081">
      <c r="A1081" s="26">
        <v>44748.773562291666</v>
      </c>
      <c r="B1081" s="20" t="s">
        <v>345</v>
      </c>
      <c r="C1081" s="20">
        <v>503.0</v>
      </c>
      <c r="D1081" s="20" t="s">
        <v>2144</v>
      </c>
      <c r="E1081" s="20" t="s">
        <v>490</v>
      </c>
      <c r="F1081" s="27"/>
    </row>
    <row r="1082">
      <c r="A1082" s="26">
        <v>44748.77375050926</v>
      </c>
      <c r="B1082" s="20" t="s">
        <v>345</v>
      </c>
      <c r="C1082" s="20">
        <v>907.0</v>
      </c>
      <c r="D1082" s="20" t="s">
        <v>2144</v>
      </c>
      <c r="E1082" s="20" t="s">
        <v>64</v>
      </c>
      <c r="F1082" s="27"/>
    </row>
    <row r="1083">
      <c r="A1083" s="26">
        <v>44748.77392975695</v>
      </c>
      <c r="B1083" s="20" t="s">
        <v>345</v>
      </c>
      <c r="C1083" s="20">
        <v>358.0</v>
      </c>
      <c r="D1083" s="20" t="s">
        <v>2144</v>
      </c>
      <c r="E1083" s="20" t="s">
        <v>64</v>
      </c>
      <c r="F1083" s="27"/>
    </row>
    <row r="1084">
      <c r="A1084" s="26">
        <v>44748.77409761574</v>
      </c>
      <c r="B1084" s="20" t="s">
        <v>345</v>
      </c>
      <c r="C1084" s="20">
        <v>543.0</v>
      </c>
      <c r="D1084" s="20" t="s">
        <v>2144</v>
      </c>
      <c r="E1084" s="20" t="s">
        <v>64</v>
      </c>
      <c r="F1084" s="27"/>
    </row>
    <row r="1085">
      <c r="A1085" s="26">
        <v>44748.77426626158</v>
      </c>
      <c r="B1085" s="20" t="s">
        <v>345</v>
      </c>
      <c r="C1085" s="20">
        <v>712.0</v>
      </c>
      <c r="D1085" s="20" t="s">
        <v>2144</v>
      </c>
      <c r="E1085" s="20" t="s">
        <v>64</v>
      </c>
      <c r="F1085" s="27"/>
    </row>
    <row r="1086">
      <c r="A1086" s="28">
        <v>44752.0</v>
      </c>
      <c r="B1086" s="20" t="s">
        <v>345</v>
      </c>
      <c r="C1086" s="20">
        <v>35.0</v>
      </c>
      <c r="D1086" s="20" t="s">
        <v>2149</v>
      </c>
      <c r="E1086" s="20" t="s">
        <v>117</v>
      </c>
      <c r="F1086" s="27"/>
    </row>
    <row r="1087">
      <c r="A1087" s="26">
        <v>44752.64483253472</v>
      </c>
      <c r="B1087" s="20" t="s">
        <v>63</v>
      </c>
      <c r="C1087" s="20">
        <v>832.0</v>
      </c>
      <c r="D1087" s="20" t="s">
        <v>2144</v>
      </c>
      <c r="E1087" s="20" t="s">
        <v>80</v>
      </c>
      <c r="F1087" s="27"/>
    </row>
    <row r="1088">
      <c r="A1088" s="26">
        <v>44752.645127881944</v>
      </c>
      <c r="B1088" s="20" t="s">
        <v>63</v>
      </c>
      <c r="C1088" s="20">
        <v>888.0</v>
      </c>
      <c r="D1088" s="20" t="s">
        <v>2144</v>
      </c>
      <c r="E1088" s="20" t="s">
        <v>80</v>
      </c>
      <c r="F1088" s="27"/>
    </row>
    <row r="1089">
      <c r="A1089" s="26">
        <v>44752.6453833912</v>
      </c>
      <c r="B1089" s="20" t="s">
        <v>464</v>
      </c>
      <c r="C1089" s="20">
        <v>954.0</v>
      </c>
      <c r="D1089" s="20" t="s">
        <v>2144</v>
      </c>
      <c r="E1089" s="20" t="s">
        <v>80</v>
      </c>
      <c r="F1089" s="27"/>
    </row>
    <row r="1090">
      <c r="A1090" s="26">
        <v>44754.66051446759</v>
      </c>
      <c r="B1090" s="20" t="s">
        <v>163</v>
      </c>
      <c r="C1090" s="20">
        <v>669.0</v>
      </c>
      <c r="D1090" s="20" t="s">
        <v>2242</v>
      </c>
      <c r="E1090" s="20" t="s">
        <v>40</v>
      </c>
      <c r="F1090" s="27"/>
    </row>
    <row r="1091">
      <c r="A1091" s="26">
        <v>44754.6612827662</v>
      </c>
      <c r="B1091" s="20" t="s">
        <v>163</v>
      </c>
      <c r="C1091" s="20">
        <v>538.0</v>
      </c>
      <c r="D1091" s="20" t="s">
        <v>2242</v>
      </c>
      <c r="E1091" s="20" t="s">
        <v>40</v>
      </c>
      <c r="F1091" s="27"/>
    </row>
    <row r="1092">
      <c r="A1092" s="26">
        <v>44754.66954859954</v>
      </c>
      <c r="B1092" s="20" t="s">
        <v>163</v>
      </c>
      <c r="C1092" s="20">
        <v>359.0</v>
      </c>
      <c r="D1092" s="20" t="s">
        <v>2243</v>
      </c>
      <c r="E1092" s="20" t="s">
        <v>76</v>
      </c>
      <c r="F1092" s="27"/>
    </row>
    <row r="1093">
      <c r="A1093" s="26">
        <v>44754.681115949075</v>
      </c>
      <c r="B1093" s="20" t="s">
        <v>163</v>
      </c>
      <c r="C1093" s="20">
        <v>41.0</v>
      </c>
      <c r="D1093" s="20" t="s">
        <v>2243</v>
      </c>
      <c r="E1093" s="20" t="s">
        <v>64</v>
      </c>
      <c r="F1093" s="27"/>
    </row>
    <row r="1094">
      <c r="A1094" s="26">
        <v>44754.68290486111</v>
      </c>
      <c r="B1094" s="20" t="s">
        <v>163</v>
      </c>
      <c r="C1094" s="20">
        <v>1208.0</v>
      </c>
      <c r="D1094" s="20" t="s">
        <v>2243</v>
      </c>
      <c r="E1094" s="20" t="s">
        <v>93</v>
      </c>
      <c r="F1094" s="27"/>
    </row>
    <row r="1095">
      <c r="A1095" s="26">
        <v>44754.68641702546</v>
      </c>
      <c r="B1095" s="20" t="s">
        <v>163</v>
      </c>
      <c r="C1095" s="20">
        <v>179.0</v>
      </c>
      <c r="D1095" s="20" t="s">
        <v>2243</v>
      </c>
      <c r="E1095" s="20" t="s">
        <v>581</v>
      </c>
      <c r="F1095" s="27"/>
    </row>
    <row r="1096">
      <c r="A1096" s="26">
        <v>44754.69271721065</v>
      </c>
      <c r="B1096" s="20" t="s">
        <v>163</v>
      </c>
      <c r="C1096" s="20">
        <v>79.0</v>
      </c>
      <c r="D1096" s="20" t="s">
        <v>2243</v>
      </c>
      <c r="E1096" s="20" t="s">
        <v>80</v>
      </c>
      <c r="F1096" s="27"/>
    </row>
    <row r="1097">
      <c r="A1097" s="26">
        <v>44756.60052291666</v>
      </c>
      <c r="B1097" s="20" t="s">
        <v>55</v>
      </c>
      <c r="C1097" s="20">
        <v>10.0</v>
      </c>
      <c r="D1097" s="20" t="s">
        <v>2244</v>
      </c>
      <c r="E1097" s="20" t="s">
        <v>572</v>
      </c>
      <c r="F1097" s="27"/>
    </row>
    <row r="1098">
      <c r="A1098" s="26">
        <v>44757.711343414354</v>
      </c>
      <c r="B1098" s="20" t="s">
        <v>345</v>
      </c>
      <c r="C1098" s="20">
        <v>1457.0</v>
      </c>
      <c r="D1098" s="20" t="s">
        <v>2243</v>
      </c>
      <c r="E1098" s="20" t="s">
        <v>38</v>
      </c>
      <c r="F1098" s="27"/>
    </row>
    <row r="1099">
      <c r="A1099" s="26">
        <v>44759.63962368056</v>
      </c>
      <c r="B1099" s="20" t="s">
        <v>411</v>
      </c>
      <c r="C1099" s="20">
        <v>286.0</v>
      </c>
      <c r="D1099" s="20" t="s">
        <v>2144</v>
      </c>
      <c r="E1099" s="20" t="s">
        <v>95</v>
      </c>
      <c r="F1099" s="27"/>
    </row>
    <row r="1100">
      <c r="A1100" s="26">
        <v>44759.644630787036</v>
      </c>
      <c r="B1100" s="20" t="s">
        <v>411</v>
      </c>
      <c r="C1100" s="20">
        <v>469.0</v>
      </c>
      <c r="D1100" s="20" t="s">
        <v>2144</v>
      </c>
      <c r="E1100" s="20" t="s">
        <v>40</v>
      </c>
      <c r="F1100" s="27"/>
    </row>
    <row r="1101">
      <c r="A1101" s="26">
        <v>44759.64612474537</v>
      </c>
      <c r="B1101" s="20" t="s">
        <v>411</v>
      </c>
      <c r="C1101" s="20">
        <v>276.0</v>
      </c>
      <c r="D1101" s="20" t="s">
        <v>2144</v>
      </c>
      <c r="E1101" s="20" t="s">
        <v>80</v>
      </c>
      <c r="F1101" s="27"/>
    </row>
    <row r="1102">
      <c r="A1102" s="26">
        <v>44761.72441974537</v>
      </c>
      <c r="B1102" s="20" t="s">
        <v>2245</v>
      </c>
      <c r="C1102" s="20">
        <v>591.0</v>
      </c>
      <c r="D1102" s="20" t="s">
        <v>2246</v>
      </c>
      <c r="E1102" s="20" t="s">
        <v>40</v>
      </c>
      <c r="F1102" s="27"/>
    </row>
    <row r="1103">
      <c r="A1103" s="26">
        <v>44761.724891018515</v>
      </c>
      <c r="B1103" s="20" t="s">
        <v>2246</v>
      </c>
      <c r="C1103" s="20">
        <v>549.0</v>
      </c>
      <c r="D1103" s="20" t="s">
        <v>2247</v>
      </c>
      <c r="E1103" s="20" t="s">
        <v>40</v>
      </c>
      <c r="F1103" s="27"/>
    </row>
    <row r="1104">
      <c r="A1104" s="26">
        <v>44761.72541326389</v>
      </c>
      <c r="B1104" s="20" t="s">
        <v>2247</v>
      </c>
      <c r="C1104" s="20">
        <v>501.0</v>
      </c>
      <c r="D1104" s="20" t="s">
        <v>2247</v>
      </c>
      <c r="E1104" s="20" t="s">
        <v>40</v>
      </c>
      <c r="F1104" s="27"/>
    </row>
    <row r="1105">
      <c r="A1105" s="26">
        <v>44761.726096631945</v>
      </c>
      <c r="B1105" s="20" t="s">
        <v>2247</v>
      </c>
      <c r="C1105" s="20">
        <v>479.0</v>
      </c>
      <c r="D1105" s="20" t="s">
        <v>2247</v>
      </c>
      <c r="E1105" s="20" t="s">
        <v>40</v>
      </c>
      <c r="F1105" s="27"/>
    </row>
    <row r="1106">
      <c r="A1106" s="26">
        <v>44762.68104847222</v>
      </c>
      <c r="B1106" s="20" t="s">
        <v>49</v>
      </c>
      <c r="C1106" s="20">
        <v>257.0</v>
      </c>
      <c r="D1106" s="20" t="s">
        <v>2144</v>
      </c>
      <c r="E1106" s="20" t="s">
        <v>47</v>
      </c>
      <c r="F1106" s="27"/>
    </row>
    <row r="1107">
      <c r="A1107" s="26">
        <v>44762.681311423614</v>
      </c>
      <c r="B1107" s="20" t="s">
        <v>49</v>
      </c>
      <c r="C1107" s="20">
        <v>278.0</v>
      </c>
      <c r="D1107" s="20" t="s">
        <v>2144</v>
      </c>
      <c r="E1107" s="20" t="s">
        <v>40</v>
      </c>
      <c r="F1107" s="27"/>
    </row>
    <row r="1108">
      <c r="A1108" s="26">
        <v>44762.68161748843</v>
      </c>
      <c r="B1108" s="20" t="s">
        <v>49</v>
      </c>
      <c r="C1108" s="20">
        <v>528.0</v>
      </c>
      <c r="D1108" s="20" t="s">
        <v>2144</v>
      </c>
      <c r="E1108" s="20" t="s">
        <v>47</v>
      </c>
      <c r="F1108" s="27"/>
    </row>
    <row r="1109">
      <c r="A1109" s="26">
        <v>44762.68194303241</v>
      </c>
      <c r="B1109" s="20" t="s">
        <v>49</v>
      </c>
      <c r="C1109" s="20">
        <v>755.0</v>
      </c>
      <c r="D1109" s="20" t="s">
        <v>2144</v>
      </c>
      <c r="E1109" s="20" t="s">
        <v>38</v>
      </c>
      <c r="F1109" s="27"/>
    </row>
    <row r="1110">
      <c r="A1110" s="26">
        <v>44762.68224866898</v>
      </c>
      <c r="B1110" s="20" t="s">
        <v>49</v>
      </c>
      <c r="C1110" s="20">
        <v>95.0</v>
      </c>
      <c r="D1110" s="20" t="s">
        <v>2144</v>
      </c>
      <c r="E1110" s="20" t="s">
        <v>95</v>
      </c>
      <c r="F1110" s="27"/>
    </row>
    <row r="1111">
      <c r="A1111" s="28">
        <v>44763.0</v>
      </c>
      <c r="B1111" s="20" t="s">
        <v>345</v>
      </c>
      <c r="C1111" s="20">
        <v>611.0</v>
      </c>
      <c r="D1111" s="20" t="s">
        <v>2243</v>
      </c>
      <c r="E1111" s="20" t="s">
        <v>2248</v>
      </c>
      <c r="F1111" s="27"/>
    </row>
    <row r="1112">
      <c r="A1112" s="28">
        <v>44763.0</v>
      </c>
      <c r="B1112" s="20" t="s">
        <v>345</v>
      </c>
      <c r="C1112" s="20">
        <v>1571.0</v>
      </c>
      <c r="D1112" s="20" t="s">
        <v>2243</v>
      </c>
      <c r="E1112" s="20" t="s">
        <v>93</v>
      </c>
      <c r="F1112" s="27"/>
    </row>
    <row r="1113">
      <c r="A1113" s="28">
        <v>44763.0</v>
      </c>
      <c r="B1113" s="20" t="s">
        <v>345</v>
      </c>
      <c r="C1113" s="20">
        <v>871.0</v>
      </c>
      <c r="D1113" s="20" t="s">
        <v>2243</v>
      </c>
      <c r="E1113" s="20" t="s">
        <v>2248</v>
      </c>
      <c r="F1113" s="27"/>
    </row>
    <row r="1114">
      <c r="A1114" s="26">
        <v>44764.64893805556</v>
      </c>
      <c r="B1114" s="20" t="s">
        <v>2249</v>
      </c>
      <c r="C1114" s="20">
        <v>115.0</v>
      </c>
      <c r="D1114" s="20" t="s">
        <v>2250</v>
      </c>
      <c r="E1114" s="20" t="s">
        <v>40</v>
      </c>
      <c r="F1114" s="27"/>
    </row>
    <row r="1115">
      <c r="A1115" s="26">
        <v>44766.54272017362</v>
      </c>
      <c r="B1115" s="20" t="s">
        <v>49</v>
      </c>
      <c r="C1115" s="20">
        <v>220.0</v>
      </c>
      <c r="D1115" s="20" t="s">
        <v>2149</v>
      </c>
      <c r="E1115" s="20" t="s">
        <v>2251</v>
      </c>
      <c r="F1115" s="27"/>
    </row>
    <row r="1116">
      <c r="A1116" s="26">
        <v>44766.655565497684</v>
      </c>
      <c r="B1116" s="20" t="s">
        <v>528</v>
      </c>
      <c r="C1116" s="20">
        <v>457.0</v>
      </c>
      <c r="D1116" s="20" t="s">
        <v>2144</v>
      </c>
      <c r="E1116" s="20" t="s">
        <v>40</v>
      </c>
      <c r="F1116" s="27"/>
    </row>
    <row r="1117">
      <c r="A1117" s="26">
        <v>44766.657362743055</v>
      </c>
      <c r="B1117" s="20" t="s">
        <v>528</v>
      </c>
      <c r="C1117" s="20">
        <v>473.0</v>
      </c>
      <c r="D1117" s="20" t="s">
        <v>2144</v>
      </c>
      <c r="E1117" s="20" t="s">
        <v>80</v>
      </c>
      <c r="F1117" s="27"/>
    </row>
    <row r="1118">
      <c r="A1118" s="26">
        <v>44766.65937538195</v>
      </c>
      <c r="B1118" s="20" t="s">
        <v>528</v>
      </c>
      <c r="C1118" s="20">
        <v>582.0</v>
      </c>
      <c r="D1118" s="20" t="s">
        <v>2144</v>
      </c>
      <c r="E1118" s="20" t="s">
        <v>40</v>
      </c>
      <c r="F1118" s="27"/>
    </row>
    <row r="1119">
      <c r="A1119" s="26">
        <v>44766.661639467595</v>
      </c>
      <c r="B1119" s="20" t="s">
        <v>528</v>
      </c>
      <c r="C1119" s="20">
        <v>860.0</v>
      </c>
      <c r="D1119" s="20" t="s">
        <v>2144</v>
      </c>
      <c r="E1119" s="20" t="s">
        <v>38</v>
      </c>
      <c r="F1119" s="27"/>
    </row>
    <row r="1120">
      <c r="A1120" s="26">
        <v>44769.626753530094</v>
      </c>
      <c r="B1120" s="20" t="s">
        <v>345</v>
      </c>
      <c r="C1120" s="20">
        <v>386.0</v>
      </c>
      <c r="D1120" s="20" t="s">
        <v>2243</v>
      </c>
      <c r="E1120" s="20" t="s">
        <v>80</v>
      </c>
      <c r="F1120" s="27"/>
    </row>
    <row r="1121">
      <c r="A1121" s="26">
        <v>44769.626920497685</v>
      </c>
      <c r="B1121" s="20" t="s">
        <v>345</v>
      </c>
      <c r="C1121" s="20">
        <v>350.0</v>
      </c>
      <c r="D1121" s="20" t="s">
        <v>2243</v>
      </c>
      <c r="E1121" s="20" t="s">
        <v>80</v>
      </c>
      <c r="F1121" s="27"/>
    </row>
    <row r="1122">
      <c r="A1122" s="26">
        <v>44769.62781064815</v>
      </c>
      <c r="B1122" s="20" t="s">
        <v>345</v>
      </c>
      <c r="C1122" s="20">
        <v>307.0</v>
      </c>
      <c r="D1122" s="20" t="s">
        <v>2243</v>
      </c>
      <c r="E1122" s="20" t="s">
        <v>80</v>
      </c>
      <c r="F1122" s="27"/>
    </row>
    <row r="1123">
      <c r="A1123" s="26">
        <v>44769.63160811343</v>
      </c>
      <c r="B1123" s="20" t="s">
        <v>345</v>
      </c>
      <c r="C1123" s="20">
        <v>364.0</v>
      </c>
      <c r="D1123" s="20" t="s">
        <v>2243</v>
      </c>
      <c r="E1123" s="20" t="s">
        <v>80</v>
      </c>
      <c r="F1123" s="27"/>
    </row>
    <row r="1124">
      <c r="A1124" s="26">
        <v>44769.631789652776</v>
      </c>
      <c r="B1124" s="20" t="s">
        <v>345</v>
      </c>
      <c r="C1124" s="20">
        <v>477.0</v>
      </c>
      <c r="D1124" s="20" t="s">
        <v>2243</v>
      </c>
      <c r="E1124" s="20" t="s">
        <v>80</v>
      </c>
      <c r="F1124" s="27"/>
    </row>
    <row r="1125">
      <c r="A1125" s="26">
        <v>44769.63574618056</v>
      </c>
      <c r="B1125" s="20" t="s">
        <v>345</v>
      </c>
      <c r="C1125" s="20">
        <v>347.0</v>
      </c>
      <c r="D1125" s="20" t="s">
        <v>2252</v>
      </c>
      <c r="E1125" s="20" t="s">
        <v>80</v>
      </c>
      <c r="F1125" s="27"/>
    </row>
    <row r="1126">
      <c r="A1126" s="26">
        <v>44769.636286215275</v>
      </c>
      <c r="B1126" s="20" t="s">
        <v>345</v>
      </c>
      <c r="C1126" s="20">
        <v>566.0</v>
      </c>
      <c r="D1126" s="20" t="s">
        <v>2144</v>
      </c>
      <c r="E1126" s="20" t="s">
        <v>40</v>
      </c>
      <c r="F1126" s="27"/>
    </row>
    <row r="1127">
      <c r="A1127" s="26">
        <v>44769.63884241898</v>
      </c>
      <c r="B1127" s="20" t="s">
        <v>345</v>
      </c>
      <c r="C1127" s="20">
        <v>725.0</v>
      </c>
      <c r="D1127" s="20" t="s">
        <v>2144</v>
      </c>
      <c r="E1127" s="20" t="s">
        <v>80</v>
      </c>
      <c r="F1127" s="27"/>
    </row>
    <row r="1128">
      <c r="A1128" s="26">
        <v>44769.640514872684</v>
      </c>
      <c r="B1128" s="20" t="s">
        <v>345</v>
      </c>
      <c r="C1128" s="20">
        <v>439.0</v>
      </c>
      <c r="D1128" s="20" t="s">
        <v>2144</v>
      </c>
      <c r="E1128" s="20" t="s">
        <v>387</v>
      </c>
      <c r="F1128" s="27"/>
    </row>
    <row r="1129">
      <c r="A1129" s="26">
        <v>44769.642435393514</v>
      </c>
      <c r="B1129" s="20" t="s">
        <v>345</v>
      </c>
      <c r="C1129" s="20">
        <v>387.0</v>
      </c>
      <c r="D1129" s="20" t="s">
        <v>2144</v>
      </c>
      <c r="E1129" s="20" t="s">
        <v>387</v>
      </c>
      <c r="F1129" s="27"/>
    </row>
    <row r="1130">
      <c r="A1130" s="26">
        <v>44769.644218657406</v>
      </c>
      <c r="B1130" s="20" t="s">
        <v>345</v>
      </c>
      <c r="C1130" s="20">
        <v>457.0</v>
      </c>
      <c r="D1130" s="20" t="s">
        <v>2144</v>
      </c>
      <c r="E1130" s="20" t="s">
        <v>387</v>
      </c>
      <c r="F1130" s="27"/>
    </row>
    <row r="1131">
      <c r="A1131" s="26">
        <v>44769.64687809028</v>
      </c>
      <c r="B1131" s="20" t="s">
        <v>345</v>
      </c>
      <c r="C1131" s="20">
        <v>478.0</v>
      </c>
      <c r="D1131" s="20" t="s">
        <v>2144</v>
      </c>
      <c r="E1131" s="20" t="s">
        <v>387</v>
      </c>
      <c r="F1131" s="27"/>
    </row>
    <row r="1132">
      <c r="A1132" s="26">
        <v>44769.64859711805</v>
      </c>
      <c r="B1132" s="20" t="s">
        <v>345</v>
      </c>
      <c r="C1132" s="20">
        <v>833.0</v>
      </c>
      <c r="D1132" s="20" t="s">
        <v>2144</v>
      </c>
      <c r="E1132" s="20" t="s">
        <v>297</v>
      </c>
      <c r="F1132" s="27"/>
    </row>
    <row r="1133">
      <c r="A1133" s="26">
        <v>44769.762640706016</v>
      </c>
      <c r="B1133" s="20" t="s">
        <v>2222</v>
      </c>
      <c r="C1133" s="20">
        <v>538.0</v>
      </c>
      <c r="D1133" s="20" t="s">
        <v>2253</v>
      </c>
      <c r="E1133" s="20" t="s">
        <v>40</v>
      </c>
      <c r="F1133" s="27"/>
    </row>
    <row r="1134">
      <c r="A1134" s="26">
        <v>44769.76686362269</v>
      </c>
      <c r="B1134" s="20" t="s">
        <v>345</v>
      </c>
      <c r="C1134" s="20">
        <v>740.0</v>
      </c>
      <c r="D1134" s="20" t="s">
        <v>2253</v>
      </c>
      <c r="E1134" s="20" t="s">
        <v>40</v>
      </c>
      <c r="F1134" s="27"/>
    </row>
    <row r="1135">
      <c r="A1135" s="26">
        <v>44769.774966516205</v>
      </c>
      <c r="B1135" s="20" t="s">
        <v>345</v>
      </c>
      <c r="C1135" s="20">
        <v>541.0</v>
      </c>
      <c r="D1135" s="20" t="s">
        <v>2253</v>
      </c>
      <c r="E1135" s="20" t="s">
        <v>40</v>
      </c>
      <c r="F1135" s="27"/>
    </row>
    <row r="1136">
      <c r="A1136" s="26">
        <v>44769.775333391204</v>
      </c>
      <c r="B1136" s="20" t="s">
        <v>345</v>
      </c>
      <c r="C1136" s="20">
        <v>514.0</v>
      </c>
      <c r="D1136" s="20" t="s">
        <v>2253</v>
      </c>
      <c r="E1136" s="20" t="s">
        <v>40</v>
      </c>
      <c r="F1136" s="27"/>
    </row>
    <row r="1137">
      <c r="A1137" s="26">
        <v>44769.77558033565</v>
      </c>
      <c r="B1137" s="20" t="s">
        <v>345</v>
      </c>
      <c r="C1137" s="20">
        <v>276.0</v>
      </c>
      <c r="D1137" s="20" t="s">
        <v>2253</v>
      </c>
      <c r="E1137" s="20" t="s">
        <v>40</v>
      </c>
      <c r="F1137" s="27"/>
    </row>
    <row r="1138">
      <c r="A1138" s="26">
        <v>44770.70915811343</v>
      </c>
      <c r="B1138" s="20" t="s">
        <v>345</v>
      </c>
      <c r="C1138" s="20">
        <v>669.0</v>
      </c>
      <c r="D1138" s="20" t="s">
        <v>2144</v>
      </c>
      <c r="E1138" s="20" t="s">
        <v>40</v>
      </c>
      <c r="F1138" s="27"/>
    </row>
    <row r="1139">
      <c r="A1139" s="26">
        <v>44770.709303958334</v>
      </c>
      <c r="B1139" s="20" t="s">
        <v>345</v>
      </c>
      <c r="C1139" s="20">
        <v>799.0</v>
      </c>
      <c r="D1139" s="20" t="s">
        <v>2144</v>
      </c>
      <c r="E1139" s="20" t="s">
        <v>47</v>
      </c>
      <c r="F1139" s="27"/>
    </row>
    <row r="1140">
      <c r="A1140" s="26">
        <v>44770.70954527778</v>
      </c>
      <c r="B1140" s="20" t="s">
        <v>345</v>
      </c>
      <c r="C1140" s="20">
        <v>481.0</v>
      </c>
      <c r="D1140" s="20" t="s">
        <v>2144</v>
      </c>
      <c r="E1140" s="20" t="s">
        <v>47</v>
      </c>
      <c r="F1140" s="27"/>
    </row>
    <row r="1141">
      <c r="A1141" s="26">
        <v>44770.70991710648</v>
      </c>
      <c r="B1141" s="20" t="s">
        <v>345</v>
      </c>
      <c r="C1141" s="20">
        <v>745.0</v>
      </c>
      <c r="D1141" s="20" t="s">
        <v>2144</v>
      </c>
      <c r="E1141" s="20" t="s">
        <v>47</v>
      </c>
      <c r="F1141" s="27"/>
    </row>
    <row r="1142">
      <c r="A1142" s="26">
        <v>44770.71169008102</v>
      </c>
      <c r="B1142" s="20" t="s">
        <v>345</v>
      </c>
      <c r="C1142" s="20">
        <v>1140.0</v>
      </c>
      <c r="D1142" s="20" t="s">
        <v>2144</v>
      </c>
      <c r="E1142" s="20" t="s">
        <v>47</v>
      </c>
      <c r="F1142" s="27"/>
    </row>
    <row r="1143">
      <c r="A1143" s="26">
        <v>44770.71323979167</v>
      </c>
      <c r="B1143" s="20" t="s">
        <v>345</v>
      </c>
      <c r="C1143" s="20">
        <v>907.0</v>
      </c>
      <c r="D1143" s="20" t="s">
        <v>2144</v>
      </c>
      <c r="E1143" s="20" t="s">
        <v>47</v>
      </c>
      <c r="F1143" s="27"/>
    </row>
    <row r="1144">
      <c r="A1144" s="26">
        <v>44770.715285451384</v>
      </c>
      <c r="B1144" s="20" t="s">
        <v>345</v>
      </c>
      <c r="C1144" s="20">
        <v>1243.0</v>
      </c>
      <c r="D1144" s="20" t="s">
        <v>2144</v>
      </c>
      <c r="E1144" s="20" t="s">
        <v>47</v>
      </c>
      <c r="F1144" s="27"/>
    </row>
    <row r="1145">
      <c r="A1145" s="26">
        <v>44771.58372030093</v>
      </c>
      <c r="B1145" s="20" t="s">
        <v>2254</v>
      </c>
      <c r="C1145" s="20">
        <v>140.0</v>
      </c>
      <c r="D1145" s="20" t="s">
        <v>2255</v>
      </c>
      <c r="E1145" s="20" t="s">
        <v>40</v>
      </c>
      <c r="F1145" s="27"/>
    </row>
    <row r="1146">
      <c r="A1146" s="26">
        <v>44773.64439782407</v>
      </c>
      <c r="B1146" s="20" t="s">
        <v>411</v>
      </c>
      <c r="C1146" s="20">
        <v>295.0</v>
      </c>
      <c r="D1146" s="20" t="s">
        <v>2144</v>
      </c>
      <c r="E1146" s="20" t="s">
        <v>40</v>
      </c>
      <c r="F1146" s="27"/>
    </row>
    <row r="1147">
      <c r="A1147" s="26">
        <v>44773.64561107639</v>
      </c>
      <c r="B1147" s="20" t="s">
        <v>411</v>
      </c>
      <c r="C1147" s="20">
        <v>521.0</v>
      </c>
      <c r="D1147" s="20" t="s">
        <v>2144</v>
      </c>
      <c r="E1147" s="20" t="s">
        <v>80</v>
      </c>
      <c r="F1147" s="27"/>
    </row>
    <row r="1148">
      <c r="A1148" s="26">
        <v>44773.64689224537</v>
      </c>
      <c r="B1148" s="20" t="s">
        <v>411</v>
      </c>
      <c r="C1148" s="20">
        <v>84.0</v>
      </c>
      <c r="D1148" s="20" t="s">
        <v>2144</v>
      </c>
      <c r="E1148" s="20" t="s">
        <v>95</v>
      </c>
      <c r="F1148" s="27"/>
    </row>
    <row r="1149">
      <c r="A1149" s="26">
        <v>44773.64868344908</v>
      </c>
      <c r="B1149" s="20" t="s">
        <v>411</v>
      </c>
      <c r="C1149" s="20">
        <v>773.0</v>
      </c>
      <c r="D1149" s="20" t="s">
        <v>2144</v>
      </c>
      <c r="E1149" s="20" t="s">
        <v>2256</v>
      </c>
      <c r="F1149" s="27"/>
    </row>
    <row r="1150">
      <c r="A1150" s="26">
        <v>44773.650765439816</v>
      </c>
      <c r="B1150" s="20" t="s">
        <v>411</v>
      </c>
      <c r="C1150" s="20">
        <v>634.0</v>
      </c>
      <c r="D1150" s="20" t="s">
        <v>2144</v>
      </c>
      <c r="E1150" s="20" t="s">
        <v>40</v>
      </c>
      <c r="F1150" s="27"/>
    </row>
    <row r="1151">
      <c r="A1151" s="26">
        <v>44775.59702767361</v>
      </c>
      <c r="B1151" s="20" t="s">
        <v>345</v>
      </c>
      <c r="C1151" s="20">
        <v>692.0</v>
      </c>
      <c r="D1151" s="20" t="s">
        <v>2144</v>
      </c>
      <c r="E1151" s="20" t="s">
        <v>47</v>
      </c>
      <c r="F1151" s="27"/>
    </row>
    <row r="1152">
      <c r="A1152" s="26">
        <v>44775.59733827546</v>
      </c>
      <c r="B1152" s="20" t="s">
        <v>345</v>
      </c>
      <c r="C1152" s="20">
        <v>317.0</v>
      </c>
      <c r="D1152" s="20" t="s">
        <v>2144</v>
      </c>
      <c r="E1152" s="20" t="s">
        <v>467</v>
      </c>
      <c r="F1152" s="27"/>
    </row>
    <row r="1153">
      <c r="A1153" s="26">
        <v>44775.597598333334</v>
      </c>
      <c r="B1153" s="20" t="s">
        <v>345</v>
      </c>
      <c r="C1153" s="20">
        <v>966.0</v>
      </c>
      <c r="D1153" s="20" t="s">
        <v>2144</v>
      </c>
      <c r="E1153" s="20" t="s">
        <v>47</v>
      </c>
      <c r="F1153" s="27"/>
    </row>
    <row r="1154">
      <c r="A1154" s="26">
        <v>44775.59834078704</v>
      </c>
      <c r="B1154" s="20" t="s">
        <v>345</v>
      </c>
      <c r="C1154" s="20">
        <v>764.0</v>
      </c>
      <c r="D1154" s="20" t="s">
        <v>2144</v>
      </c>
      <c r="E1154" s="20" t="s">
        <v>47</v>
      </c>
      <c r="F1154" s="27"/>
    </row>
    <row r="1155">
      <c r="A1155" s="26">
        <v>44775.59860981481</v>
      </c>
      <c r="B1155" s="20" t="s">
        <v>345</v>
      </c>
      <c r="C1155" s="20">
        <v>1077.0</v>
      </c>
      <c r="D1155" s="20" t="s">
        <v>2144</v>
      </c>
      <c r="E1155" s="20" t="s">
        <v>47</v>
      </c>
      <c r="F1155" s="27"/>
    </row>
    <row r="1156">
      <c r="A1156" s="26">
        <v>44775.598790613425</v>
      </c>
      <c r="B1156" s="20" t="s">
        <v>345</v>
      </c>
      <c r="C1156" s="20">
        <v>579.0</v>
      </c>
      <c r="D1156" s="20" t="s">
        <v>2144</v>
      </c>
      <c r="E1156" s="20" t="s">
        <v>47</v>
      </c>
      <c r="F1156" s="27"/>
    </row>
    <row r="1157">
      <c r="A1157" s="26">
        <v>44775.598960891206</v>
      </c>
      <c r="B1157" s="20" t="s">
        <v>345</v>
      </c>
      <c r="C1157" s="20">
        <v>1070.0</v>
      </c>
      <c r="D1157" s="20" t="s">
        <v>2144</v>
      </c>
      <c r="E1157" s="20" t="s">
        <v>47</v>
      </c>
      <c r="F1157" s="27"/>
    </row>
    <row r="1158">
      <c r="A1158" s="26">
        <v>44775.59915502315</v>
      </c>
      <c r="B1158" s="20" t="s">
        <v>345</v>
      </c>
      <c r="C1158" s="20">
        <v>506.0</v>
      </c>
      <c r="D1158" s="20" t="s">
        <v>2144</v>
      </c>
      <c r="E1158" s="20" t="s">
        <v>47</v>
      </c>
      <c r="F1158" s="27"/>
    </row>
    <row r="1159">
      <c r="A1159" s="26">
        <v>44775.59933981481</v>
      </c>
      <c r="B1159" s="20" t="s">
        <v>345</v>
      </c>
      <c r="C1159" s="20">
        <v>1069.0</v>
      </c>
      <c r="D1159" s="20" t="s">
        <v>2144</v>
      </c>
      <c r="E1159" s="20" t="s">
        <v>47</v>
      </c>
      <c r="F1159" s="27"/>
    </row>
    <row r="1160">
      <c r="A1160" s="26">
        <v>44776.55065508102</v>
      </c>
      <c r="B1160" s="20" t="s">
        <v>331</v>
      </c>
      <c r="C1160" s="20">
        <v>661.0</v>
      </c>
      <c r="D1160" s="20" t="s">
        <v>2257</v>
      </c>
      <c r="E1160" s="20" t="s">
        <v>40</v>
      </c>
      <c r="F1160" s="27"/>
    </row>
    <row r="1161">
      <c r="A1161" s="26">
        <v>44776.55164376157</v>
      </c>
      <c r="B1161" s="20" t="s">
        <v>406</v>
      </c>
      <c r="C1161" s="20">
        <v>608.0</v>
      </c>
      <c r="D1161" s="20" t="s">
        <v>2258</v>
      </c>
      <c r="E1161" s="20" t="s">
        <v>40</v>
      </c>
      <c r="F1161" s="27"/>
    </row>
    <row r="1162">
      <c r="A1162" s="26">
        <v>44776.635199537035</v>
      </c>
      <c r="B1162" s="20" t="s">
        <v>345</v>
      </c>
      <c r="C1162" s="20">
        <v>548.0</v>
      </c>
      <c r="D1162" s="20" t="s">
        <v>2253</v>
      </c>
      <c r="E1162" s="20" t="s">
        <v>40</v>
      </c>
      <c r="F1162" s="27"/>
    </row>
    <row r="1163">
      <c r="A1163" s="26">
        <v>44776.63545717593</v>
      </c>
      <c r="B1163" s="20" t="s">
        <v>345</v>
      </c>
      <c r="C1163" s="20">
        <v>443.0</v>
      </c>
      <c r="D1163" s="20" t="s">
        <v>2253</v>
      </c>
      <c r="E1163" s="20" t="s">
        <v>40</v>
      </c>
      <c r="F1163" s="27"/>
    </row>
    <row r="1164">
      <c r="A1164" s="26">
        <v>44776.63568017361</v>
      </c>
      <c r="B1164" s="20" t="s">
        <v>345</v>
      </c>
      <c r="C1164" s="20">
        <v>955.0</v>
      </c>
      <c r="D1164" s="20" t="s">
        <v>2253</v>
      </c>
      <c r="E1164" s="20" t="s">
        <v>40</v>
      </c>
      <c r="F1164" s="27"/>
    </row>
    <row r="1165">
      <c r="A1165" s="26">
        <v>44776.63583708333</v>
      </c>
      <c r="B1165" s="20" t="s">
        <v>345</v>
      </c>
      <c r="C1165" s="20">
        <v>198.0</v>
      </c>
      <c r="D1165" s="20" t="s">
        <v>2144</v>
      </c>
      <c r="E1165" s="20" t="s">
        <v>80</v>
      </c>
      <c r="F1165" s="27"/>
    </row>
    <row r="1166">
      <c r="A1166" s="26">
        <v>44776.6360943287</v>
      </c>
      <c r="B1166" s="20" t="s">
        <v>345</v>
      </c>
      <c r="C1166" s="20">
        <v>423.0</v>
      </c>
      <c r="D1166" s="20" t="s">
        <v>2253</v>
      </c>
      <c r="E1166" s="20" t="s">
        <v>40</v>
      </c>
      <c r="F1166" s="27"/>
    </row>
    <row r="1167">
      <c r="A1167" s="26">
        <v>44776.63627934028</v>
      </c>
      <c r="B1167" s="20" t="s">
        <v>345</v>
      </c>
      <c r="C1167" s="20">
        <v>426.0</v>
      </c>
      <c r="D1167" s="20" t="s">
        <v>2144</v>
      </c>
      <c r="E1167" s="20" t="s">
        <v>40</v>
      </c>
      <c r="F1167" s="27"/>
    </row>
    <row r="1168">
      <c r="A1168" s="26">
        <v>44776.63648487268</v>
      </c>
      <c r="B1168" s="20" t="s">
        <v>345</v>
      </c>
      <c r="C1168" s="20">
        <v>580.0</v>
      </c>
      <c r="D1168" s="20" t="s">
        <v>2243</v>
      </c>
      <c r="E1168" s="20" t="s">
        <v>80</v>
      </c>
      <c r="F1168" s="27"/>
    </row>
    <row r="1169">
      <c r="A1169" s="26">
        <v>44776.63674574074</v>
      </c>
      <c r="B1169" s="20" t="s">
        <v>345</v>
      </c>
      <c r="C1169" s="20">
        <v>364.0</v>
      </c>
      <c r="D1169" s="20" t="s">
        <v>2243</v>
      </c>
      <c r="E1169" s="20" t="s">
        <v>80</v>
      </c>
      <c r="F1169" s="27"/>
    </row>
    <row r="1170">
      <c r="A1170" s="26">
        <v>44776.63699568287</v>
      </c>
      <c r="B1170" s="20" t="s">
        <v>345</v>
      </c>
      <c r="C1170" s="20">
        <v>243.0</v>
      </c>
      <c r="D1170" s="20" t="s">
        <v>2243</v>
      </c>
      <c r="E1170" s="20" t="s">
        <v>64</v>
      </c>
      <c r="F1170" s="27"/>
    </row>
    <row r="1171">
      <c r="A1171" s="26">
        <v>44776.637205555555</v>
      </c>
      <c r="B1171" s="20" t="s">
        <v>345</v>
      </c>
      <c r="C1171" s="20">
        <v>90.0</v>
      </c>
      <c r="D1171" s="20" t="s">
        <v>2243</v>
      </c>
      <c r="E1171" s="20" t="s">
        <v>80</v>
      </c>
      <c r="F1171" s="27"/>
    </row>
    <row r="1172">
      <c r="A1172" s="26">
        <v>44776.63743675926</v>
      </c>
      <c r="B1172" s="20" t="s">
        <v>345</v>
      </c>
      <c r="C1172" s="20">
        <v>194.0</v>
      </c>
      <c r="D1172" s="20" t="s">
        <v>2243</v>
      </c>
      <c r="E1172" s="20" t="s">
        <v>80</v>
      </c>
      <c r="F1172" s="27"/>
    </row>
    <row r="1173">
      <c r="A1173" s="26">
        <v>44777.65923578704</v>
      </c>
      <c r="B1173" s="20" t="s">
        <v>2254</v>
      </c>
      <c r="C1173" s="20">
        <v>266.0</v>
      </c>
      <c r="D1173" s="20" t="s">
        <v>2255</v>
      </c>
      <c r="E1173" s="20" t="s">
        <v>40</v>
      </c>
      <c r="F1173" s="27"/>
    </row>
    <row r="1174">
      <c r="A1174" s="28">
        <v>44779.0</v>
      </c>
      <c r="B1174" s="20" t="s">
        <v>345</v>
      </c>
      <c r="C1174" s="20">
        <v>275.0</v>
      </c>
      <c r="D1174" s="20" t="s">
        <v>2144</v>
      </c>
      <c r="E1174" s="20" t="s">
        <v>572</v>
      </c>
      <c r="F1174" s="20" t="s">
        <v>469</v>
      </c>
    </row>
    <row r="1175">
      <c r="A1175" s="28">
        <v>44779.0</v>
      </c>
      <c r="B1175" s="20" t="s">
        <v>345</v>
      </c>
      <c r="C1175" s="20">
        <v>1293.0</v>
      </c>
      <c r="D1175" s="20" t="s">
        <v>2144</v>
      </c>
      <c r="E1175" s="20" t="s">
        <v>36</v>
      </c>
      <c r="F1175" s="20" t="s">
        <v>449</v>
      </c>
    </row>
    <row r="1176">
      <c r="A1176" s="28">
        <v>44779.0</v>
      </c>
      <c r="B1176" s="20" t="s">
        <v>345</v>
      </c>
      <c r="C1176" s="20">
        <v>1037.0</v>
      </c>
      <c r="D1176" s="20" t="s">
        <v>2144</v>
      </c>
      <c r="E1176" s="20" t="s">
        <v>467</v>
      </c>
      <c r="F1176" s="20" t="s">
        <v>449</v>
      </c>
    </row>
    <row r="1177">
      <c r="A1177" s="28">
        <v>44779.0</v>
      </c>
      <c r="B1177" s="20" t="s">
        <v>345</v>
      </c>
      <c r="C1177" s="20">
        <v>1690.0</v>
      </c>
      <c r="D1177" s="20" t="s">
        <v>2144</v>
      </c>
      <c r="E1177" s="20" t="s">
        <v>467</v>
      </c>
      <c r="F1177" s="20" t="s">
        <v>449</v>
      </c>
    </row>
    <row r="1178">
      <c r="A1178" s="28">
        <v>44779.0</v>
      </c>
      <c r="B1178" s="20" t="s">
        <v>345</v>
      </c>
      <c r="C1178" s="20">
        <v>1479.0</v>
      </c>
      <c r="D1178" s="20" t="s">
        <v>2144</v>
      </c>
      <c r="E1178" s="20" t="s">
        <v>467</v>
      </c>
      <c r="F1178" s="20" t="s">
        <v>449</v>
      </c>
    </row>
    <row r="1179">
      <c r="A1179" s="28">
        <v>44779.0</v>
      </c>
      <c r="B1179" s="20" t="s">
        <v>345</v>
      </c>
      <c r="C1179" s="20">
        <v>1611.0</v>
      </c>
      <c r="D1179" s="20" t="s">
        <v>2144</v>
      </c>
      <c r="E1179" s="20" t="s">
        <v>43</v>
      </c>
      <c r="F1179" s="20" t="s">
        <v>449</v>
      </c>
    </row>
    <row r="1180">
      <c r="A1180" s="28">
        <v>44779.0</v>
      </c>
      <c r="B1180" s="20" t="s">
        <v>345</v>
      </c>
      <c r="C1180" s="20">
        <v>1589.0</v>
      </c>
      <c r="D1180" s="20" t="s">
        <v>2144</v>
      </c>
      <c r="E1180" s="20" t="s">
        <v>43</v>
      </c>
      <c r="F1180" s="20" t="s">
        <v>449</v>
      </c>
    </row>
    <row r="1181">
      <c r="A1181" s="28">
        <v>44779.0</v>
      </c>
      <c r="B1181" s="20" t="s">
        <v>345</v>
      </c>
      <c r="C1181" s="20">
        <v>983.0</v>
      </c>
      <c r="D1181" s="20" t="s">
        <v>2144</v>
      </c>
      <c r="E1181" s="20" t="s">
        <v>137</v>
      </c>
      <c r="F1181" s="20" t="s">
        <v>449</v>
      </c>
    </row>
    <row r="1182">
      <c r="A1182" s="28">
        <v>44779.0</v>
      </c>
      <c r="B1182" s="20" t="s">
        <v>345</v>
      </c>
      <c r="C1182" s="20">
        <v>1395.0</v>
      </c>
      <c r="D1182" s="20" t="s">
        <v>2144</v>
      </c>
      <c r="E1182" s="20" t="s">
        <v>36</v>
      </c>
      <c r="F1182" s="20" t="s">
        <v>449</v>
      </c>
    </row>
    <row r="1183">
      <c r="A1183" s="28">
        <v>44779.0</v>
      </c>
      <c r="B1183" s="20" t="s">
        <v>345</v>
      </c>
      <c r="C1183" s="20">
        <v>1365.0</v>
      </c>
      <c r="D1183" s="20" t="s">
        <v>2144</v>
      </c>
      <c r="E1183" s="20" t="s">
        <v>2195</v>
      </c>
      <c r="F1183" s="20" t="s">
        <v>449</v>
      </c>
    </row>
    <row r="1184">
      <c r="A1184" s="28">
        <v>44779.0</v>
      </c>
      <c r="B1184" s="20" t="s">
        <v>345</v>
      </c>
      <c r="C1184" s="20">
        <v>716.0</v>
      </c>
      <c r="D1184" s="20" t="s">
        <v>2144</v>
      </c>
      <c r="E1184" s="20" t="s">
        <v>2195</v>
      </c>
      <c r="F1184" s="20" t="s">
        <v>449</v>
      </c>
    </row>
    <row r="1185">
      <c r="A1185" s="28">
        <v>44779.0</v>
      </c>
      <c r="B1185" s="20" t="s">
        <v>345</v>
      </c>
      <c r="C1185" s="20">
        <v>529.0</v>
      </c>
      <c r="D1185" s="20" t="s">
        <v>2144</v>
      </c>
      <c r="E1185" s="20" t="s">
        <v>76</v>
      </c>
      <c r="F1185" s="20" t="s">
        <v>449</v>
      </c>
    </row>
    <row r="1186">
      <c r="A1186" s="26">
        <v>44780.63892232639</v>
      </c>
      <c r="B1186" s="20" t="s">
        <v>67</v>
      </c>
      <c r="C1186" s="20">
        <v>729.0</v>
      </c>
      <c r="D1186" s="20" t="s">
        <v>2144</v>
      </c>
      <c r="E1186" s="20" t="s">
        <v>80</v>
      </c>
      <c r="F1186" s="20" t="s">
        <v>449</v>
      </c>
    </row>
    <row r="1187">
      <c r="A1187" s="26">
        <v>44780.64079010417</v>
      </c>
      <c r="B1187" s="20" t="s">
        <v>67</v>
      </c>
      <c r="C1187" s="20">
        <v>483.0</v>
      </c>
      <c r="D1187" s="20" t="s">
        <v>2144</v>
      </c>
      <c r="E1187" s="20" t="s">
        <v>80</v>
      </c>
      <c r="F1187" s="20" t="s">
        <v>449</v>
      </c>
    </row>
    <row r="1188">
      <c r="A1188" s="26">
        <v>44780.641087372685</v>
      </c>
      <c r="B1188" s="20" t="s">
        <v>67</v>
      </c>
      <c r="C1188" s="20">
        <v>430.0</v>
      </c>
      <c r="D1188" s="20" t="s">
        <v>2144</v>
      </c>
      <c r="E1188" s="20" t="s">
        <v>80</v>
      </c>
      <c r="F1188" s="20" t="s">
        <v>449</v>
      </c>
    </row>
    <row r="1189">
      <c r="A1189" s="26">
        <v>44780.64143428241</v>
      </c>
      <c r="B1189" s="20" t="s">
        <v>67</v>
      </c>
      <c r="C1189" s="20">
        <v>948.0</v>
      </c>
      <c r="D1189" s="20" t="s">
        <v>2144</v>
      </c>
      <c r="E1189" s="20" t="s">
        <v>80</v>
      </c>
      <c r="F1189" s="20" t="s">
        <v>449</v>
      </c>
    </row>
    <row r="1190">
      <c r="A1190" s="26">
        <v>44780.642357743054</v>
      </c>
      <c r="C1190" s="20">
        <v>609.0</v>
      </c>
      <c r="D1190" s="20" t="s">
        <v>2144</v>
      </c>
      <c r="E1190" s="20" t="s">
        <v>80</v>
      </c>
      <c r="F1190" s="20" t="s">
        <v>492</v>
      </c>
    </row>
    <row r="1191">
      <c r="A1191" s="26">
        <v>44780.64271353009</v>
      </c>
      <c r="B1191" s="20" t="s">
        <v>67</v>
      </c>
      <c r="C1191" s="20">
        <v>1175.0</v>
      </c>
      <c r="D1191" s="20" t="s">
        <v>2144</v>
      </c>
      <c r="E1191" s="20" t="s">
        <v>80</v>
      </c>
      <c r="F1191" s="20" t="s">
        <v>449</v>
      </c>
    </row>
    <row r="1192">
      <c r="A1192" s="26">
        <v>44780.64298740741</v>
      </c>
      <c r="B1192" s="20" t="s">
        <v>67</v>
      </c>
      <c r="C1192" s="20">
        <v>647.0</v>
      </c>
      <c r="D1192" s="20" t="s">
        <v>2144</v>
      </c>
      <c r="E1192" s="20" t="s">
        <v>80</v>
      </c>
      <c r="F1192" s="20" t="s">
        <v>569</v>
      </c>
    </row>
    <row r="1193">
      <c r="A1193" s="26">
        <v>44780.643346689816</v>
      </c>
      <c r="B1193" s="20" t="s">
        <v>67</v>
      </c>
      <c r="C1193" s="20">
        <v>1221.0</v>
      </c>
      <c r="D1193" s="20" t="s">
        <v>2144</v>
      </c>
      <c r="E1193" s="20" t="s">
        <v>80</v>
      </c>
      <c r="F1193" s="20" t="s">
        <v>449</v>
      </c>
    </row>
    <row r="1194">
      <c r="A1194" s="26">
        <v>44780.643729675925</v>
      </c>
      <c r="B1194" s="20" t="s">
        <v>67</v>
      </c>
      <c r="C1194" s="20">
        <v>456.0</v>
      </c>
      <c r="D1194" s="20" t="s">
        <v>2144</v>
      </c>
      <c r="E1194" s="20" t="s">
        <v>40</v>
      </c>
      <c r="F1194" s="20" t="s">
        <v>449</v>
      </c>
    </row>
    <row r="1195">
      <c r="A1195" s="26">
        <v>44780.64420115741</v>
      </c>
      <c r="B1195" s="20" t="s">
        <v>67</v>
      </c>
      <c r="C1195" s="20">
        <v>196.0</v>
      </c>
      <c r="D1195" s="20" t="s">
        <v>2144</v>
      </c>
      <c r="E1195" s="20" t="s">
        <v>76</v>
      </c>
      <c r="F1195" s="20" t="s">
        <v>449</v>
      </c>
    </row>
    <row r="1196">
      <c r="A1196" s="26">
        <v>44780.64450393518</v>
      </c>
      <c r="B1196" s="20" t="s">
        <v>67</v>
      </c>
      <c r="C1196" s="20">
        <v>251.0</v>
      </c>
      <c r="D1196" s="20" t="s">
        <v>2144</v>
      </c>
      <c r="E1196" s="20" t="s">
        <v>76</v>
      </c>
      <c r="F1196" s="20" t="s">
        <v>449</v>
      </c>
    </row>
    <row r="1197">
      <c r="A1197" s="26">
        <v>44780.64564387732</v>
      </c>
      <c r="B1197" s="20" t="s">
        <v>67</v>
      </c>
      <c r="C1197" s="20">
        <v>260.0</v>
      </c>
      <c r="D1197" s="20" t="s">
        <v>2144</v>
      </c>
      <c r="E1197" s="20" t="s">
        <v>76</v>
      </c>
      <c r="F1197" s="20" t="s">
        <v>449</v>
      </c>
    </row>
    <row r="1198">
      <c r="A1198" s="26">
        <v>44780.646044189816</v>
      </c>
      <c r="B1198" s="20" t="s">
        <v>67</v>
      </c>
      <c r="C1198" s="20">
        <v>534.0</v>
      </c>
      <c r="D1198" s="20" t="s">
        <v>2144</v>
      </c>
      <c r="E1198" s="20" t="s">
        <v>76</v>
      </c>
      <c r="F1198" s="20" t="s">
        <v>449</v>
      </c>
    </row>
    <row r="1199">
      <c r="A1199" s="26">
        <v>44780.64655013889</v>
      </c>
      <c r="B1199" s="20" t="s">
        <v>67</v>
      </c>
      <c r="C1199" s="20">
        <v>201.0</v>
      </c>
      <c r="D1199" s="20" t="s">
        <v>2144</v>
      </c>
      <c r="E1199" s="20" t="s">
        <v>76</v>
      </c>
      <c r="F1199" s="20" t="s">
        <v>474</v>
      </c>
    </row>
    <row r="1200">
      <c r="A1200" s="26">
        <v>44783.54064518519</v>
      </c>
      <c r="B1200" s="20" t="s">
        <v>67</v>
      </c>
      <c r="C1200" s="20">
        <v>580.0</v>
      </c>
      <c r="D1200" s="20" t="s">
        <v>2144</v>
      </c>
      <c r="E1200" s="20" t="s">
        <v>40</v>
      </c>
      <c r="F1200" s="20" t="s">
        <v>449</v>
      </c>
    </row>
    <row r="1201">
      <c r="A1201" s="26">
        <v>44783.54115773148</v>
      </c>
      <c r="B1201" s="20" t="s">
        <v>67</v>
      </c>
      <c r="C1201" s="20">
        <v>719.0</v>
      </c>
      <c r="D1201" s="20" t="s">
        <v>2144</v>
      </c>
      <c r="E1201" s="20" t="s">
        <v>38</v>
      </c>
      <c r="F1201" s="20" t="s">
        <v>449</v>
      </c>
    </row>
    <row r="1202">
      <c r="A1202" s="26">
        <v>44783.57179688658</v>
      </c>
      <c r="B1202" s="20" t="s">
        <v>193</v>
      </c>
      <c r="C1202" s="20">
        <v>1078.0</v>
      </c>
      <c r="D1202" s="20" t="s">
        <v>2144</v>
      </c>
      <c r="E1202" s="20" t="s">
        <v>80</v>
      </c>
      <c r="F1202" s="20" t="s">
        <v>449</v>
      </c>
    </row>
    <row r="1203">
      <c r="A1203" s="26">
        <v>44783.57232141204</v>
      </c>
      <c r="B1203" s="20" t="s">
        <v>193</v>
      </c>
      <c r="C1203" s="20">
        <v>670.0</v>
      </c>
      <c r="D1203" s="20" t="s">
        <v>2144</v>
      </c>
      <c r="E1203" s="20" t="s">
        <v>80</v>
      </c>
      <c r="F1203" s="20" t="s">
        <v>449</v>
      </c>
    </row>
    <row r="1204">
      <c r="A1204" s="26">
        <v>44783.575467187504</v>
      </c>
      <c r="B1204" s="20" t="s">
        <v>193</v>
      </c>
      <c r="C1204" s="20">
        <v>1062.0</v>
      </c>
      <c r="D1204" s="20" t="s">
        <v>2144</v>
      </c>
      <c r="E1204" s="20" t="s">
        <v>80</v>
      </c>
      <c r="F1204" s="20" t="s">
        <v>449</v>
      </c>
    </row>
    <row r="1205">
      <c r="A1205" s="26">
        <v>44783.57794880787</v>
      </c>
      <c r="B1205" s="20" t="s">
        <v>193</v>
      </c>
      <c r="C1205" s="20">
        <v>741.0</v>
      </c>
      <c r="D1205" s="20" t="s">
        <v>2144</v>
      </c>
      <c r="E1205" s="20" t="s">
        <v>80</v>
      </c>
      <c r="F1205" s="20" t="s">
        <v>449</v>
      </c>
    </row>
    <row r="1206">
      <c r="A1206" s="26">
        <v>44783.58056878472</v>
      </c>
      <c r="B1206" s="20" t="s">
        <v>193</v>
      </c>
      <c r="C1206" s="20">
        <v>942.0</v>
      </c>
      <c r="D1206" s="20" t="s">
        <v>2144</v>
      </c>
      <c r="E1206" s="20" t="s">
        <v>80</v>
      </c>
      <c r="F1206" s="20" t="s">
        <v>449</v>
      </c>
    </row>
    <row r="1207">
      <c r="A1207" s="26">
        <v>44783.58296151621</v>
      </c>
      <c r="B1207" s="20" t="s">
        <v>193</v>
      </c>
      <c r="C1207" s="20">
        <v>530.0</v>
      </c>
      <c r="D1207" s="20" t="s">
        <v>2144</v>
      </c>
      <c r="E1207" s="20" t="s">
        <v>80</v>
      </c>
      <c r="F1207" s="20" t="s">
        <v>449</v>
      </c>
    </row>
    <row r="1208">
      <c r="A1208" s="26">
        <v>44783.586665243056</v>
      </c>
      <c r="B1208" s="20" t="s">
        <v>193</v>
      </c>
      <c r="C1208" s="20">
        <v>864.0</v>
      </c>
      <c r="D1208" s="20" t="s">
        <v>2144</v>
      </c>
      <c r="E1208" s="20" t="s">
        <v>80</v>
      </c>
      <c r="F1208" s="20" t="s">
        <v>449</v>
      </c>
    </row>
    <row r="1209">
      <c r="A1209" s="26">
        <v>44783.58904788195</v>
      </c>
      <c r="B1209" s="20" t="s">
        <v>193</v>
      </c>
      <c r="C1209" s="20">
        <v>1030.0</v>
      </c>
      <c r="D1209" s="20" t="s">
        <v>2144</v>
      </c>
      <c r="E1209" s="20" t="s">
        <v>80</v>
      </c>
      <c r="F1209" s="20" t="s">
        <v>449</v>
      </c>
    </row>
    <row r="1210">
      <c r="A1210" s="26">
        <v>44783.592131550926</v>
      </c>
      <c r="B1210" s="20" t="s">
        <v>193</v>
      </c>
      <c r="C1210" s="20">
        <v>1070.0</v>
      </c>
      <c r="D1210" s="20" t="s">
        <v>2144</v>
      </c>
      <c r="E1210" s="20" t="s">
        <v>80</v>
      </c>
      <c r="F1210" s="20" t="s">
        <v>449</v>
      </c>
    </row>
    <row r="1211">
      <c r="A1211" s="26">
        <v>44783.595681516206</v>
      </c>
      <c r="B1211" s="20" t="s">
        <v>193</v>
      </c>
      <c r="C1211" s="20">
        <v>1798.0</v>
      </c>
      <c r="D1211" s="20" t="s">
        <v>2144</v>
      </c>
      <c r="E1211" s="20" t="s">
        <v>80</v>
      </c>
      <c r="F1211" s="20" t="s">
        <v>449</v>
      </c>
    </row>
    <row r="1212">
      <c r="A1212" s="26">
        <v>44783.603775509255</v>
      </c>
      <c r="B1212" s="20" t="s">
        <v>193</v>
      </c>
      <c r="C1212" s="20">
        <v>191.0</v>
      </c>
      <c r="D1212" s="20" t="s">
        <v>2144</v>
      </c>
      <c r="E1212" s="20" t="s">
        <v>80</v>
      </c>
      <c r="F1212" s="20" t="s">
        <v>449</v>
      </c>
    </row>
    <row r="1213">
      <c r="A1213" s="28">
        <v>44783.0</v>
      </c>
      <c r="B1213" s="20" t="s">
        <v>345</v>
      </c>
      <c r="C1213" s="20">
        <v>541.0</v>
      </c>
      <c r="D1213" s="20" t="s">
        <v>2259</v>
      </c>
      <c r="E1213" s="20" t="s">
        <v>40</v>
      </c>
      <c r="F1213" s="20" t="s">
        <v>449</v>
      </c>
    </row>
    <row r="1214">
      <c r="A1214" s="28">
        <v>44783.0</v>
      </c>
      <c r="B1214" s="20" t="s">
        <v>345</v>
      </c>
      <c r="C1214" s="20">
        <v>564.0</v>
      </c>
      <c r="D1214" s="20" t="s">
        <v>2259</v>
      </c>
      <c r="E1214" s="20" t="s">
        <v>40</v>
      </c>
      <c r="F1214" s="20" t="s">
        <v>449</v>
      </c>
    </row>
    <row r="1215">
      <c r="A1215" s="26">
        <v>44783.70347447917</v>
      </c>
      <c r="B1215" s="20" t="s">
        <v>193</v>
      </c>
      <c r="C1215" s="20">
        <v>470.0</v>
      </c>
      <c r="D1215" s="20" t="s">
        <v>2259</v>
      </c>
      <c r="E1215" s="20" t="s">
        <v>40</v>
      </c>
      <c r="F1215" s="20" t="s">
        <v>449</v>
      </c>
    </row>
    <row r="1216">
      <c r="A1216" s="26">
        <v>44783.70753046296</v>
      </c>
      <c r="B1216" s="20" t="s">
        <v>193</v>
      </c>
      <c r="C1216" s="20">
        <v>699.0</v>
      </c>
      <c r="D1216" s="20" t="s">
        <v>2260</v>
      </c>
      <c r="E1216" s="20" t="s">
        <v>40</v>
      </c>
      <c r="F1216" s="20" t="s">
        <v>449</v>
      </c>
    </row>
    <row r="1217">
      <c r="A1217" s="26">
        <v>44783.70782326389</v>
      </c>
      <c r="B1217" s="20" t="s">
        <v>193</v>
      </c>
      <c r="C1217" s="20">
        <v>546.0</v>
      </c>
      <c r="D1217" s="20" t="s">
        <v>2261</v>
      </c>
      <c r="E1217" s="20" t="s">
        <v>40</v>
      </c>
      <c r="F1217" s="20" t="s">
        <v>449</v>
      </c>
    </row>
    <row r="1218">
      <c r="A1218" s="26">
        <v>44783.70809785879</v>
      </c>
      <c r="B1218" s="20" t="s">
        <v>193</v>
      </c>
      <c r="C1218" s="20">
        <v>576.0</v>
      </c>
      <c r="D1218" s="20" t="s">
        <v>2261</v>
      </c>
      <c r="E1218" s="20" t="s">
        <v>40</v>
      </c>
      <c r="F1218" s="20" t="s">
        <v>449</v>
      </c>
    </row>
    <row r="1219">
      <c r="A1219" s="28">
        <v>44787.0</v>
      </c>
      <c r="B1219" s="20" t="s">
        <v>345</v>
      </c>
      <c r="C1219" s="20">
        <v>37.0</v>
      </c>
      <c r="D1219" s="20" t="s">
        <v>2239</v>
      </c>
      <c r="E1219" s="20" t="s">
        <v>2199</v>
      </c>
      <c r="F1219" s="20" t="s">
        <v>449</v>
      </c>
    </row>
    <row r="1220">
      <c r="A1220" s="28">
        <v>44787.0</v>
      </c>
      <c r="B1220" s="20" t="s">
        <v>345</v>
      </c>
      <c r="C1220" s="20">
        <v>787.0</v>
      </c>
      <c r="D1220" s="20" t="s">
        <v>2144</v>
      </c>
      <c r="E1220" s="20" t="s">
        <v>36</v>
      </c>
      <c r="F1220" s="20" t="s">
        <v>449</v>
      </c>
    </row>
    <row r="1221">
      <c r="A1221" s="28">
        <v>44787.0</v>
      </c>
      <c r="B1221" s="20" t="s">
        <v>345</v>
      </c>
      <c r="C1221" s="20">
        <v>460.0</v>
      </c>
      <c r="D1221" s="20" t="s">
        <v>2144</v>
      </c>
      <c r="E1221" s="20" t="s">
        <v>40</v>
      </c>
      <c r="F1221" s="20" t="s">
        <v>449</v>
      </c>
    </row>
    <row r="1222">
      <c r="A1222" s="28">
        <v>44787.0</v>
      </c>
      <c r="B1222" s="20" t="s">
        <v>345</v>
      </c>
      <c r="C1222" s="20">
        <v>844.0</v>
      </c>
      <c r="D1222" s="20" t="s">
        <v>2144</v>
      </c>
      <c r="E1222" s="20" t="s">
        <v>2262</v>
      </c>
      <c r="F1222" s="20" t="s">
        <v>449</v>
      </c>
    </row>
    <row r="1223">
      <c r="A1223" s="26">
        <v>44789.66065534722</v>
      </c>
      <c r="B1223" s="20" t="s">
        <v>2249</v>
      </c>
      <c r="C1223" s="20">
        <v>88.0</v>
      </c>
      <c r="D1223" s="20" t="s">
        <v>2255</v>
      </c>
      <c r="E1223" s="20" t="s">
        <v>40</v>
      </c>
      <c r="F1223" s="20" t="s">
        <v>455</v>
      </c>
    </row>
    <row r="1224">
      <c r="A1224" s="26">
        <v>44790.843178333336</v>
      </c>
      <c r="B1224" s="20" t="s">
        <v>67</v>
      </c>
      <c r="C1224" s="20">
        <v>673.0</v>
      </c>
      <c r="D1224" s="20" t="s">
        <v>2263</v>
      </c>
      <c r="E1224" s="20" t="s">
        <v>40</v>
      </c>
      <c r="F1224" s="20" t="s">
        <v>449</v>
      </c>
    </row>
    <row r="1225">
      <c r="A1225" s="26">
        <v>44790.84383864583</v>
      </c>
      <c r="B1225" s="20" t="s">
        <v>67</v>
      </c>
      <c r="C1225" s="20">
        <v>701.0</v>
      </c>
      <c r="D1225" s="20" t="s">
        <v>2263</v>
      </c>
      <c r="E1225" s="20" t="s">
        <v>40</v>
      </c>
      <c r="F1225" s="20" t="s">
        <v>449</v>
      </c>
    </row>
    <row r="1226">
      <c r="A1226" s="26">
        <v>44790.844850497684</v>
      </c>
      <c r="B1226" s="20" t="s">
        <v>67</v>
      </c>
      <c r="C1226" s="20">
        <v>596.0</v>
      </c>
      <c r="D1226" s="20" t="s">
        <v>2263</v>
      </c>
      <c r="E1226" s="20" t="s">
        <v>40</v>
      </c>
      <c r="F1226" s="20" t="s">
        <v>449</v>
      </c>
    </row>
    <row r="1227">
      <c r="A1227" s="26">
        <v>44790.8456678588</v>
      </c>
      <c r="B1227" s="20" t="s">
        <v>67</v>
      </c>
      <c r="C1227" s="20">
        <v>531.0</v>
      </c>
      <c r="D1227" s="20" t="s">
        <v>2263</v>
      </c>
      <c r="E1227" s="20" t="s">
        <v>40</v>
      </c>
      <c r="F1227" s="20" t="s">
        <v>449</v>
      </c>
    </row>
    <row r="1228">
      <c r="A1228" s="26">
        <v>44790.846073043984</v>
      </c>
      <c r="B1228" s="20" t="s">
        <v>67</v>
      </c>
      <c r="C1228" s="20">
        <v>833.0</v>
      </c>
      <c r="D1228" s="20" t="s">
        <v>2263</v>
      </c>
      <c r="E1228" s="20" t="s">
        <v>40</v>
      </c>
      <c r="F1228" s="20" t="s">
        <v>600</v>
      </c>
    </row>
    <row r="1229">
      <c r="A1229" s="26">
        <v>44792.66681607639</v>
      </c>
      <c r="B1229" s="20" t="s">
        <v>2254</v>
      </c>
      <c r="C1229" s="20">
        <v>30.0</v>
      </c>
      <c r="D1229" s="20" t="s">
        <v>2255</v>
      </c>
      <c r="E1229" s="20" t="s">
        <v>40</v>
      </c>
      <c r="F1229" s="20" t="s">
        <v>455</v>
      </c>
    </row>
    <row r="1230">
      <c r="A1230" s="26">
        <v>44794.7365477662</v>
      </c>
      <c r="B1230" s="20" t="s">
        <v>411</v>
      </c>
      <c r="C1230" s="20">
        <v>163.0</v>
      </c>
      <c r="D1230" s="20" t="s">
        <v>2144</v>
      </c>
      <c r="E1230" s="20" t="s">
        <v>2264</v>
      </c>
      <c r="F1230" s="20" t="s">
        <v>121</v>
      </c>
    </row>
    <row r="1231">
      <c r="A1231" s="26">
        <v>44794.73690043981</v>
      </c>
      <c r="B1231" s="20" t="s">
        <v>411</v>
      </c>
      <c r="C1231" s="20">
        <v>418.0</v>
      </c>
      <c r="D1231" s="20" t="s">
        <v>2144</v>
      </c>
      <c r="E1231" s="20" t="s">
        <v>40</v>
      </c>
      <c r="F1231" s="20" t="s">
        <v>710</v>
      </c>
    </row>
    <row r="1232">
      <c r="A1232" s="26">
        <v>44794.7374796875</v>
      </c>
      <c r="B1232" s="20" t="s">
        <v>411</v>
      </c>
      <c r="C1232" s="20">
        <v>302.0</v>
      </c>
      <c r="D1232" s="20" t="s">
        <v>2144</v>
      </c>
      <c r="E1232" s="20" t="s">
        <v>80</v>
      </c>
      <c r="F1232" s="20" t="s">
        <v>2265</v>
      </c>
    </row>
    <row r="1233">
      <c r="A1233" s="26">
        <v>44794.73962648148</v>
      </c>
      <c r="B1233" s="20" t="s">
        <v>411</v>
      </c>
      <c r="C1233" s="20">
        <v>1014.0</v>
      </c>
      <c r="D1233" s="20" t="s">
        <v>2144</v>
      </c>
      <c r="E1233" s="20" t="s">
        <v>40</v>
      </c>
      <c r="F1233" s="20" t="s">
        <v>121</v>
      </c>
    </row>
    <row r="1234">
      <c r="A1234" s="26">
        <v>44794.74102555556</v>
      </c>
      <c r="B1234" s="20" t="s">
        <v>411</v>
      </c>
      <c r="C1234" s="20">
        <v>492.0</v>
      </c>
      <c r="D1234" s="20" t="s">
        <v>2144</v>
      </c>
      <c r="E1234" s="20" t="s">
        <v>40</v>
      </c>
      <c r="F1234" s="20" t="s">
        <v>121</v>
      </c>
    </row>
    <row r="1235">
      <c r="A1235" s="26">
        <v>44794.743448622685</v>
      </c>
      <c r="B1235" s="20" t="s">
        <v>411</v>
      </c>
      <c r="C1235" s="20">
        <v>839.0</v>
      </c>
      <c r="D1235" s="20" t="s">
        <v>2144</v>
      </c>
      <c r="E1235" s="20" t="s">
        <v>2227</v>
      </c>
      <c r="F1235" s="20" t="s">
        <v>121</v>
      </c>
    </row>
    <row r="1236">
      <c r="A1236" s="26">
        <v>44794.7466871875</v>
      </c>
      <c r="B1236" s="20" t="s">
        <v>411</v>
      </c>
      <c r="C1236" s="20">
        <v>1261.0</v>
      </c>
      <c r="D1236" s="20" t="s">
        <v>2144</v>
      </c>
      <c r="E1236" s="20" t="s">
        <v>56</v>
      </c>
      <c r="F1236" s="20" t="s">
        <v>495</v>
      </c>
    </row>
    <row r="1237">
      <c r="A1237" s="26">
        <v>44794.75007991898</v>
      </c>
      <c r="B1237" s="20" t="s">
        <v>411</v>
      </c>
      <c r="C1237" s="20">
        <v>736.0</v>
      </c>
      <c r="D1237" s="20" t="s">
        <v>2144</v>
      </c>
      <c r="E1237" s="20" t="s">
        <v>80</v>
      </c>
      <c r="F1237" s="20" t="s">
        <v>121</v>
      </c>
    </row>
    <row r="1238">
      <c r="A1238" s="28">
        <v>44797.0</v>
      </c>
      <c r="B1238" s="20" t="s">
        <v>345</v>
      </c>
      <c r="C1238" s="20">
        <v>639.0</v>
      </c>
      <c r="D1238" s="20" t="s">
        <v>2242</v>
      </c>
      <c r="E1238" s="20" t="s">
        <v>40</v>
      </c>
      <c r="F1238" s="20" t="s">
        <v>449</v>
      </c>
    </row>
    <row r="1239">
      <c r="A1239" s="26">
        <v>44797.686594074075</v>
      </c>
      <c r="B1239" s="20" t="s">
        <v>345</v>
      </c>
      <c r="C1239" s="20">
        <v>814.0</v>
      </c>
      <c r="D1239" s="20" t="s">
        <v>2266</v>
      </c>
      <c r="E1239" s="20" t="s">
        <v>40</v>
      </c>
      <c r="F1239" s="20" t="s">
        <v>449</v>
      </c>
    </row>
    <row r="1240">
      <c r="A1240" s="26">
        <v>44797.68718616898</v>
      </c>
      <c r="B1240" s="20" t="s">
        <v>345</v>
      </c>
      <c r="C1240" s="20">
        <v>686.0</v>
      </c>
      <c r="D1240" s="20" t="s">
        <v>2242</v>
      </c>
      <c r="E1240" s="20" t="s">
        <v>40</v>
      </c>
      <c r="F1240" s="20" t="s">
        <v>449</v>
      </c>
    </row>
    <row r="1241">
      <c r="A1241" s="26">
        <v>44797.68744778935</v>
      </c>
      <c r="B1241" s="20" t="s">
        <v>345</v>
      </c>
      <c r="C1241" s="20">
        <v>598.0</v>
      </c>
      <c r="D1241" s="20" t="s">
        <v>2242</v>
      </c>
      <c r="E1241" s="20" t="s">
        <v>40</v>
      </c>
      <c r="F1241" s="20" t="s">
        <v>449</v>
      </c>
    </row>
    <row r="1242">
      <c r="A1242" s="26">
        <v>44797.68769481481</v>
      </c>
      <c r="B1242" s="20" t="s">
        <v>345</v>
      </c>
      <c r="C1242" s="20">
        <v>906.0</v>
      </c>
      <c r="D1242" s="20" t="s">
        <v>2242</v>
      </c>
      <c r="E1242" s="20" t="s">
        <v>40</v>
      </c>
      <c r="F1242" s="20" t="s">
        <v>449</v>
      </c>
    </row>
    <row r="1243">
      <c r="A1243" s="26">
        <v>44797.68793296296</v>
      </c>
      <c r="B1243" s="20" t="s">
        <v>345</v>
      </c>
      <c r="C1243" s="20">
        <v>891.0</v>
      </c>
      <c r="D1243" s="20" t="s">
        <v>2242</v>
      </c>
      <c r="E1243" s="20" t="s">
        <v>40</v>
      </c>
      <c r="F1243" s="20" t="s">
        <v>449</v>
      </c>
    </row>
    <row r="1244">
      <c r="A1244" s="26">
        <v>44799.66432984953</v>
      </c>
      <c r="B1244" s="20" t="s">
        <v>2254</v>
      </c>
      <c r="C1244" s="20">
        <v>143.0</v>
      </c>
      <c r="D1244" s="20" t="s">
        <v>2255</v>
      </c>
      <c r="E1244" s="20" t="s">
        <v>40</v>
      </c>
      <c r="F1244" s="20" t="s">
        <v>455</v>
      </c>
    </row>
    <row r="1245">
      <c r="A1245" s="28">
        <v>44801.0</v>
      </c>
      <c r="B1245" s="20" t="s">
        <v>345</v>
      </c>
      <c r="C1245" s="20">
        <v>190.0</v>
      </c>
      <c r="D1245" s="20" t="s">
        <v>2144</v>
      </c>
      <c r="E1245" s="20" t="s">
        <v>95</v>
      </c>
      <c r="F1245" s="20" t="s">
        <v>449</v>
      </c>
    </row>
    <row r="1246">
      <c r="A1246" s="28">
        <v>44801.0</v>
      </c>
      <c r="B1246" s="20" t="s">
        <v>345</v>
      </c>
      <c r="C1246" s="20">
        <v>488.0</v>
      </c>
      <c r="D1246" s="20" t="s">
        <v>2144</v>
      </c>
      <c r="E1246" s="20" t="s">
        <v>40</v>
      </c>
      <c r="F1246" s="20"/>
    </row>
    <row r="1247">
      <c r="A1247" s="26">
        <v>44801.55130744213</v>
      </c>
      <c r="B1247" s="20" t="s">
        <v>193</v>
      </c>
      <c r="C1247" s="20">
        <v>549.0</v>
      </c>
      <c r="D1247" s="20" t="s">
        <v>2144</v>
      </c>
      <c r="E1247" s="20" t="s">
        <v>64</v>
      </c>
      <c r="F1247" s="20" t="s">
        <v>449</v>
      </c>
    </row>
    <row r="1248">
      <c r="A1248" s="26">
        <v>44801.55469326389</v>
      </c>
      <c r="B1248" s="20" t="s">
        <v>193</v>
      </c>
      <c r="C1248" s="20">
        <v>704.0</v>
      </c>
      <c r="D1248" s="20" t="s">
        <v>2144</v>
      </c>
      <c r="E1248" s="20" t="s">
        <v>40</v>
      </c>
      <c r="F1248" s="20" t="s">
        <v>516</v>
      </c>
    </row>
    <row r="1249">
      <c r="A1249" s="26">
        <v>44804.697192604166</v>
      </c>
      <c r="B1249" s="20" t="s">
        <v>345</v>
      </c>
      <c r="C1249" s="20">
        <v>1024.0</v>
      </c>
      <c r="D1249" s="20" t="s">
        <v>2242</v>
      </c>
      <c r="E1249" s="20" t="s">
        <v>40</v>
      </c>
      <c r="F1249" s="20" t="s">
        <v>449</v>
      </c>
    </row>
    <row r="1250">
      <c r="A1250" s="26">
        <v>44804.69754900463</v>
      </c>
      <c r="B1250" s="20" t="s">
        <v>345</v>
      </c>
      <c r="C1250" s="20">
        <v>1092.0</v>
      </c>
      <c r="D1250" s="20" t="s">
        <v>2242</v>
      </c>
      <c r="E1250" s="20" t="s">
        <v>40</v>
      </c>
      <c r="F1250" s="20" t="s">
        <v>449</v>
      </c>
    </row>
    <row r="1251">
      <c r="A1251" s="26">
        <v>44804.69784354167</v>
      </c>
      <c r="B1251" s="20" t="s">
        <v>345</v>
      </c>
      <c r="C1251" s="20">
        <v>1039.0</v>
      </c>
      <c r="D1251" s="20" t="s">
        <v>2242</v>
      </c>
      <c r="E1251" s="20" t="s">
        <v>40</v>
      </c>
      <c r="F1251" s="20" t="s">
        <v>455</v>
      </c>
    </row>
    <row r="1252">
      <c r="A1252" s="26">
        <v>44804.69831290509</v>
      </c>
      <c r="B1252" s="20" t="s">
        <v>345</v>
      </c>
      <c r="C1252" s="20">
        <v>1046.0</v>
      </c>
      <c r="D1252" s="20" t="s">
        <v>2242</v>
      </c>
      <c r="E1252" s="20" t="s">
        <v>40</v>
      </c>
      <c r="F1252" s="20" t="s">
        <v>449</v>
      </c>
    </row>
    <row r="1253">
      <c r="A1253" s="26">
        <v>44808.56668004629</v>
      </c>
      <c r="B1253" s="20" t="s">
        <v>553</v>
      </c>
      <c r="C1253" s="20">
        <v>452.0</v>
      </c>
      <c r="D1253" s="20" t="s">
        <v>2144</v>
      </c>
      <c r="E1253" s="20" t="s">
        <v>40</v>
      </c>
      <c r="F1253" s="20" t="s">
        <v>449</v>
      </c>
    </row>
    <row r="1254">
      <c r="A1254" s="26">
        <v>44808.61032119213</v>
      </c>
      <c r="B1254" s="20" t="s">
        <v>55</v>
      </c>
      <c r="C1254" s="20">
        <v>955.0</v>
      </c>
      <c r="D1254" s="20" t="s">
        <v>2144</v>
      </c>
      <c r="E1254" s="20" t="s">
        <v>587</v>
      </c>
      <c r="F1254" s="20" t="s">
        <v>559</v>
      </c>
    </row>
    <row r="1255">
      <c r="A1255" s="26">
        <v>44808.61064881945</v>
      </c>
      <c r="B1255" s="20" t="s">
        <v>55</v>
      </c>
      <c r="C1255" s="20">
        <v>921.0</v>
      </c>
      <c r="D1255" s="20" t="s">
        <v>2144</v>
      </c>
      <c r="E1255" s="20" t="s">
        <v>2267</v>
      </c>
      <c r="F1255" s="20" t="s">
        <v>449</v>
      </c>
    </row>
    <row r="1256">
      <c r="A1256" s="26">
        <v>44808.61096658565</v>
      </c>
      <c r="B1256" s="20" t="s">
        <v>55</v>
      </c>
      <c r="C1256" s="20">
        <v>724.0</v>
      </c>
      <c r="D1256" s="20" t="s">
        <v>2144</v>
      </c>
      <c r="E1256" s="20" t="s">
        <v>40</v>
      </c>
      <c r="F1256" s="20" t="s">
        <v>467</v>
      </c>
    </row>
    <row r="1257">
      <c r="A1257" s="26">
        <v>44808.611518923615</v>
      </c>
      <c r="B1257" s="20" t="s">
        <v>55</v>
      </c>
      <c r="C1257" s="20">
        <v>674.0</v>
      </c>
      <c r="D1257" s="20" t="s">
        <v>2144</v>
      </c>
      <c r="E1257" s="20" t="s">
        <v>585</v>
      </c>
      <c r="F1257" s="20" t="s">
        <v>455</v>
      </c>
    </row>
    <row r="1258">
      <c r="A1258" s="26">
        <v>44808.611839861114</v>
      </c>
      <c r="B1258" s="20" t="s">
        <v>55</v>
      </c>
      <c r="C1258" s="20">
        <v>739.0</v>
      </c>
      <c r="D1258" s="20" t="s">
        <v>2144</v>
      </c>
      <c r="E1258" s="20" t="s">
        <v>585</v>
      </c>
      <c r="F1258" s="20" t="s">
        <v>455</v>
      </c>
    </row>
    <row r="1259">
      <c r="A1259" s="26">
        <v>44812.56464087963</v>
      </c>
      <c r="B1259" s="20" t="s">
        <v>345</v>
      </c>
      <c r="C1259" s="20">
        <v>76.0</v>
      </c>
      <c r="D1259" s="20" t="s">
        <v>2268</v>
      </c>
      <c r="E1259" s="20" t="s">
        <v>76</v>
      </c>
      <c r="F1259" s="20" t="s">
        <v>455</v>
      </c>
    </row>
    <row r="1260">
      <c r="A1260" s="26">
        <v>44812.56496428241</v>
      </c>
      <c r="B1260" s="20" t="s">
        <v>345</v>
      </c>
      <c r="C1260" s="20">
        <v>211.0</v>
      </c>
      <c r="D1260" s="20" t="s">
        <v>2269</v>
      </c>
      <c r="E1260" s="20" t="s">
        <v>76</v>
      </c>
      <c r="F1260" s="20" t="s">
        <v>455</v>
      </c>
    </row>
    <row r="1261">
      <c r="A1261" s="26">
        <v>44812.56523912037</v>
      </c>
      <c r="B1261" s="20" t="s">
        <v>345</v>
      </c>
      <c r="C1261" s="20">
        <v>39.0</v>
      </c>
      <c r="D1261" s="20" t="s">
        <v>2270</v>
      </c>
      <c r="E1261" s="20" t="s">
        <v>53</v>
      </c>
      <c r="F1261" s="20" t="s">
        <v>455</v>
      </c>
    </row>
    <row r="1262">
      <c r="A1262" s="26">
        <v>44812.69946640046</v>
      </c>
      <c r="B1262" s="20" t="s">
        <v>345</v>
      </c>
      <c r="C1262" s="20">
        <v>251.0</v>
      </c>
      <c r="D1262" s="20" t="s">
        <v>2269</v>
      </c>
      <c r="E1262" s="20" t="s">
        <v>76</v>
      </c>
      <c r="F1262" s="20" t="s">
        <v>455</v>
      </c>
    </row>
    <row r="1263">
      <c r="A1263" s="26">
        <v>44812.69990594908</v>
      </c>
      <c r="B1263" s="20" t="s">
        <v>556</v>
      </c>
      <c r="C1263" s="20">
        <v>1016.0</v>
      </c>
      <c r="D1263" s="20" t="s">
        <v>2260</v>
      </c>
      <c r="E1263" s="20" t="s">
        <v>40</v>
      </c>
      <c r="F1263" s="20" t="s">
        <v>455</v>
      </c>
    </row>
    <row r="1264">
      <c r="A1264" s="26">
        <v>44812.700289942135</v>
      </c>
      <c r="B1264" s="20" t="s">
        <v>345</v>
      </c>
      <c r="C1264" s="20">
        <v>1027.0</v>
      </c>
      <c r="D1264" s="20" t="s">
        <v>2259</v>
      </c>
      <c r="E1264" s="20" t="s">
        <v>40</v>
      </c>
      <c r="F1264" s="20" t="s">
        <v>455</v>
      </c>
    </row>
    <row r="1265">
      <c r="A1265" s="26">
        <v>44812.70069138889</v>
      </c>
      <c r="B1265" s="20" t="s">
        <v>345</v>
      </c>
      <c r="C1265" s="20">
        <v>894.0</v>
      </c>
      <c r="D1265" s="20" t="s">
        <v>2271</v>
      </c>
      <c r="E1265" s="20" t="s">
        <v>40</v>
      </c>
      <c r="F1265" s="20" t="s">
        <v>455</v>
      </c>
    </row>
    <row r="1266">
      <c r="A1266" s="26">
        <v>44812.70114849537</v>
      </c>
      <c r="B1266" s="20" t="s">
        <v>345</v>
      </c>
      <c r="C1266" s="20">
        <v>886.0</v>
      </c>
      <c r="D1266" s="20" t="s">
        <v>2242</v>
      </c>
      <c r="E1266" s="20" t="s">
        <v>40</v>
      </c>
      <c r="F1266" s="20" t="s">
        <v>455</v>
      </c>
    </row>
    <row r="1267">
      <c r="A1267" s="26">
        <v>44812.7014094676</v>
      </c>
      <c r="B1267" s="20" t="s">
        <v>345</v>
      </c>
      <c r="C1267" s="20">
        <v>1014.0</v>
      </c>
      <c r="D1267" s="20" t="s">
        <v>2242</v>
      </c>
      <c r="E1267" s="20" t="s">
        <v>40</v>
      </c>
      <c r="F1267" s="20" t="s">
        <v>455</v>
      </c>
    </row>
    <row r="1268">
      <c r="A1268" s="26">
        <v>44812.77759175926</v>
      </c>
      <c r="C1268" s="20">
        <v>217.0</v>
      </c>
      <c r="D1268" s="20" t="s">
        <v>2272</v>
      </c>
      <c r="E1268" s="20" t="s">
        <v>76</v>
      </c>
      <c r="F1268" s="20" t="s">
        <v>455</v>
      </c>
    </row>
    <row r="1269">
      <c r="A1269" s="26">
        <v>44812.77789791666</v>
      </c>
      <c r="C1269" s="20">
        <v>201.0</v>
      </c>
      <c r="D1269" s="20" t="s">
        <v>2272</v>
      </c>
      <c r="E1269" s="20" t="s">
        <v>76</v>
      </c>
      <c r="F1269" s="20" t="s">
        <v>455</v>
      </c>
    </row>
    <row r="1270">
      <c r="A1270" s="26">
        <v>44812.779951944445</v>
      </c>
      <c r="C1270" s="20">
        <v>194.0</v>
      </c>
      <c r="D1270" s="20" t="s">
        <v>2272</v>
      </c>
      <c r="E1270" s="20" t="s">
        <v>76</v>
      </c>
      <c r="F1270" s="20" t="s">
        <v>455</v>
      </c>
    </row>
    <row r="1271">
      <c r="A1271" s="26">
        <v>44812.78016003472</v>
      </c>
      <c r="C1271" s="20">
        <v>188.0</v>
      </c>
      <c r="D1271" s="20" t="s">
        <v>2272</v>
      </c>
      <c r="E1271" s="20" t="s">
        <v>76</v>
      </c>
      <c r="F1271" s="20" t="s">
        <v>455</v>
      </c>
    </row>
    <row r="1272">
      <c r="A1272" s="26">
        <v>44812.78078332176</v>
      </c>
      <c r="C1272" s="20">
        <v>253.0</v>
      </c>
      <c r="D1272" s="20" t="s">
        <v>2272</v>
      </c>
      <c r="E1272" s="20" t="s">
        <v>76</v>
      </c>
      <c r="F1272" s="20" t="s">
        <v>2273</v>
      </c>
    </row>
    <row r="1273">
      <c r="A1273" s="26">
        <v>44812.78107565972</v>
      </c>
      <c r="C1273" s="20">
        <v>207.0</v>
      </c>
      <c r="D1273" s="20" t="s">
        <v>2272</v>
      </c>
      <c r="E1273" s="20" t="s">
        <v>76</v>
      </c>
      <c r="F1273" s="20" t="s">
        <v>455</v>
      </c>
    </row>
    <row r="1274">
      <c r="A1274" s="26">
        <v>44812.781263854165</v>
      </c>
      <c r="C1274" s="20">
        <v>187.0</v>
      </c>
      <c r="D1274" s="20" t="s">
        <v>2272</v>
      </c>
      <c r="E1274" s="20" t="s">
        <v>76</v>
      </c>
      <c r="F1274" s="20" t="s">
        <v>455</v>
      </c>
    </row>
    <row r="1275">
      <c r="A1275" s="26">
        <v>44812.781548541665</v>
      </c>
      <c r="C1275" s="20">
        <v>204.0</v>
      </c>
      <c r="D1275" s="20" t="s">
        <v>2272</v>
      </c>
      <c r="E1275" s="20" t="s">
        <v>76</v>
      </c>
      <c r="F1275" s="20" t="s">
        <v>455</v>
      </c>
    </row>
    <row r="1276">
      <c r="A1276" s="26">
        <v>44812.78175277778</v>
      </c>
      <c r="C1276" s="20">
        <v>190.0</v>
      </c>
      <c r="D1276" s="20" t="s">
        <v>2272</v>
      </c>
      <c r="E1276" s="20" t="s">
        <v>76</v>
      </c>
      <c r="F1276" s="20" t="s">
        <v>455</v>
      </c>
    </row>
    <row r="1277">
      <c r="A1277" s="26">
        <v>44812.781921284724</v>
      </c>
      <c r="C1277" s="20">
        <v>210.0</v>
      </c>
      <c r="D1277" s="20" t="s">
        <v>2272</v>
      </c>
      <c r="E1277" s="20" t="s">
        <v>76</v>
      </c>
      <c r="F1277" s="20" t="s">
        <v>455</v>
      </c>
    </row>
    <row r="1278">
      <c r="A1278" s="26">
        <v>44812.78207119213</v>
      </c>
      <c r="C1278" s="20">
        <v>182.0</v>
      </c>
      <c r="D1278" s="20" t="s">
        <v>2272</v>
      </c>
      <c r="E1278" s="20" t="s">
        <v>76</v>
      </c>
      <c r="F1278" s="20" t="s">
        <v>455</v>
      </c>
    </row>
    <row r="1279">
      <c r="A1279" s="26">
        <v>44812.78233607639</v>
      </c>
      <c r="C1279" s="20">
        <v>198.0</v>
      </c>
      <c r="D1279" s="20" t="s">
        <v>2272</v>
      </c>
      <c r="E1279" s="20" t="s">
        <v>76</v>
      </c>
      <c r="F1279" s="20" t="s">
        <v>455</v>
      </c>
    </row>
    <row r="1280">
      <c r="A1280" s="26">
        <v>44812.78257277778</v>
      </c>
      <c r="C1280" s="20">
        <v>206.0</v>
      </c>
      <c r="D1280" s="20" t="s">
        <v>2272</v>
      </c>
      <c r="E1280" s="20" t="s">
        <v>76</v>
      </c>
      <c r="F1280" s="20" t="s">
        <v>455</v>
      </c>
    </row>
    <row r="1281">
      <c r="A1281" s="26">
        <v>44812.782748425925</v>
      </c>
      <c r="C1281" s="20">
        <v>199.0</v>
      </c>
      <c r="D1281" s="20" t="s">
        <v>2272</v>
      </c>
      <c r="E1281" s="20" t="s">
        <v>76</v>
      </c>
      <c r="F1281" s="20" t="s">
        <v>2273</v>
      </c>
    </row>
    <row r="1282">
      <c r="A1282" s="26">
        <v>44812.78293768519</v>
      </c>
      <c r="C1282" s="20">
        <v>201.0</v>
      </c>
      <c r="D1282" s="20" t="s">
        <v>2272</v>
      </c>
      <c r="E1282" s="20" t="s">
        <v>76</v>
      </c>
      <c r="F1282" s="20" t="s">
        <v>455</v>
      </c>
    </row>
    <row r="1283">
      <c r="A1283" s="26">
        <v>44812.78311004629</v>
      </c>
      <c r="C1283" s="20">
        <v>184.0</v>
      </c>
      <c r="D1283" s="20" t="s">
        <v>2272</v>
      </c>
      <c r="E1283" s="20" t="s">
        <v>76</v>
      </c>
      <c r="F1283" s="20" t="s">
        <v>455</v>
      </c>
    </row>
    <row r="1284">
      <c r="A1284" s="26">
        <v>44813.58999519676</v>
      </c>
      <c r="B1284" s="20" t="s">
        <v>345</v>
      </c>
      <c r="C1284" s="20">
        <v>207.0</v>
      </c>
      <c r="D1284" s="20" t="s">
        <v>2269</v>
      </c>
      <c r="E1284" s="20" t="s">
        <v>76</v>
      </c>
      <c r="F1284" s="20" t="s">
        <v>455</v>
      </c>
    </row>
    <row r="1285">
      <c r="A1285" s="26">
        <v>44813.590218275465</v>
      </c>
      <c r="B1285" s="20" t="s">
        <v>345</v>
      </c>
      <c r="C1285" s="20">
        <v>192.0</v>
      </c>
      <c r="D1285" s="20" t="s">
        <v>2272</v>
      </c>
      <c r="E1285" s="20" t="s">
        <v>76</v>
      </c>
      <c r="F1285" s="20" t="s">
        <v>455</v>
      </c>
    </row>
    <row r="1286">
      <c r="A1286" s="26">
        <v>44813.59060607639</v>
      </c>
      <c r="B1286" s="20" t="s">
        <v>345</v>
      </c>
      <c r="C1286" s="20">
        <v>215.0</v>
      </c>
      <c r="D1286" s="20" t="s">
        <v>2269</v>
      </c>
      <c r="E1286" s="20" t="s">
        <v>76</v>
      </c>
      <c r="F1286" s="20" t="s">
        <v>455</v>
      </c>
    </row>
    <row r="1287">
      <c r="A1287" s="26">
        <v>44813.59178596065</v>
      </c>
      <c r="B1287" s="20" t="s">
        <v>345</v>
      </c>
      <c r="C1287" s="20">
        <v>197.0</v>
      </c>
      <c r="D1287" s="20" t="s">
        <v>2269</v>
      </c>
      <c r="E1287" s="20" t="s">
        <v>76</v>
      </c>
      <c r="F1287" s="20" t="s">
        <v>455</v>
      </c>
    </row>
    <row r="1288">
      <c r="A1288" s="28">
        <v>44813.0</v>
      </c>
      <c r="B1288" s="20" t="s">
        <v>345</v>
      </c>
      <c r="C1288" s="20">
        <v>112.0</v>
      </c>
      <c r="D1288" s="20" t="s">
        <v>2269</v>
      </c>
      <c r="E1288" s="20" t="s">
        <v>76</v>
      </c>
      <c r="F1288" s="20" t="s">
        <v>449</v>
      </c>
    </row>
    <row r="1289">
      <c r="A1289" s="26">
        <v>44813.592101863425</v>
      </c>
      <c r="B1289" s="20" t="s">
        <v>345</v>
      </c>
      <c r="C1289" s="20">
        <v>149.0</v>
      </c>
      <c r="D1289" s="20" t="s">
        <v>2269</v>
      </c>
      <c r="E1289" s="20" t="s">
        <v>76</v>
      </c>
      <c r="F1289" s="20" t="s">
        <v>455</v>
      </c>
    </row>
    <row r="1290">
      <c r="A1290" s="26">
        <v>44814.714988125</v>
      </c>
      <c r="B1290" s="20" t="s">
        <v>345</v>
      </c>
      <c r="C1290" s="20">
        <v>1196.0</v>
      </c>
      <c r="D1290" s="20" t="s">
        <v>1137</v>
      </c>
      <c r="E1290" s="20" t="s">
        <v>2274</v>
      </c>
      <c r="F1290" s="20" t="s">
        <v>455</v>
      </c>
    </row>
    <row r="1291">
      <c r="A1291" s="26">
        <v>44814.716154062495</v>
      </c>
      <c r="B1291" s="20" t="s">
        <v>345</v>
      </c>
      <c r="C1291" s="20">
        <v>1296.0</v>
      </c>
      <c r="D1291" s="20" t="s">
        <v>1137</v>
      </c>
      <c r="E1291" s="20" t="s">
        <v>2274</v>
      </c>
      <c r="F1291" s="20" t="s">
        <v>455</v>
      </c>
    </row>
    <row r="1292">
      <c r="A1292" s="26">
        <v>44814.71662085648</v>
      </c>
      <c r="B1292" s="20" t="s">
        <v>345</v>
      </c>
      <c r="C1292" s="20">
        <v>602.0</v>
      </c>
      <c r="D1292" s="20" t="s">
        <v>1137</v>
      </c>
      <c r="E1292" s="20" t="s">
        <v>2274</v>
      </c>
      <c r="F1292" s="20" t="s">
        <v>455</v>
      </c>
    </row>
    <row r="1293">
      <c r="A1293" s="26">
        <v>44815.67769469907</v>
      </c>
      <c r="B1293" s="20" t="s">
        <v>411</v>
      </c>
      <c r="C1293" s="20">
        <v>698.0</v>
      </c>
      <c r="D1293" s="20" t="s">
        <v>2144</v>
      </c>
      <c r="E1293" s="20" t="s">
        <v>585</v>
      </c>
      <c r="F1293" s="20" t="s">
        <v>455</v>
      </c>
    </row>
    <row r="1294">
      <c r="A1294" s="26">
        <v>44815.67842222222</v>
      </c>
      <c r="B1294" s="20" t="s">
        <v>411</v>
      </c>
      <c r="C1294" s="20">
        <v>361.0</v>
      </c>
      <c r="D1294" s="20" t="s">
        <v>2144</v>
      </c>
      <c r="E1294" s="20" t="s">
        <v>585</v>
      </c>
      <c r="F1294" s="20" t="s">
        <v>455</v>
      </c>
    </row>
    <row r="1295">
      <c r="A1295" s="26">
        <v>44815.67804172453</v>
      </c>
      <c r="B1295" s="20" t="s">
        <v>411</v>
      </c>
      <c r="C1295" s="20">
        <v>795.0</v>
      </c>
      <c r="D1295" s="20" t="s">
        <v>2144</v>
      </c>
      <c r="E1295" s="20" t="s">
        <v>40</v>
      </c>
      <c r="F1295" s="20" t="s">
        <v>455</v>
      </c>
    </row>
    <row r="1296">
      <c r="A1296" s="26">
        <v>44815.67885564815</v>
      </c>
      <c r="B1296" s="20" t="s">
        <v>411</v>
      </c>
      <c r="C1296" s="20">
        <v>705.0</v>
      </c>
      <c r="D1296" s="20" t="s">
        <v>2144</v>
      </c>
      <c r="E1296" s="20" t="s">
        <v>585</v>
      </c>
      <c r="F1296" s="20" t="s">
        <v>455</v>
      </c>
    </row>
    <row r="1297">
      <c r="A1297" s="26">
        <v>44815.6796096412</v>
      </c>
      <c r="B1297" s="20" t="s">
        <v>411</v>
      </c>
      <c r="C1297" s="20">
        <v>19.0</v>
      </c>
      <c r="D1297" s="20" t="s">
        <v>2239</v>
      </c>
      <c r="E1297" s="20" t="s">
        <v>585</v>
      </c>
      <c r="F1297" s="20" t="s">
        <v>455</v>
      </c>
    </row>
    <row r="1298">
      <c r="A1298" s="26">
        <v>44815.68021114584</v>
      </c>
      <c r="B1298" s="20" t="s">
        <v>411</v>
      </c>
      <c r="C1298" s="20">
        <v>132.0</v>
      </c>
      <c r="D1298" s="20" t="s">
        <v>2275</v>
      </c>
      <c r="E1298" s="20" t="s">
        <v>585</v>
      </c>
      <c r="F1298" s="20" t="s">
        <v>455</v>
      </c>
    </row>
    <row r="1299">
      <c r="A1299" s="26">
        <v>44816.68644114584</v>
      </c>
      <c r="B1299" s="20" t="s">
        <v>55</v>
      </c>
      <c r="C1299" s="20">
        <v>344.0</v>
      </c>
      <c r="D1299" s="20" t="s">
        <v>2144</v>
      </c>
      <c r="E1299" s="20" t="s">
        <v>602</v>
      </c>
      <c r="F1299" s="20" t="s">
        <v>467</v>
      </c>
    </row>
    <row r="1300">
      <c r="A1300" s="26">
        <v>44816.686713738425</v>
      </c>
      <c r="B1300" s="20" t="s">
        <v>55</v>
      </c>
      <c r="C1300" s="20">
        <v>331.0</v>
      </c>
      <c r="D1300" s="20" t="s">
        <v>2144</v>
      </c>
      <c r="E1300" s="20" t="s">
        <v>76</v>
      </c>
      <c r="F1300" s="20" t="s">
        <v>497</v>
      </c>
    </row>
    <row r="1301">
      <c r="A1301" s="26">
        <v>44816.686999108795</v>
      </c>
      <c r="B1301" s="20" t="s">
        <v>55</v>
      </c>
      <c r="C1301" s="20">
        <v>838.0</v>
      </c>
      <c r="D1301" s="20" t="s">
        <v>2144</v>
      </c>
      <c r="E1301" s="20" t="s">
        <v>587</v>
      </c>
      <c r="F1301" s="20" t="s">
        <v>467</v>
      </c>
    </row>
    <row r="1302">
      <c r="A1302" s="26">
        <v>44816.68728121527</v>
      </c>
      <c r="B1302" s="20" t="s">
        <v>55</v>
      </c>
      <c r="C1302" s="20">
        <v>813.0</v>
      </c>
      <c r="D1302" s="20" t="s">
        <v>2144</v>
      </c>
      <c r="E1302" s="20" t="s">
        <v>585</v>
      </c>
      <c r="F1302" s="20" t="s">
        <v>462</v>
      </c>
    </row>
    <row r="1303">
      <c r="A1303" s="26">
        <v>44817.63697892361</v>
      </c>
      <c r="B1303" s="20" t="s">
        <v>2276</v>
      </c>
      <c r="C1303" s="20">
        <v>529.0</v>
      </c>
      <c r="D1303" s="20" t="s">
        <v>2247</v>
      </c>
      <c r="E1303" s="20" t="s">
        <v>40</v>
      </c>
      <c r="F1303" s="20" t="s">
        <v>2277</v>
      </c>
    </row>
    <row r="1304">
      <c r="A1304" s="26">
        <v>44817.63765929398</v>
      </c>
      <c r="B1304" s="20" t="s">
        <v>2245</v>
      </c>
      <c r="C1304" s="20">
        <v>525.0</v>
      </c>
      <c r="D1304" s="20" t="s">
        <v>2278</v>
      </c>
      <c r="E1304" s="20" t="s">
        <v>40</v>
      </c>
      <c r="F1304" s="20" t="s">
        <v>2277</v>
      </c>
    </row>
    <row r="1305">
      <c r="A1305" s="26">
        <v>44817.6382390625</v>
      </c>
      <c r="B1305" s="20" t="s">
        <v>2245</v>
      </c>
      <c r="C1305" s="20">
        <v>967.0</v>
      </c>
      <c r="D1305" s="20" t="s">
        <v>2245</v>
      </c>
      <c r="E1305" s="20" t="s">
        <v>40</v>
      </c>
      <c r="F1305" s="20" t="s">
        <v>2277</v>
      </c>
    </row>
    <row r="1306">
      <c r="A1306" s="26">
        <v>44817.638700034724</v>
      </c>
      <c r="B1306" s="20" t="s">
        <v>2245</v>
      </c>
      <c r="C1306" s="20">
        <v>934.0</v>
      </c>
      <c r="D1306" s="20" t="s">
        <v>2245</v>
      </c>
      <c r="E1306" s="20" t="s">
        <v>40</v>
      </c>
      <c r="F1306" s="20" t="s">
        <v>2277</v>
      </c>
    </row>
    <row r="1307">
      <c r="A1307" s="26">
        <v>44817.63988420139</v>
      </c>
      <c r="B1307" s="20" t="s">
        <v>2245</v>
      </c>
      <c r="C1307" s="20">
        <v>316.0</v>
      </c>
      <c r="D1307" s="20" t="s">
        <v>2245</v>
      </c>
      <c r="E1307" s="20" t="s">
        <v>40</v>
      </c>
      <c r="F1307" s="20" t="s">
        <v>2277</v>
      </c>
    </row>
    <row r="1308">
      <c r="A1308" s="26">
        <v>44817.64136098379</v>
      </c>
      <c r="B1308" s="20" t="s">
        <v>2245</v>
      </c>
      <c r="C1308" s="20">
        <v>959.0</v>
      </c>
      <c r="D1308" s="20" t="s">
        <v>2245</v>
      </c>
      <c r="E1308" s="20" t="s">
        <v>40</v>
      </c>
      <c r="F1308" s="20" t="s">
        <v>2277</v>
      </c>
    </row>
    <row r="1309">
      <c r="A1309" s="26">
        <v>44817.64220682871</v>
      </c>
      <c r="B1309" s="20" t="s">
        <v>2245</v>
      </c>
      <c r="C1309" s="20">
        <v>878.0</v>
      </c>
      <c r="D1309" s="20" t="s">
        <v>2245</v>
      </c>
      <c r="E1309" s="20" t="s">
        <v>40</v>
      </c>
      <c r="F1309" s="20" t="s">
        <v>2277</v>
      </c>
    </row>
    <row r="1310">
      <c r="A1310" s="26">
        <v>44819.84597454861</v>
      </c>
      <c r="B1310" s="20" t="s">
        <v>67</v>
      </c>
      <c r="C1310" s="20">
        <v>276.0</v>
      </c>
      <c r="D1310" s="20" t="s">
        <v>2279</v>
      </c>
      <c r="E1310" s="20" t="s">
        <v>603</v>
      </c>
      <c r="F1310" s="20" t="s">
        <v>449</v>
      </c>
    </row>
    <row r="1311">
      <c r="A1311" s="26">
        <v>44819.84718703704</v>
      </c>
      <c r="B1311" s="20" t="s">
        <v>67</v>
      </c>
      <c r="C1311" s="20">
        <v>444.0</v>
      </c>
      <c r="D1311" s="20" t="s">
        <v>2279</v>
      </c>
      <c r="E1311" s="20" t="s">
        <v>603</v>
      </c>
      <c r="F1311" s="20" t="s">
        <v>449</v>
      </c>
    </row>
    <row r="1312">
      <c r="A1312" s="26">
        <v>44819.847805694444</v>
      </c>
      <c r="B1312" s="20" t="s">
        <v>67</v>
      </c>
      <c r="C1312" s="20">
        <v>791.0</v>
      </c>
      <c r="D1312" s="20" t="s">
        <v>2279</v>
      </c>
      <c r="E1312" s="20" t="s">
        <v>603</v>
      </c>
      <c r="F1312" s="20" t="s">
        <v>449</v>
      </c>
    </row>
    <row r="1313">
      <c r="A1313" s="26">
        <v>44819.84827416667</v>
      </c>
      <c r="B1313" s="20" t="s">
        <v>67</v>
      </c>
      <c r="C1313" s="20">
        <v>357.0</v>
      </c>
      <c r="D1313" s="20" t="s">
        <v>2279</v>
      </c>
      <c r="E1313" s="20" t="s">
        <v>603</v>
      </c>
      <c r="F1313" s="20" t="s">
        <v>449</v>
      </c>
    </row>
    <row r="1314">
      <c r="A1314" s="26">
        <v>44819.84952386574</v>
      </c>
      <c r="B1314" s="20" t="s">
        <v>67</v>
      </c>
      <c r="C1314" s="20">
        <v>588.0</v>
      </c>
      <c r="D1314" s="20" t="s">
        <v>2279</v>
      </c>
      <c r="E1314" s="20" t="s">
        <v>603</v>
      </c>
      <c r="F1314" s="20" t="s">
        <v>449</v>
      </c>
    </row>
    <row r="1315">
      <c r="A1315" s="26">
        <v>44819.85046667824</v>
      </c>
      <c r="B1315" s="20" t="s">
        <v>67</v>
      </c>
      <c r="C1315" s="20">
        <v>448.0</v>
      </c>
      <c r="D1315" s="20" t="s">
        <v>2279</v>
      </c>
      <c r="E1315" s="20" t="s">
        <v>603</v>
      </c>
      <c r="F1315" s="20" t="s">
        <v>449</v>
      </c>
    </row>
    <row r="1316">
      <c r="A1316" s="26">
        <v>44819.85148106482</v>
      </c>
      <c r="B1316" s="20" t="s">
        <v>67</v>
      </c>
      <c r="C1316" s="20">
        <v>176.0</v>
      </c>
      <c r="D1316" s="20" t="s">
        <v>2279</v>
      </c>
      <c r="E1316" s="20" t="s">
        <v>76</v>
      </c>
      <c r="F1316" s="20" t="s">
        <v>449</v>
      </c>
    </row>
    <row r="1317">
      <c r="A1317" s="26">
        <v>44819.85213337963</v>
      </c>
      <c r="B1317" s="20" t="s">
        <v>67</v>
      </c>
      <c r="C1317" s="20">
        <v>217.0</v>
      </c>
      <c r="D1317" s="20" t="s">
        <v>2279</v>
      </c>
      <c r="E1317" s="20" t="s">
        <v>76</v>
      </c>
      <c r="F1317" s="20" t="s">
        <v>449</v>
      </c>
    </row>
    <row r="1318">
      <c r="A1318" s="26">
        <v>44819.852698622686</v>
      </c>
      <c r="B1318" s="20" t="s">
        <v>67</v>
      </c>
      <c r="C1318" s="20">
        <v>182.0</v>
      </c>
      <c r="D1318" s="20" t="s">
        <v>2279</v>
      </c>
      <c r="E1318" s="20" t="s">
        <v>76</v>
      </c>
      <c r="F1318" s="20" t="s">
        <v>449</v>
      </c>
    </row>
    <row r="1319">
      <c r="A1319" s="26">
        <v>44819.853355150466</v>
      </c>
      <c r="B1319" s="20" t="s">
        <v>67</v>
      </c>
      <c r="C1319" s="20">
        <v>159.0</v>
      </c>
      <c r="D1319" s="20" t="s">
        <v>2279</v>
      </c>
      <c r="E1319" s="20" t="s">
        <v>76</v>
      </c>
      <c r="F1319" s="20" t="s">
        <v>449</v>
      </c>
    </row>
    <row r="1320">
      <c r="A1320" s="26">
        <v>44819.853921064816</v>
      </c>
      <c r="B1320" s="20" t="s">
        <v>67</v>
      </c>
      <c r="C1320" s="20">
        <v>371.0</v>
      </c>
      <c r="D1320" s="20" t="s">
        <v>2279</v>
      </c>
      <c r="E1320" s="20" t="s">
        <v>2280</v>
      </c>
      <c r="F1320" s="20" t="s">
        <v>449</v>
      </c>
    </row>
    <row r="1321">
      <c r="A1321" s="26">
        <v>44819.85428435185</v>
      </c>
      <c r="C1321" s="20">
        <v>1345.0</v>
      </c>
      <c r="D1321" s="20" t="s">
        <v>2144</v>
      </c>
      <c r="E1321" s="20" t="s">
        <v>53</v>
      </c>
      <c r="F1321" s="20" t="s">
        <v>449</v>
      </c>
    </row>
    <row r="1322">
      <c r="A1322" s="26">
        <v>44819.85460115741</v>
      </c>
      <c r="B1322" s="20" t="s">
        <v>67</v>
      </c>
      <c r="C1322" s="20">
        <v>862.0</v>
      </c>
      <c r="D1322" s="20" t="s">
        <v>2144</v>
      </c>
      <c r="E1322" s="20" t="s">
        <v>53</v>
      </c>
      <c r="F1322" s="20" t="s">
        <v>449</v>
      </c>
    </row>
    <row r="1323">
      <c r="A1323" s="26">
        <v>44821.488427696764</v>
      </c>
      <c r="B1323" s="20" t="s">
        <v>345</v>
      </c>
      <c r="C1323" s="20">
        <v>226.0</v>
      </c>
      <c r="D1323" s="20" t="s">
        <v>2144</v>
      </c>
      <c r="E1323" s="20" t="s">
        <v>2274</v>
      </c>
      <c r="F1323" s="20" t="s">
        <v>455</v>
      </c>
    </row>
    <row r="1324">
      <c r="A1324" s="26">
        <v>44821.488656354166</v>
      </c>
      <c r="B1324" s="20" t="s">
        <v>345</v>
      </c>
      <c r="C1324" s="20">
        <v>712.0</v>
      </c>
      <c r="D1324" s="20" t="s">
        <v>2144</v>
      </c>
      <c r="E1324" s="20" t="s">
        <v>40</v>
      </c>
      <c r="F1324" s="20" t="s">
        <v>455</v>
      </c>
    </row>
    <row r="1325">
      <c r="A1325" s="26">
        <v>44821.489051412034</v>
      </c>
      <c r="B1325" s="20" t="s">
        <v>345</v>
      </c>
      <c r="C1325" s="20">
        <v>496.0</v>
      </c>
      <c r="D1325" s="20" t="s">
        <v>2144</v>
      </c>
      <c r="E1325" s="20" t="s">
        <v>602</v>
      </c>
      <c r="F1325" s="20" t="s">
        <v>455</v>
      </c>
    </row>
    <row r="1326">
      <c r="A1326" s="26">
        <v>44822.64981379629</v>
      </c>
      <c r="B1326" s="20" t="s">
        <v>411</v>
      </c>
      <c r="C1326" s="20">
        <v>694.0</v>
      </c>
      <c r="D1326" s="20" t="s">
        <v>2144</v>
      </c>
      <c r="E1326" s="20" t="s">
        <v>40</v>
      </c>
      <c r="F1326" s="20" t="s">
        <v>455</v>
      </c>
    </row>
    <row r="1327">
      <c r="A1327" s="26">
        <v>44822.65016846065</v>
      </c>
      <c r="B1327" s="20" t="s">
        <v>411</v>
      </c>
      <c r="C1327" s="20">
        <v>640.0</v>
      </c>
      <c r="D1327" s="20" t="s">
        <v>2144</v>
      </c>
      <c r="E1327" s="20" t="s">
        <v>585</v>
      </c>
      <c r="F1327" s="20" t="s">
        <v>455</v>
      </c>
    </row>
    <row r="1328">
      <c r="A1328" s="26">
        <v>44822.650928877316</v>
      </c>
      <c r="B1328" s="20" t="s">
        <v>411</v>
      </c>
      <c r="C1328" s="20">
        <v>723.0</v>
      </c>
      <c r="D1328" s="20" t="s">
        <v>2144</v>
      </c>
      <c r="E1328" s="20" t="s">
        <v>585</v>
      </c>
      <c r="F1328" s="20" t="s">
        <v>455</v>
      </c>
    </row>
    <row r="1329">
      <c r="A1329" s="26">
        <v>44825.68056789352</v>
      </c>
      <c r="B1329" s="20" t="s">
        <v>345</v>
      </c>
      <c r="C1329" s="20">
        <v>267.0</v>
      </c>
      <c r="D1329" s="20" t="s">
        <v>2144</v>
      </c>
      <c r="E1329" s="20" t="s">
        <v>602</v>
      </c>
      <c r="F1329" s="20" t="s">
        <v>455</v>
      </c>
    </row>
    <row r="1330">
      <c r="A1330" s="26">
        <v>44825.68089614583</v>
      </c>
      <c r="B1330" s="20" t="s">
        <v>345</v>
      </c>
      <c r="C1330" s="20">
        <v>883.0</v>
      </c>
      <c r="D1330" s="20" t="s">
        <v>2144</v>
      </c>
      <c r="E1330" s="20" t="s">
        <v>587</v>
      </c>
      <c r="F1330" s="20" t="s">
        <v>455</v>
      </c>
    </row>
    <row r="1331">
      <c r="A1331" s="26">
        <v>44825.68116503472</v>
      </c>
      <c r="B1331" s="20" t="s">
        <v>345</v>
      </c>
      <c r="C1331" s="20">
        <v>605.0</v>
      </c>
      <c r="D1331" s="20" t="s">
        <v>2144</v>
      </c>
      <c r="E1331" s="20" t="s">
        <v>585</v>
      </c>
      <c r="F1331" s="20" t="s">
        <v>455</v>
      </c>
    </row>
    <row r="1332">
      <c r="A1332" s="26">
        <v>44825.68138709491</v>
      </c>
      <c r="B1332" s="20" t="s">
        <v>345</v>
      </c>
      <c r="C1332" s="20">
        <v>629.0</v>
      </c>
      <c r="D1332" s="20" t="s">
        <v>2144</v>
      </c>
      <c r="E1332" s="20" t="s">
        <v>585</v>
      </c>
      <c r="F1332" s="20" t="s">
        <v>455</v>
      </c>
    </row>
    <row r="1333">
      <c r="A1333" s="26">
        <v>44825.69324013889</v>
      </c>
      <c r="B1333" s="20" t="s">
        <v>345</v>
      </c>
      <c r="C1333" s="20">
        <v>610.0</v>
      </c>
      <c r="D1333" s="20" t="s">
        <v>2242</v>
      </c>
      <c r="E1333" s="20" t="s">
        <v>40</v>
      </c>
      <c r="F1333" s="20" t="s">
        <v>455</v>
      </c>
    </row>
    <row r="1334">
      <c r="A1334" s="26">
        <v>44825.69359145833</v>
      </c>
      <c r="B1334" s="20" t="s">
        <v>345</v>
      </c>
      <c r="C1334" s="20">
        <v>631.0</v>
      </c>
      <c r="D1334" s="20" t="s">
        <v>2266</v>
      </c>
      <c r="E1334" s="20" t="s">
        <v>40</v>
      </c>
      <c r="F1334" s="20" t="s">
        <v>455</v>
      </c>
    </row>
    <row r="1335">
      <c r="A1335" s="26">
        <v>44825.693898831014</v>
      </c>
      <c r="B1335" s="20" t="s">
        <v>345</v>
      </c>
      <c r="C1335" s="20">
        <v>546.0</v>
      </c>
      <c r="D1335" s="20" t="s">
        <v>2242</v>
      </c>
      <c r="E1335" s="20" t="s">
        <v>40</v>
      </c>
      <c r="F1335" s="20" t="s">
        <v>455</v>
      </c>
    </row>
    <row r="1336">
      <c r="A1336" s="26">
        <v>44825.69426640046</v>
      </c>
      <c r="B1336" s="20" t="s">
        <v>345</v>
      </c>
      <c r="C1336" s="20">
        <v>513.0</v>
      </c>
      <c r="D1336" s="20" t="s">
        <v>2242</v>
      </c>
      <c r="E1336" s="20" t="s">
        <v>40</v>
      </c>
      <c r="F1336" s="20" t="s">
        <v>455</v>
      </c>
    </row>
    <row r="1337">
      <c r="A1337" s="26">
        <v>44825.69453527778</v>
      </c>
      <c r="B1337" s="20" t="s">
        <v>345</v>
      </c>
      <c r="C1337" s="20">
        <v>1261.0</v>
      </c>
      <c r="D1337" s="20" t="s">
        <v>2242</v>
      </c>
      <c r="E1337" s="20" t="s">
        <v>40</v>
      </c>
      <c r="F1337" s="20" t="s">
        <v>455</v>
      </c>
    </row>
    <row r="1338">
      <c r="A1338" s="26">
        <v>44825.69475059028</v>
      </c>
      <c r="B1338" s="20" t="s">
        <v>345</v>
      </c>
      <c r="C1338" s="20">
        <v>995.0</v>
      </c>
      <c r="D1338" s="20" t="s">
        <v>2242</v>
      </c>
      <c r="E1338" s="20" t="s">
        <v>40</v>
      </c>
      <c r="F1338" s="20" t="s">
        <v>455</v>
      </c>
    </row>
    <row r="1339">
      <c r="A1339" s="26">
        <v>44825.69497048611</v>
      </c>
      <c r="B1339" s="20" t="s">
        <v>345</v>
      </c>
      <c r="C1339" s="20">
        <v>977.0</v>
      </c>
      <c r="D1339" s="20" t="s">
        <v>2242</v>
      </c>
      <c r="E1339" s="20" t="s">
        <v>40</v>
      </c>
      <c r="F1339" s="20" t="s">
        <v>455</v>
      </c>
    </row>
    <row r="1340">
      <c r="A1340" s="26">
        <v>44825.695202627314</v>
      </c>
      <c r="B1340" s="20" t="s">
        <v>345</v>
      </c>
      <c r="C1340" s="20">
        <v>997.0</v>
      </c>
      <c r="D1340" s="20" t="s">
        <v>2242</v>
      </c>
      <c r="E1340" s="20" t="s">
        <v>40</v>
      </c>
      <c r="F1340" s="20" t="s">
        <v>455</v>
      </c>
    </row>
    <row r="1341">
      <c r="A1341" s="26">
        <v>44825.83547936342</v>
      </c>
      <c r="B1341" s="20" t="s">
        <v>345</v>
      </c>
      <c r="C1341" s="20">
        <v>211.0</v>
      </c>
      <c r="D1341" s="20" t="s">
        <v>2144</v>
      </c>
      <c r="E1341" s="20" t="s">
        <v>602</v>
      </c>
      <c r="F1341" s="20" t="s">
        <v>455</v>
      </c>
    </row>
    <row r="1342">
      <c r="A1342" s="26">
        <v>44825.835761678245</v>
      </c>
      <c r="B1342" s="20" t="s">
        <v>345</v>
      </c>
      <c r="C1342" s="20">
        <v>803.0</v>
      </c>
      <c r="D1342" s="20" t="s">
        <v>2144</v>
      </c>
      <c r="E1342" s="20" t="s">
        <v>36</v>
      </c>
      <c r="F1342" s="20" t="s">
        <v>455</v>
      </c>
    </row>
    <row r="1343">
      <c r="A1343" s="26">
        <v>44825.836130613425</v>
      </c>
      <c r="B1343" s="20" t="s">
        <v>345</v>
      </c>
      <c r="C1343" s="20">
        <v>652.0</v>
      </c>
      <c r="D1343" s="20" t="s">
        <v>2144</v>
      </c>
      <c r="E1343" s="20" t="s">
        <v>585</v>
      </c>
      <c r="F1343" s="20" t="s">
        <v>455</v>
      </c>
    </row>
    <row r="1344">
      <c r="A1344" s="28">
        <v>44825.0</v>
      </c>
      <c r="B1344" s="20" t="s">
        <v>345</v>
      </c>
      <c r="C1344" s="20">
        <v>498.0</v>
      </c>
      <c r="D1344" s="20" t="s">
        <v>2144</v>
      </c>
      <c r="E1344" s="20" t="s">
        <v>587</v>
      </c>
      <c r="F1344" s="20" t="s">
        <v>449</v>
      </c>
    </row>
    <row r="1345">
      <c r="A1345" s="26">
        <v>44825.83636769676</v>
      </c>
      <c r="B1345" s="20" t="s">
        <v>345</v>
      </c>
      <c r="C1345" s="20">
        <v>554.0</v>
      </c>
      <c r="D1345" s="20" t="s">
        <v>2144</v>
      </c>
      <c r="E1345" s="20" t="s">
        <v>585</v>
      </c>
      <c r="F1345" s="20" t="s">
        <v>455</v>
      </c>
    </row>
    <row r="1346">
      <c r="A1346" s="28">
        <v>44826.0</v>
      </c>
      <c r="B1346" s="20" t="s">
        <v>345</v>
      </c>
      <c r="C1346" s="20">
        <v>396.0</v>
      </c>
      <c r="D1346" s="20" t="s">
        <v>2279</v>
      </c>
      <c r="E1346" s="20" t="s">
        <v>628</v>
      </c>
      <c r="F1346" s="20" t="s">
        <v>449</v>
      </c>
    </row>
    <row r="1347">
      <c r="A1347" s="28">
        <v>44826.0</v>
      </c>
      <c r="B1347" s="20" t="s">
        <v>345</v>
      </c>
      <c r="C1347" s="20">
        <v>291.0</v>
      </c>
      <c r="D1347" s="20" t="s">
        <v>2279</v>
      </c>
      <c r="E1347" s="20" t="s">
        <v>628</v>
      </c>
      <c r="F1347" s="20" t="s">
        <v>449</v>
      </c>
    </row>
    <row r="1348">
      <c r="A1348" s="28">
        <v>44826.0</v>
      </c>
      <c r="B1348" s="20" t="s">
        <v>345</v>
      </c>
      <c r="C1348" s="20">
        <v>412.0</v>
      </c>
      <c r="D1348" s="20" t="s">
        <v>2279</v>
      </c>
      <c r="E1348" s="20" t="s">
        <v>628</v>
      </c>
      <c r="F1348" s="20" t="s">
        <v>449</v>
      </c>
    </row>
    <row r="1349">
      <c r="A1349" s="28">
        <v>44826.0</v>
      </c>
      <c r="B1349" s="20" t="s">
        <v>345</v>
      </c>
      <c r="C1349" s="20">
        <v>380.0</v>
      </c>
      <c r="D1349" s="20" t="s">
        <v>2279</v>
      </c>
      <c r="E1349" s="20" t="s">
        <v>628</v>
      </c>
      <c r="F1349" s="20" t="s">
        <v>449</v>
      </c>
    </row>
    <row r="1350">
      <c r="A1350" s="28">
        <v>44826.0</v>
      </c>
      <c r="B1350" s="20" t="s">
        <v>345</v>
      </c>
      <c r="C1350" s="20">
        <v>596.0</v>
      </c>
      <c r="D1350" s="20" t="s">
        <v>2279</v>
      </c>
      <c r="E1350" s="20" t="s">
        <v>628</v>
      </c>
      <c r="F1350" s="20" t="s">
        <v>449</v>
      </c>
    </row>
    <row r="1351">
      <c r="A1351" s="28">
        <v>44826.0</v>
      </c>
      <c r="B1351" s="20" t="s">
        <v>345</v>
      </c>
      <c r="C1351" s="20">
        <v>271.0</v>
      </c>
      <c r="D1351" s="20" t="s">
        <v>2279</v>
      </c>
      <c r="E1351" s="20" t="s">
        <v>628</v>
      </c>
      <c r="F1351" s="20" t="s">
        <v>449</v>
      </c>
    </row>
    <row r="1352">
      <c r="A1352" s="26">
        <v>44826.75338681713</v>
      </c>
      <c r="C1352" s="20">
        <v>109.0</v>
      </c>
      <c r="D1352" s="20" t="s">
        <v>2144</v>
      </c>
      <c r="E1352" s="20" t="s">
        <v>602</v>
      </c>
      <c r="F1352" s="20" t="s">
        <v>455</v>
      </c>
    </row>
    <row r="1353">
      <c r="A1353" s="26">
        <v>44826.75360697917</v>
      </c>
      <c r="C1353" s="20">
        <v>508.0</v>
      </c>
      <c r="D1353" s="20" t="s">
        <v>2144</v>
      </c>
      <c r="E1353" s="20" t="s">
        <v>40</v>
      </c>
      <c r="F1353" s="20" t="s">
        <v>455</v>
      </c>
    </row>
    <row r="1354">
      <c r="A1354" s="26">
        <v>44826.753816805554</v>
      </c>
      <c r="C1354" s="20">
        <v>546.0</v>
      </c>
      <c r="D1354" s="20" t="s">
        <v>2144</v>
      </c>
      <c r="E1354" s="20" t="s">
        <v>585</v>
      </c>
      <c r="F1354" s="20" t="s">
        <v>455</v>
      </c>
    </row>
    <row r="1355">
      <c r="A1355" s="26">
        <v>44826.754097916666</v>
      </c>
      <c r="C1355" s="20">
        <v>500.0</v>
      </c>
      <c r="D1355" s="20" t="s">
        <v>2144</v>
      </c>
      <c r="E1355" s="20" t="s">
        <v>585</v>
      </c>
      <c r="F1355" s="20" t="s">
        <v>455</v>
      </c>
    </row>
    <row r="1356">
      <c r="A1356" s="26">
        <v>44829.53023228009</v>
      </c>
      <c r="B1356" s="20" t="s">
        <v>191</v>
      </c>
      <c r="C1356" s="20">
        <v>445.0</v>
      </c>
      <c r="D1356" s="20" t="s">
        <v>2144</v>
      </c>
      <c r="E1356" s="20" t="s">
        <v>40</v>
      </c>
      <c r="F1356" s="20" t="s">
        <v>516</v>
      </c>
    </row>
    <row r="1357">
      <c r="A1357" s="26">
        <v>44829.534916585646</v>
      </c>
      <c r="B1357" s="20" t="s">
        <v>193</v>
      </c>
      <c r="C1357" s="20">
        <v>654.0</v>
      </c>
      <c r="D1357" s="20" t="s">
        <v>2144</v>
      </c>
      <c r="E1357" s="20" t="s">
        <v>2281</v>
      </c>
      <c r="F1357" s="20" t="s">
        <v>516</v>
      </c>
    </row>
    <row r="1358">
      <c r="A1358" s="26">
        <v>44829.543077546296</v>
      </c>
      <c r="B1358" s="20" t="s">
        <v>191</v>
      </c>
      <c r="C1358" s="20">
        <v>229.0</v>
      </c>
      <c r="D1358" s="20" t="s">
        <v>2144</v>
      </c>
      <c r="E1358" s="20" t="s">
        <v>602</v>
      </c>
      <c r="F1358" s="20" t="s">
        <v>516</v>
      </c>
    </row>
    <row r="1359">
      <c r="A1359" s="26">
        <v>44829.545586712964</v>
      </c>
      <c r="B1359" s="20" t="s">
        <v>193</v>
      </c>
      <c r="C1359" s="20">
        <v>447.0</v>
      </c>
      <c r="D1359" s="20" t="s">
        <v>2144</v>
      </c>
      <c r="E1359" s="20" t="s">
        <v>585</v>
      </c>
      <c r="F1359" s="20" t="s">
        <v>516</v>
      </c>
    </row>
    <row r="1360">
      <c r="A1360" s="26">
        <v>44829.55204246528</v>
      </c>
      <c r="B1360" s="20" t="s">
        <v>193</v>
      </c>
      <c r="C1360" s="20">
        <v>562.0</v>
      </c>
      <c r="D1360" s="20" t="s">
        <v>2144</v>
      </c>
      <c r="E1360" s="20" t="s">
        <v>585</v>
      </c>
      <c r="F1360" s="20" t="s">
        <v>516</v>
      </c>
    </row>
    <row r="1361">
      <c r="A1361" s="26">
        <v>44829.56787671296</v>
      </c>
      <c r="B1361" s="20" t="s">
        <v>193</v>
      </c>
      <c r="C1361" s="20">
        <v>137.0</v>
      </c>
      <c r="D1361" s="20" t="s">
        <v>2282</v>
      </c>
      <c r="E1361" s="20" t="s">
        <v>588</v>
      </c>
      <c r="F1361" s="20" t="s">
        <v>516</v>
      </c>
    </row>
    <row r="1362">
      <c r="A1362" s="26">
        <v>44829.56816126157</v>
      </c>
      <c r="B1362" s="20" t="s">
        <v>193</v>
      </c>
      <c r="C1362" s="20">
        <v>88.0</v>
      </c>
      <c r="D1362" s="20" t="s">
        <v>2282</v>
      </c>
      <c r="E1362" s="20" t="s">
        <v>588</v>
      </c>
      <c r="F1362" s="20" t="s">
        <v>516</v>
      </c>
    </row>
    <row r="1363">
      <c r="A1363" s="26">
        <v>44834.584268715276</v>
      </c>
      <c r="B1363" s="20" t="s">
        <v>345</v>
      </c>
      <c r="C1363" s="20">
        <v>1496.0</v>
      </c>
      <c r="D1363" s="20" t="s">
        <v>2283</v>
      </c>
      <c r="E1363" s="20" t="s">
        <v>634</v>
      </c>
      <c r="F1363" s="20" t="s">
        <v>455</v>
      </c>
    </row>
    <row r="1364">
      <c r="A1364" s="26">
        <v>44834.58460107639</v>
      </c>
      <c r="B1364" s="20" t="s">
        <v>345</v>
      </c>
      <c r="C1364" s="20">
        <v>1497.0</v>
      </c>
      <c r="D1364" s="20" t="s">
        <v>2283</v>
      </c>
      <c r="E1364" s="20" t="s">
        <v>634</v>
      </c>
      <c r="F1364" s="20" t="s">
        <v>455</v>
      </c>
    </row>
    <row r="1365">
      <c r="A1365" s="26">
        <v>44834.584920821755</v>
      </c>
      <c r="B1365" s="20" t="s">
        <v>345</v>
      </c>
      <c r="C1365" s="20">
        <v>1498.0</v>
      </c>
      <c r="D1365" s="20" t="s">
        <v>2283</v>
      </c>
      <c r="E1365" s="20" t="s">
        <v>634</v>
      </c>
      <c r="F1365" s="20" t="s">
        <v>455</v>
      </c>
    </row>
    <row r="1366">
      <c r="A1366" s="26">
        <v>44834.58519953703</v>
      </c>
      <c r="B1366" s="20" t="s">
        <v>345</v>
      </c>
      <c r="C1366" s="20">
        <v>1499.0</v>
      </c>
      <c r="D1366" s="20" t="s">
        <v>2283</v>
      </c>
      <c r="E1366" s="20" t="s">
        <v>646</v>
      </c>
      <c r="F1366" s="20" t="s">
        <v>455</v>
      </c>
    </row>
    <row r="1367">
      <c r="A1367" s="26">
        <v>44834.58549777778</v>
      </c>
      <c r="B1367" s="20" t="s">
        <v>345</v>
      </c>
      <c r="C1367" s="20">
        <v>1495.0</v>
      </c>
      <c r="D1367" s="20" t="s">
        <v>2283</v>
      </c>
      <c r="E1367" s="20" t="s">
        <v>646</v>
      </c>
      <c r="F1367" s="20" t="s">
        <v>455</v>
      </c>
    </row>
    <row r="1368">
      <c r="A1368" s="26">
        <v>44834.58576938657</v>
      </c>
      <c r="B1368" s="20" t="s">
        <v>345</v>
      </c>
      <c r="C1368" s="20">
        <v>1500.0</v>
      </c>
      <c r="D1368" s="20" t="s">
        <v>2283</v>
      </c>
      <c r="E1368" s="20" t="s">
        <v>646</v>
      </c>
      <c r="F1368" s="20" t="s">
        <v>455</v>
      </c>
    </row>
    <row r="1369">
      <c r="A1369" s="26">
        <v>44834.58605092592</v>
      </c>
      <c r="B1369" s="20" t="s">
        <v>345</v>
      </c>
      <c r="C1369" s="20">
        <v>1494.0</v>
      </c>
      <c r="D1369" s="20" t="s">
        <v>2283</v>
      </c>
      <c r="E1369" s="20" t="s">
        <v>646</v>
      </c>
      <c r="F1369" s="20" t="s">
        <v>455</v>
      </c>
    </row>
    <row r="1370">
      <c r="A1370" s="26">
        <v>44834.58631672454</v>
      </c>
      <c r="B1370" s="20" t="s">
        <v>345</v>
      </c>
      <c r="C1370" s="20">
        <v>1501.0</v>
      </c>
      <c r="D1370" s="20" t="s">
        <v>2283</v>
      </c>
      <c r="E1370" s="20" t="s">
        <v>646</v>
      </c>
      <c r="F1370" s="20" t="s">
        <v>455</v>
      </c>
    </row>
    <row r="1371">
      <c r="A1371" s="26">
        <v>44834.58660967593</v>
      </c>
      <c r="B1371" s="20" t="s">
        <v>345</v>
      </c>
      <c r="C1371" s="20">
        <v>1493.0</v>
      </c>
      <c r="D1371" s="20" t="s">
        <v>2283</v>
      </c>
      <c r="E1371" s="20" t="s">
        <v>646</v>
      </c>
      <c r="F1371" s="20" t="s">
        <v>455</v>
      </c>
    </row>
    <row r="1372">
      <c r="A1372" s="26">
        <v>44834.58686243056</v>
      </c>
      <c r="B1372" s="20" t="s">
        <v>345</v>
      </c>
      <c r="C1372" s="20">
        <v>1492.0</v>
      </c>
      <c r="D1372" s="20" t="s">
        <v>2283</v>
      </c>
      <c r="E1372" s="20" t="s">
        <v>646</v>
      </c>
      <c r="F1372" s="20" t="s">
        <v>455</v>
      </c>
    </row>
    <row r="1373">
      <c r="A1373" s="26">
        <v>44834.58722356481</v>
      </c>
      <c r="B1373" s="20" t="s">
        <v>345</v>
      </c>
      <c r="C1373" s="20">
        <v>760.0</v>
      </c>
      <c r="D1373" s="20" t="s">
        <v>2283</v>
      </c>
      <c r="E1373" s="20" t="s">
        <v>585</v>
      </c>
      <c r="F1373" s="20" t="s">
        <v>455</v>
      </c>
    </row>
    <row r="1374">
      <c r="A1374" s="26">
        <v>44834.587636157405</v>
      </c>
      <c r="B1374" s="20" t="s">
        <v>345</v>
      </c>
      <c r="C1374" s="20">
        <v>916.0</v>
      </c>
      <c r="D1374" s="20" t="s">
        <v>2259</v>
      </c>
      <c r="E1374" s="20" t="s">
        <v>40</v>
      </c>
      <c r="F1374" s="20" t="s">
        <v>455</v>
      </c>
    </row>
    <row r="1375">
      <c r="A1375" s="26">
        <v>44834.5879027662</v>
      </c>
      <c r="B1375" s="20" t="s">
        <v>345</v>
      </c>
      <c r="C1375" s="20">
        <v>1239.0</v>
      </c>
      <c r="D1375" s="20" t="s">
        <v>2259</v>
      </c>
      <c r="E1375" s="20" t="s">
        <v>40</v>
      </c>
      <c r="F1375" s="20" t="s">
        <v>455</v>
      </c>
    </row>
    <row r="1376">
      <c r="A1376" s="26">
        <v>44834.5880994676</v>
      </c>
      <c r="B1376" s="20" t="s">
        <v>345</v>
      </c>
      <c r="C1376" s="20">
        <v>1095.0</v>
      </c>
      <c r="D1376" s="20" t="s">
        <v>2259</v>
      </c>
      <c r="E1376" s="20" t="s">
        <v>40</v>
      </c>
      <c r="F1376" s="20" t="s">
        <v>455</v>
      </c>
    </row>
    <row r="1377">
      <c r="A1377" s="26">
        <v>44834.58845466435</v>
      </c>
      <c r="B1377" s="20" t="s">
        <v>345</v>
      </c>
      <c r="C1377" s="20">
        <v>114.0</v>
      </c>
      <c r="D1377" s="20" t="s">
        <v>2284</v>
      </c>
      <c r="E1377" s="20" t="s">
        <v>58</v>
      </c>
      <c r="F1377" s="20" t="s">
        <v>455</v>
      </c>
    </row>
    <row r="1378">
      <c r="A1378" s="26">
        <v>44834.58901328704</v>
      </c>
      <c r="B1378" s="20" t="s">
        <v>345</v>
      </c>
      <c r="C1378" s="20">
        <v>114.0</v>
      </c>
      <c r="D1378" s="20" t="s">
        <v>2285</v>
      </c>
      <c r="E1378" s="20" t="s">
        <v>58</v>
      </c>
      <c r="F1378" s="20" t="s">
        <v>455</v>
      </c>
    </row>
    <row r="1379">
      <c r="A1379" s="26">
        <v>44838.58578152778</v>
      </c>
      <c r="B1379" s="20" t="s">
        <v>345</v>
      </c>
      <c r="C1379" s="20">
        <v>799.0</v>
      </c>
      <c r="D1379" s="20" t="s">
        <v>2144</v>
      </c>
      <c r="E1379" s="20" t="s">
        <v>587</v>
      </c>
      <c r="F1379" s="20" t="s">
        <v>455</v>
      </c>
    </row>
    <row r="1380">
      <c r="A1380" s="26">
        <v>44838.585993217595</v>
      </c>
      <c r="B1380" s="20" t="s">
        <v>345</v>
      </c>
      <c r="C1380" s="20">
        <v>410.0</v>
      </c>
      <c r="D1380" s="20" t="s">
        <v>2144</v>
      </c>
      <c r="E1380" s="20" t="s">
        <v>587</v>
      </c>
      <c r="F1380" s="20" t="s">
        <v>455</v>
      </c>
    </row>
    <row r="1381">
      <c r="A1381" s="26">
        <v>44838.586234745366</v>
      </c>
      <c r="B1381" s="20" t="s">
        <v>345</v>
      </c>
      <c r="C1381" s="20">
        <v>991.0</v>
      </c>
      <c r="D1381" s="20" t="s">
        <v>2144</v>
      </c>
      <c r="E1381" s="20" t="s">
        <v>40</v>
      </c>
      <c r="F1381" s="20" t="s">
        <v>455</v>
      </c>
    </row>
    <row r="1382">
      <c r="A1382" s="26">
        <v>44838.58647296297</v>
      </c>
      <c r="B1382" s="20" t="s">
        <v>345</v>
      </c>
      <c r="C1382" s="20">
        <v>687.0</v>
      </c>
      <c r="D1382" s="20" t="s">
        <v>2144</v>
      </c>
      <c r="E1382" s="20" t="s">
        <v>585</v>
      </c>
      <c r="F1382" s="20" t="s">
        <v>455</v>
      </c>
    </row>
    <row r="1383">
      <c r="A1383" s="26">
        <v>44839.67130474537</v>
      </c>
      <c r="B1383" s="20" t="s">
        <v>345</v>
      </c>
      <c r="C1383" s="20">
        <v>1472.0</v>
      </c>
      <c r="D1383" s="20" t="s">
        <v>2259</v>
      </c>
      <c r="E1383" s="20" t="s">
        <v>40</v>
      </c>
      <c r="F1383" s="20" t="s">
        <v>455</v>
      </c>
    </row>
    <row r="1384">
      <c r="A1384" s="26">
        <v>44839.67152758102</v>
      </c>
      <c r="B1384" s="20" t="s">
        <v>345</v>
      </c>
      <c r="C1384" s="20">
        <v>1391.0</v>
      </c>
      <c r="D1384" s="20" t="s">
        <v>2259</v>
      </c>
      <c r="E1384" s="20" t="s">
        <v>40</v>
      </c>
      <c r="F1384" s="20" t="s">
        <v>455</v>
      </c>
    </row>
    <row r="1385">
      <c r="A1385" s="26">
        <v>44839.671739074074</v>
      </c>
      <c r="B1385" s="20" t="s">
        <v>345</v>
      </c>
      <c r="C1385" s="20">
        <v>401.0</v>
      </c>
      <c r="D1385" s="20" t="s">
        <v>2259</v>
      </c>
      <c r="E1385" s="20" t="s">
        <v>40</v>
      </c>
      <c r="F1385" s="20" t="s">
        <v>455</v>
      </c>
    </row>
    <row r="1386">
      <c r="A1386" s="26">
        <v>44840.69618189815</v>
      </c>
      <c r="B1386" s="20" t="s">
        <v>345</v>
      </c>
      <c r="C1386" s="20">
        <v>89.0</v>
      </c>
      <c r="D1386" s="20" t="s">
        <v>2283</v>
      </c>
      <c r="E1386" s="20" t="s">
        <v>76</v>
      </c>
      <c r="F1386" s="20" t="s">
        <v>455</v>
      </c>
    </row>
    <row r="1387">
      <c r="A1387" s="26">
        <v>44840.69643399306</v>
      </c>
      <c r="B1387" s="20" t="s">
        <v>345</v>
      </c>
      <c r="C1387" s="20">
        <v>84.0</v>
      </c>
      <c r="D1387" s="20" t="s">
        <v>2283</v>
      </c>
      <c r="E1387" s="20" t="s">
        <v>76</v>
      </c>
      <c r="F1387" s="20" t="s">
        <v>455</v>
      </c>
    </row>
    <row r="1388">
      <c r="A1388" s="26">
        <v>44840.696721354165</v>
      </c>
      <c r="B1388" s="20" t="s">
        <v>345</v>
      </c>
      <c r="C1388" s="20">
        <v>94.0</v>
      </c>
      <c r="D1388" s="20" t="s">
        <v>2283</v>
      </c>
      <c r="E1388" s="20" t="s">
        <v>76</v>
      </c>
      <c r="F1388" s="20" t="s">
        <v>455</v>
      </c>
    </row>
    <row r="1389">
      <c r="A1389" s="26">
        <v>44840.69693518519</v>
      </c>
      <c r="B1389" s="20" t="s">
        <v>345</v>
      </c>
      <c r="C1389" s="20">
        <v>98.0</v>
      </c>
      <c r="D1389" s="20" t="s">
        <v>2283</v>
      </c>
      <c r="E1389" s="20" t="s">
        <v>76</v>
      </c>
      <c r="F1389" s="20" t="s">
        <v>455</v>
      </c>
    </row>
    <row r="1390">
      <c r="A1390" s="26">
        <v>44840.69712991898</v>
      </c>
      <c r="B1390" s="20" t="s">
        <v>345</v>
      </c>
      <c r="C1390" s="20">
        <v>89.0</v>
      </c>
      <c r="D1390" s="20" t="s">
        <v>2283</v>
      </c>
      <c r="E1390" s="20" t="s">
        <v>76</v>
      </c>
      <c r="F1390" s="20" t="s">
        <v>455</v>
      </c>
    </row>
    <row r="1391">
      <c r="A1391" s="26">
        <v>44840.69737241898</v>
      </c>
      <c r="B1391" s="20" t="s">
        <v>345</v>
      </c>
      <c r="C1391" s="20">
        <v>156.0</v>
      </c>
      <c r="D1391" s="20" t="s">
        <v>2283</v>
      </c>
      <c r="E1391" s="20" t="s">
        <v>76</v>
      </c>
      <c r="F1391" s="20" t="s">
        <v>455</v>
      </c>
    </row>
    <row r="1392">
      <c r="A1392" s="26">
        <v>44840.69756626157</v>
      </c>
      <c r="B1392" s="20" t="s">
        <v>345</v>
      </c>
      <c r="C1392" s="20">
        <v>143.0</v>
      </c>
      <c r="D1392" s="20" t="s">
        <v>2283</v>
      </c>
      <c r="E1392" s="20" t="s">
        <v>76</v>
      </c>
      <c r="F1392" s="20" t="s">
        <v>455</v>
      </c>
    </row>
    <row r="1393">
      <c r="A1393" s="26">
        <v>44842.508454317125</v>
      </c>
      <c r="B1393" s="20" t="s">
        <v>892</v>
      </c>
      <c r="C1393" s="20">
        <v>27.0</v>
      </c>
      <c r="D1393" s="20" t="s">
        <v>2286</v>
      </c>
      <c r="E1393" s="20" t="s">
        <v>2274</v>
      </c>
      <c r="F1393" s="20" t="s">
        <v>590</v>
      </c>
    </row>
    <row r="1394">
      <c r="A1394" s="26">
        <v>44843.54696092593</v>
      </c>
      <c r="B1394" s="20" t="s">
        <v>191</v>
      </c>
      <c r="C1394" s="20">
        <v>724.0</v>
      </c>
      <c r="D1394" s="20" t="s">
        <v>2144</v>
      </c>
      <c r="E1394" s="20" t="s">
        <v>585</v>
      </c>
      <c r="F1394" s="20" t="s">
        <v>516</v>
      </c>
    </row>
    <row r="1395">
      <c r="A1395" s="28">
        <v>44843.0</v>
      </c>
      <c r="B1395" s="20" t="s">
        <v>345</v>
      </c>
      <c r="C1395" s="20">
        <v>521.0</v>
      </c>
      <c r="D1395" s="20" t="s">
        <v>2144</v>
      </c>
      <c r="E1395" s="20" t="s">
        <v>585</v>
      </c>
      <c r="F1395" s="20" t="s">
        <v>449</v>
      </c>
    </row>
    <row r="1396">
      <c r="A1396" s="26">
        <v>44843.54800780093</v>
      </c>
      <c r="B1396" s="20" t="s">
        <v>193</v>
      </c>
      <c r="C1396" s="20">
        <v>644.0</v>
      </c>
      <c r="D1396" s="20" t="s">
        <v>2144</v>
      </c>
      <c r="E1396" s="20" t="s">
        <v>40</v>
      </c>
      <c r="F1396" s="20" t="s">
        <v>516</v>
      </c>
    </row>
    <row r="1397">
      <c r="A1397" s="26">
        <v>44843.55041752315</v>
      </c>
      <c r="B1397" s="20" t="s">
        <v>191</v>
      </c>
      <c r="C1397" s="20">
        <v>815.0</v>
      </c>
      <c r="D1397" s="20" t="s">
        <v>2144</v>
      </c>
      <c r="E1397" s="20" t="s">
        <v>40</v>
      </c>
      <c r="F1397" s="20" t="s">
        <v>516</v>
      </c>
    </row>
    <row r="1398">
      <c r="A1398" s="26">
        <v>44843.5661134838</v>
      </c>
      <c r="B1398" s="20" t="s">
        <v>191</v>
      </c>
      <c r="C1398" s="20">
        <v>665.0</v>
      </c>
      <c r="D1398" s="20" t="s">
        <v>2144</v>
      </c>
      <c r="E1398" s="20" t="s">
        <v>585</v>
      </c>
      <c r="F1398" s="20" t="s">
        <v>516</v>
      </c>
    </row>
    <row r="1399">
      <c r="A1399" s="28">
        <v>44846.0</v>
      </c>
      <c r="B1399" s="20" t="s">
        <v>345</v>
      </c>
      <c r="C1399" s="20">
        <v>538.0</v>
      </c>
      <c r="D1399" s="20" t="s">
        <v>2259</v>
      </c>
      <c r="E1399" s="20" t="s">
        <v>40</v>
      </c>
      <c r="F1399" s="20" t="s">
        <v>645</v>
      </c>
    </row>
    <row r="1400">
      <c r="A1400" s="28">
        <v>44846.0</v>
      </c>
      <c r="B1400" s="20" t="s">
        <v>345</v>
      </c>
      <c r="C1400" s="20">
        <v>1014.0</v>
      </c>
      <c r="D1400" s="20" t="s">
        <v>2259</v>
      </c>
      <c r="E1400" s="20" t="s">
        <v>40</v>
      </c>
      <c r="F1400" s="20" t="s">
        <v>645</v>
      </c>
    </row>
    <row r="1401">
      <c r="A1401" s="28">
        <v>44846.0</v>
      </c>
      <c r="B1401" s="20" t="s">
        <v>345</v>
      </c>
      <c r="C1401" s="20">
        <v>1060.0</v>
      </c>
      <c r="D1401" s="20" t="s">
        <v>2259</v>
      </c>
      <c r="E1401" s="20" t="s">
        <v>40</v>
      </c>
      <c r="F1401" s="20" t="s">
        <v>645</v>
      </c>
    </row>
    <row r="1402">
      <c r="A1402" s="28">
        <v>44846.0</v>
      </c>
      <c r="B1402" s="20" t="s">
        <v>345</v>
      </c>
      <c r="C1402" s="20">
        <v>38.0</v>
      </c>
      <c r="D1402" s="20" t="s">
        <v>2287</v>
      </c>
      <c r="E1402" s="20" t="s">
        <v>524</v>
      </c>
      <c r="F1402" s="20" t="s">
        <v>645</v>
      </c>
    </row>
    <row r="1403">
      <c r="A1403" s="26">
        <v>44846.61727133102</v>
      </c>
      <c r="B1403" s="20" t="s">
        <v>55</v>
      </c>
      <c r="C1403" s="20">
        <v>1324.0</v>
      </c>
      <c r="D1403" s="20" t="s">
        <v>2283</v>
      </c>
      <c r="E1403" s="20" t="s">
        <v>2274</v>
      </c>
      <c r="F1403" s="20" t="s">
        <v>645</v>
      </c>
    </row>
    <row r="1404">
      <c r="A1404" s="26">
        <v>44846.61753427083</v>
      </c>
      <c r="B1404" s="20" t="s">
        <v>173</v>
      </c>
      <c r="C1404" s="20">
        <v>1328.0</v>
      </c>
      <c r="D1404" s="20" t="s">
        <v>2283</v>
      </c>
      <c r="E1404" s="20" t="s">
        <v>2274</v>
      </c>
      <c r="F1404" s="20" t="s">
        <v>645</v>
      </c>
    </row>
    <row r="1405">
      <c r="A1405" s="26">
        <v>44846.61779826389</v>
      </c>
      <c r="B1405" s="20" t="s">
        <v>55</v>
      </c>
      <c r="C1405" s="20">
        <v>1313.0</v>
      </c>
      <c r="D1405" s="20" t="s">
        <v>2283</v>
      </c>
      <c r="E1405" s="20" t="s">
        <v>2274</v>
      </c>
      <c r="F1405" s="20" t="s">
        <v>645</v>
      </c>
    </row>
    <row r="1406">
      <c r="A1406" s="26">
        <v>44846.61804396991</v>
      </c>
      <c r="B1406" s="20" t="s">
        <v>55</v>
      </c>
      <c r="C1406" s="20">
        <v>1311.0</v>
      </c>
      <c r="D1406" s="20" t="s">
        <v>2283</v>
      </c>
      <c r="E1406" s="20" t="s">
        <v>2274</v>
      </c>
      <c r="F1406" s="20" t="s">
        <v>645</v>
      </c>
    </row>
    <row r="1407">
      <c r="A1407" s="26">
        <v>44846.618281539355</v>
      </c>
      <c r="B1407" s="20" t="s">
        <v>55</v>
      </c>
      <c r="C1407" s="20">
        <v>1312.0</v>
      </c>
      <c r="D1407" s="20" t="s">
        <v>2283</v>
      </c>
      <c r="E1407" s="20" t="s">
        <v>2274</v>
      </c>
      <c r="F1407" s="20" t="s">
        <v>645</v>
      </c>
    </row>
    <row r="1408">
      <c r="A1408" s="26">
        <v>44846.618499398144</v>
      </c>
      <c r="B1408" s="20" t="s">
        <v>55</v>
      </c>
      <c r="C1408" s="20">
        <v>1324.0</v>
      </c>
      <c r="D1408" s="20" t="s">
        <v>2283</v>
      </c>
      <c r="E1408" s="20" t="s">
        <v>2274</v>
      </c>
      <c r="F1408" s="20" t="s">
        <v>645</v>
      </c>
    </row>
    <row r="1409">
      <c r="A1409" s="26">
        <v>44846.61871699074</v>
      </c>
      <c r="B1409" s="20" t="s">
        <v>55</v>
      </c>
      <c r="C1409" s="20">
        <v>863.0</v>
      </c>
      <c r="D1409" s="20" t="s">
        <v>2283</v>
      </c>
      <c r="E1409" s="20" t="s">
        <v>2274</v>
      </c>
      <c r="F1409" s="20" t="s">
        <v>645</v>
      </c>
    </row>
    <row r="1410">
      <c r="A1410" s="26">
        <v>44846.6189482176</v>
      </c>
      <c r="B1410" s="20" t="s">
        <v>55</v>
      </c>
      <c r="C1410" s="20">
        <v>1321.0</v>
      </c>
      <c r="D1410" s="20" t="s">
        <v>2283</v>
      </c>
      <c r="E1410" s="20" t="s">
        <v>2274</v>
      </c>
      <c r="F1410" s="20" t="s">
        <v>645</v>
      </c>
    </row>
    <row r="1411">
      <c r="A1411" s="26">
        <v>44846.6192419213</v>
      </c>
      <c r="B1411" s="20" t="s">
        <v>55</v>
      </c>
      <c r="C1411" s="20">
        <v>1322.0</v>
      </c>
      <c r="D1411" s="20" t="s">
        <v>2283</v>
      </c>
      <c r="E1411" s="20" t="s">
        <v>2274</v>
      </c>
      <c r="F1411" s="20" t="s">
        <v>645</v>
      </c>
    </row>
    <row r="1412">
      <c r="A1412" s="26">
        <v>44846.61947521991</v>
      </c>
      <c r="B1412" s="20" t="s">
        <v>55</v>
      </c>
      <c r="C1412" s="20">
        <v>1327.0</v>
      </c>
      <c r="D1412" s="20" t="s">
        <v>2283</v>
      </c>
      <c r="E1412" s="20" t="s">
        <v>2267</v>
      </c>
      <c r="F1412" s="20" t="s">
        <v>645</v>
      </c>
    </row>
    <row r="1413">
      <c r="A1413" s="26">
        <v>44846.61973680556</v>
      </c>
      <c r="B1413" s="20" t="s">
        <v>55</v>
      </c>
      <c r="C1413" s="20">
        <v>1094.0</v>
      </c>
      <c r="D1413" s="20" t="s">
        <v>2283</v>
      </c>
      <c r="E1413" s="20" t="s">
        <v>2274</v>
      </c>
      <c r="F1413" s="20" t="s">
        <v>645</v>
      </c>
    </row>
    <row r="1414">
      <c r="A1414" s="26">
        <v>44848.56415273148</v>
      </c>
      <c r="B1414" s="20" t="s">
        <v>345</v>
      </c>
      <c r="C1414" s="20">
        <v>240.0</v>
      </c>
      <c r="D1414" s="20" t="s">
        <v>2283</v>
      </c>
      <c r="E1414" s="20" t="s">
        <v>76</v>
      </c>
      <c r="F1414" s="20" t="s">
        <v>645</v>
      </c>
    </row>
    <row r="1415">
      <c r="A1415" s="26">
        <v>44848.564420787035</v>
      </c>
      <c r="B1415" s="20" t="s">
        <v>345</v>
      </c>
      <c r="C1415" s="20">
        <v>184.0</v>
      </c>
      <c r="D1415" s="20" t="s">
        <v>2283</v>
      </c>
      <c r="E1415" s="20" t="s">
        <v>76</v>
      </c>
      <c r="F1415" s="20" t="s">
        <v>645</v>
      </c>
    </row>
    <row r="1416">
      <c r="A1416" s="26">
        <v>44848.56461527778</v>
      </c>
      <c r="B1416" s="20" t="s">
        <v>345</v>
      </c>
      <c r="C1416" s="20">
        <v>222.0</v>
      </c>
      <c r="D1416" s="20" t="s">
        <v>2283</v>
      </c>
      <c r="E1416" s="20" t="s">
        <v>76</v>
      </c>
      <c r="F1416" s="20" t="s">
        <v>645</v>
      </c>
    </row>
    <row r="1417">
      <c r="A1417" s="26">
        <v>44848.564809930554</v>
      </c>
      <c r="B1417" s="20" t="s">
        <v>345</v>
      </c>
      <c r="C1417" s="20">
        <v>215.0</v>
      </c>
      <c r="D1417" s="20" t="s">
        <v>2283</v>
      </c>
      <c r="E1417" s="20" t="s">
        <v>76</v>
      </c>
      <c r="F1417" s="20" t="s">
        <v>645</v>
      </c>
    </row>
    <row r="1418">
      <c r="A1418" s="26">
        <v>44848.56501032408</v>
      </c>
      <c r="B1418" s="20" t="s">
        <v>345</v>
      </c>
      <c r="C1418" s="20">
        <v>206.0</v>
      </c>
      <c r="D1418" s="20" t="s">
        <v>2283</v>
      </c>
      <c r="E1418" s="20" t="s">
        <v>76</v>
      </c>
      <c r="F1418" s="20" t="s">
        <v>645</v>
      </c>
    </row>
    <row r="1419">
      <c r="A1419" s="26">
        <v>44848.565176944445</v>
      </c>
      <c r="B1419" s="20" t="s">
        <v>345</v>
      </c>
      <c r="C1419" s="20">
        <v>233.0</v>
      </c>
      <c r="D1419" s="20" t="s">
        <v>2283</v>
      </c>
      <c r="E1419" s="20" t="s">
        <v>76</v>
      </c>
      <c r="F1419" s="20" t="s">
        <v>645</v>
      </c>
    </row>
    <row r="1420">
      <c r="A1420" s="26">
        <v>44848.565398032406</v>
      </c>
      <c r="B1420" s="20" t="s">
        <v>345</v>
      </c>
      <c r="C1420" s="20">
        <v>217.0</v>
      </c>
      <c r="D1420" s="20" t="s">
        <v>2283</v>
      </c>
      <c r="E1420" s="20" t="s">
        <v>76</v>
      </c>
      <c r="F1420" s="20" t="s">
        <v>645</v>
      </c>
    </row>
    <row r="1421">
      <c r="A1421" s="26">
        <v>44848.56565417824</v>
      </c>
      <c r="B1421" s="20" t="s">
        <v>345</v>
      </c>
      <c r="C1421" s="20">
        <v>226.0</v>
      </c>
      <c r="D1421" s="20" t="s">
        <v>2283</v>
      </c>
      <c r="E1421" s="20" t="s">
        <v>76</v>
      </c>
      <c r="F1421" s="20" t="s">
        <v>645</v>
      </c>
    </row>
    <row r="1422">
      <c r="A1422" s="26">
        <v>44848.56583392361</v>
      </c>
      <c r="B1422" s="20" t="s">
        <v>345</v>
      </c>
      <c r="C1422" s="20">
        <v>262.0</v>
      </c>
      <c r="D1422" s="20" t="s">
        <v>2283</v>
      </c>
      <c r="E1422" s="20" t="s">
        <v>76</v>
      </c>
      <c r="F1422" s="20" t="s">
        <v>645</v>
      </c>
    </row>
    <row r="1423">
      <c r="A1423" s="26">
        <v>44848.56601722223</v>
      </c>
      <c r="B1423" s="20" t="s">
        <v>345</v>
      </c>
      <c r="C1423" s="20">
        <v>149.0</v>
      </c>
      <c r="D1423" s="20" t="s">
        <v>2283</v>
      </c>
      <c r="E1423" s="20" t="s">
        <v>76</v>
      </c>
      <c r="F1423" s="20" t="s">
        <v>645</v>
      </c>
    </row>
    <row r="1424">
      <c r="A1424" s="26">
        <v>44848.56620003472</v>
      </c>
      <c r="B1424" s="20" t="s">
        <v>345</v>
      </c>
      <c r="C1424" s="20">
        <v>151.0</v>
      </c>
      <c r="D1424" s="20" t="s">
        <v>2283</v>
      </c>
      <c r="E1424" s="20" t="s">
        <v>76</v>
      </c>
      <c r="F1424" s="20" t="s">
        <v>645</v>
      </c>
    </row>
    <row r="1425">
      <c r="A1425" s="28">
        <v>44850.0</v>
      </c>
      <c r="B1425" s="20" t="s">
        <v>345</v>
      </c>
      <c r="C1425" s="20">
        <v>51.0</v>
      </c>
      <c r="D1425" s="20" t="s">
        <v>2282</v>
      </c>
      <c r="E1425" s="20" t="s">
        <v>534</v>
      </c>
      <c r="F1425" s="20" t="s">
        <v>645</v>
      </c>
    </row>
    <row r="1426">
      <c r="A1426" s="26">
        <v>44850.559554050924</v>
      </c>
      <c r="B1426" s="20" t="s">
        <v>191</v>
      </c>
      <c r="C1426" s="20">
        <v>419.0</v>
      </c>
      <c r="D1426" s="20" t="s">
        <v>2144</v>
      </c>
      <c r="E1426" s="20" t="s">
        <v>585</v>
      </c>
      <c r="F1426" s="20" t="s">
        <v>516</v>
      </c>
    </row>
    <row r="1427">
      <c r="A1427" s="26">
        <v>44850.55992731481</v>
      </c>
      <c r="B1427" s="20" t="s">
        <v>191</v>
      </c>
      <c r="C1427" s="20">
        <v>755.0</v>
      </c>
      <c r="D1427" s="20" t="s">
        <v>2144</v>
      </c>
      <c r="E1427" s="20" t="s">
        <v>40</v>
      </c>
      <c r="F1427" s="20" t="s">
        <v>516</v>
      </c>
    </row>
    <row r="1428">
      <c r="A1428" s="26">
        <v>44850.56246076389</v>
      </c>
      <c r="B1428" s="20" t="s">
        <v>193</v>
      </c>
      <c r="C1428" s="20">
        <v>638.0</v>
      </c>
      <c r="D1428" s="20" t="s">
        <v>2144</v>
      </c>
      <c r="E1428" s="20" t="s">
        <v>587</v>
      </c>
      <c r="F1428" s="20" t="s">
        <v>516</v>
      </c>
    </row>
    <row r="1429">
      <c r="A1429" s="26">
        <v>44850.56442368055</v>
      </c>
      <c r="B1429" s="20" t="s">
        <v>193</v>
      </c>
      <c r="C1429" s="20">
        <v>323.0</v>
      </c>
      <c r="D1429" s="20" t="s">
        <v>2144</v>
      </c>
      <c r="E1429" s="20" t="s">
        <v>585</v>
      </c>
      <c r="F1429" s="20" t="s">
        <v>517</v>
      </c>
    </row>
    <row r="1430">
      <c r="A1430" s="26">
        <v>44850.56642481481</v>
      </c>
      <c r="B1430" s="20" t="s">
        <v>193</v>
      </c>
      <c r="C1430" s="20">
        <v>697.0</v>
      </c>
      <c r="D1430" s="20" t="s">
        <v>2144</v>
      </c>
      <c r="E1430" s="20" t="s">
        <v>40</v>
      </c>
      <c r="F1430" s="20" t="s">
        <v>516</v>
      </c>
    </row>
    <row r="1431">
      <c r="A1431" s="26">
        <v>44850.56819111111</v>
      </c>
      <c r="B1431" s="20" t="s">
        <v>193</v>
      </c>
      <c r="C1431" s="20">
        <v>477.0</v>
      </c>
      <c r="D1431" s="20" t="s">
        <v>2144</v>
      </c>
      <c r="E1431" s="20" t="s">
        <v>585</v>
      </c>
      <c r="F1431" s="20" t="s">
        <v>2288</v>
      </c>
    </row>
    <row r="1432">
      <c r="A1432" s="26">
        <v>44850.57131555556</v>
      </c>
      <c r="B1432" s="20" t="s">
        <v>191</v>
      </c>
      <c r="C1432" s="20">
        <v>659.0</v>
      </c>
      <c r="D1432" s="20" t="s">
        <v>2144</v>
      </c>
      <c r="E1432" s="20" t="s">
        <v>585</v>
      </c>
      <c r="F1432" s="20" t="s">
        <v>516</v>
      </c>
    </row>
    <row r="1433">
      <c r="A1433" s="26">
        <v>44850.575658333335</v>
      </c>
      <c r="B1433" s="20" t="s">
        <v>193</v>
      </c>
      <c r="C1433" s="20">
        <v>742.0</v>
      </c>
      <c r="D1433" s="20" t="s">
        <v>2144</v>
      </c>
      <c r="E1433" s="20" t="s">
        <v>585</v>
      </c>
      <c r="F1433" s="20" t="s">
        <v>516</v>
      </c>
    </row>
    <row r="1434">
      <c r="A1434" s="26">
        <v>44852.7381181713</v>
      </c>
      <c r="B1434" s="20" t="s">
        <v>345</v>
      </c>
      <c r="C1434" s="20">
        <v>1363.0</v>
      </c>
      <c r="D1434" s="20" t="s">
        <v>2259</v>
      </c>
      <c r="E1434" s="20" t="s">
        <v>40</v>
      </c>
      <c r="F1434" s="20" t="s">
        <v>645</v>
      </c>
    </row>
    <row r="1435">
      <c r="A1435" s="26">
        <v>44852.73841358796</v>
      </c>
      <c r="B1435" s="20" t="s">
        <v>345</v>
      </c>
      <c r="C1435" s="20">
        <v>238.0</v>
      </c>
      <c r="D1435" s="20" t="s">
        <v>2259</v>
      </c>
      <c r="E1435" s="20" t="s">
        <v>40</v>
      </c>
      <c r="F1435" s="20" t="s">
        <v>645</v>
      </c>
    </row>
    <row r="1436">
      <c r="A1436" s="26">
        <v>44852.73867034722</v>
      </c>
      <c r="B1436" s="20" t="s">
        <v>345</v>
      </c>
      <c r="C1436" s="20">
        <v>175.0</v>
      </c>
      <c r="D1436" s="20" t="s">
        <v>2259</v>
      </c>
      <c r="E1436" s="20" t="s">
        <v>40</v>
      </c>
      <c r="F1436" s="20" t="s">
        <v>645</v>
      </c>
    </row>
    <row r="1437">
      <c r="A1437" s="26">
        <v>44852.7390724537</v>
      </c>
      <c r="B1437" s="20" t="s">
        <v>345</v>
      </c>
      <c r="C1437" s="20">
        <v>739.0</v>
      </c>
      <c r="D1437" s="20" t="s">
        <v>2259</v>
      </c>
      <c r="E1437" s="20" t="s">
        <v>40</v>
      </c>
      <c r="F1437" s="20" t="s">
        <v>645</v>
      </c>
    </row>
    <row r="1438">
      <c r="A1438" s="26">
        <v>44852.7395284838</v>
      </c>
      <c r="B1438" s="20" t="s">
        <v>345</v>
      </c>
      <c r="C1438" s="20">
        <v>729.0</v>
      </c>
      <c r="D1438" s="20" t="s">
        <v>2259</v>
      </c>
      <c r="E1438" s="20" t="s">
        <v>40</v>
      </c>
      <c r="F1438" s="20" t="s">
        <v>645</v>
      </c>
    </row>
    <row r="1439">
      <c r="A1439" s="26">
        <v>44852.74525648148</v>
      </c>
      <c r="B1439" s="20" t="s">
        <v>345</v>
      </c>
      <c r="C1439" s="20">
        <v>1052.0</v>
      </c>
      <c r="D1439" s="20" t="s">
        <v>663</v>
      </c>
      <c r="E1439" s="20" t="s">
        <v>656</v>
      </c>
      <c r="F1439" s="20" t="s">
        <v>492</v>
      </c>
    </row>
    <row r="1440">
      <c r="A1440" s="26">
        <v>44852.74585409722</v>
      </c>
      <c r="B1440" s="20" t="s">
        <v>345</v>
      </c>
      <c r="C1440" s="20">
        <v>1053.0</v>
      </c>
      <c r="D1440" s="20" t="s">
        <v>663</v>
      </c>
      <c r="E1440" s="20" t="s">
        <v>656</v>
      </c>
      <c r="F1440" s="20" t="s">
        <v>494</v>
      </c>
    </row>
    <row r="1441">
      <c r="A1441" s="26">
        <v>44852.74614736111</v>
      </c>
      <c r="B1441" s="20" t="s">
        <v>345</v>
      </c>
      <c r="C1441" s="20">
        <v>1054.0</v>
      </c>
      <c r="D1441" s="20" t="s">
        <v>663</v>
      </c>
      <c r="E1441" s="20" t="s">
        <v>656</v>
      </c>
      <c r="F1441" s="20" t="s">
        <v>497</v>
      </c>
    </row>
    <row r="1442">
      <c r="A1442" s="26">
        <v>44852.746433796296</v>
      </c>
      <c r="B1442" s="20" t="s">
        <v>345</v>
      </c>
      <c r="C1442" s="20">
        <v>1055.0</v>
      </c>
      <c r="D1442" s="20" t="s">
        <v>663</v>
      </c>
      <c r="E1442" s="20" t="s">
        <v>656</v>
      </c>
      <c r="F1442" s="20" t="s">
        <v>527</v>
      </c>
    </row>
    <row r="1443">
      <c r="A1443" s="26">
        <v>44852.749756516205</v>
      </c>
      <c r="B1443" s="20" t="s">
        <v>345</v>
      </c>
      <c r="C1443" s="20">
        <v>932.0</v>
      </c>
      <c r="D1443" s="20" t="s">
        <v>663</v>
      </c>
      <c r="E1443" s="20" t="s">
        <v>656</v>
      </c>
      <c r="F1443" s="20" t="s">
        <v>2289</v>
      </c>
    </row>
    <row r="1444">
      <c r="A1444" s="26">
        <v>44852.75010805555</v>
      </c>
      <c r="B1444" s="20" t="s">
        <v>345</v>
      </c>
      <c r="C1444" s="20">
        <v>1134.0</v>
      </c>
      <c r="D1444" s="20" t="s">
        <v>663</v>
      </c>
      <c r="E1444" s="20" t="s">
        <v>656</v>
      </c>
      <c r="F1444" s="20" t="s">
        <v>460</v>
      </c>
    </row>
    <row r="1445">
      <c r="A1445" s="26">
        <v>44852.750412037036</v>
      </c>
      <c r="B1445" s="20" t="s">
        <v>345</v>
      </c>
      <c r="C1445" s="20">
        <v>838.0</v>
      </c>
      <c r="D1445" s="20" t="s">
        <v>663</v>
      </c>
      <c r="E1445" s="20" t="s">
        <v>656</v>
      </c>
      <c r="F1445" s="20" t="s">
        <v>2290</v>
      </c>
    </row>
    <row r="1446">
      <c r="A1446" s="26">
        <v>44852.750732546294</v>
      </c>
      <c r="B1446" s="20" t="s">
        <v>345</v>
      </c>
      <c r="C1446" s="20">
        <v>1147.0</v>
      </c>
      <c r="D1446" s="20" t="s">
        <v>663</v>
      </c>
      <c r="E1446" s="20" t="s">
        <v>656</v>
      </c>
      <c r="F1446" s="20" t="s">
        <v>483</v>
      </c>
    </row>
    <row r="1447">
      <c r="A1447" s="26">
        <v>44852.751042268515</v>
      </c>
      <c r="B1447" s="20" t="s">
        <v>345</v>
      </c>
      <c r="C1447" s="20">
        <v>1056.0</v>
      </c>
      <c r="D1447" s="20" t="s">
        <v>663</v>
      </c>
      <c r="E1447" s="20" t="s">
        <v>656</v>
      </c>
      <c r="F1447" s="20" t="s">
        <v>594</v>
      </c>
    </row>
    <row r="1448">
      <c r="A1448" s="26">
        <v>44852.75135225695</v>
      </c>
      <c r="B1448" s="20" t="s">
        <v>345</v>
      </c>
      <c r="C1448" s="20">
        <v>1140.0</v>
      </c>
      <c r="D1448" s="20" t="s">
        <v>663</v>
      </c>
      <c r="E1448" s="20" t="s">
        <v>656</v>
      </c>
      <c r="F1448" s="20" t="s">
        <v>475</v>
      </c>
    </row>
    <row r="1449">
      <c r="A1449" s="26">
        <v>44852.75163017361</v>
      </c>
      <c r="B1449" s="20" t="s">
        <v>345</v>
      </c>
      <c r="C1449" s="20">
        <v>822.0</v>
      </c>
      <c r="D1449" s="20" t="s">
        <v>663</v>
      </c>
      <c r="E1449" s="20" t="s">
        <v>656</v>
      </c>
      <c r="F1449" s="20" t="s">
        <v>472</v>
      </c>
    </row>
    <row r="1450">
      <c r="A1450" s="26">
        <v>44852.75508322917</v>
      </c>
      <c r="B1450" s="20" t="s">
        <v>345</v>
      </c>
      <c r="C1450" s="20">
        <v>1158.0</v>
      </c>
      <c r="D1450" s="20" t="s">
        <v>663</v>
      </c>
      <c r="E1450" s="20" t="s">
        <v>651</v>
      </c>
      <c r="F1450" s="20" t="s">
        <v>495</v>
      </c>
    </row>
    <row r="1451">
      <c r="A1451" s="26">
        <v>44852.75545056713</v>
      </c>
      <c r="B1451" s="20" t="s">
        <v>345</v>
      </c>
      <c r="C1451" s="20">
        <v>1050.0</v>
      </c>
      <c r="D1451" s="20" t="s">
        <v>663</v>
      </c>
      <c r="E1451" s="20" t="s">
        <v>651</v>
      </c>
      <c r="F1451" s="20" t="s">
        <v>480</v>
      </c>
    </row>
    <row r="1452">
      <c r="A1452" s="26">
        <v>44852.75581228009</v>
      </c>
      <c r="B1452" s="20" t="s">
        <v>556</v>
      </c>
      <c r="C1452" s="20">
        <v>954.0</v>
      </c>
      <c r="D1452" s="20" t="s">
        <v>663</v>
      </c>
      <c r="E1452" s="20" t="s">
        <v>651</v>
      </c>
      <c r="F1452" s="20" t="s">
        <v>473</v>
      </c>
    </row>
    <row r="1453">
      <c r="A1453" s="26">
        <v>44852.7570871875</v>
      </c>
      <c r="B1453" s="20" t="s">
        <v>556</v>
      </c>
      <c r="C1453" s="20">
        <v>1148.0</v>
      </c>
      <c r="D1453" s="20" t="s">
        <v>663</v>
      </c>
      <c r="E1453" s="20" t="s">
        <v>656</v>
      </c>
      <c r="F1453" s="20" t="s">
        <v>545</v>
      </c>
    </row>
    <row r="1454">
      <c r="A1454" s="26">
        <v>44852.759227372684</v>
      </c>
      <c r="B1454" s="20" t="s">
        <v>556</v>
      </c>
      <c r="C1454" s="20">
        <v>1050.0</v>
      </c>
      <c r="D1454" s="20" t="s">
        <v>663</v>
      </c>
      <c r="E1454" s="20" t="s">
        <v>651</v>
      </c>
      <c r="F1454" s="20" t="s">
        <v>458</v>
      </c>
    </row>
    <row r="1455">
      <c r="A1455" s="26">
        <v>44852.75970865741</v>
      </c>
      <c r="B1455" s="20" t="s">
        <v>345</v>
      </c>
      <c r="C1455" s="20">
        <v>1917.0</v>
      </c>
      <c r="D1455" s="20" t="s">
        <v>663</v>
      </c>
      <c r="E1455" s="20" t="s">
        <v>651</v>
      </c>
      <c r="F1455" s="20" t="s">
        <v>455</v>
      </c>
    </row>
    <row r="1456">
      <c r="A1456" s="26">
        <v>44852.76564287037</v>
      </c>
      <c r="B1456" s="20" t="s">
        <v>345</v>
      </c>
      <c r="C1456" s="20">
        <v>2177.0</v>
      </c>
      <c r="D1456" s="20" t="s">
        <v>663</v>
      </c>
      <c r="E1456" s="20" t="s">
        <v>651</v>
      </c>
      <c r="F1456" s="20" t="s">
        <v>455</v>
      </c>
    </row>
    <row r="1457">
      <c r="A1457" s="26">
        <v>44852.7723371875</v>
      </c>
      <c r="B1457" s="20" t="s">
        <v>556</v>
      </c>
      <c r="C1457" s="20">
        <v>1961.0</v>
      </c>
      <c r="D1457" s="20" t="s">
        <v>663</v>
      </c>
      <c r="E1457" s="20" t="s">
        <v>651</v>
      </c>
      <c r="F1457" s="20" t="s">
        <v>455</v>
      </c>
    </row>
    <row r="1458">
      <c r="A1458" s="26">
        <v>44852.7727684375</v>
      </c>
      <c r="B1458" s="20" t="s">
        <v>556</v>
      </c>
      <c r="C1458" s="20">
        <v>782.0</v>
      </c>
      <c r="D1458" s="20" t="s">
        <v>703</v>
      </c>
      <c r="E1458" s="20" t="s">
        <v>651</v>
      </c>
      <c r="F1458" s="20" t="s">
        <v>455</v>
      </c>
    </row>
    <row r="1459">
      <c r="A1459" s="26">
        <v>44852.773124618056</v>
      </c>
      <c r="B1459" s="20" t="s">
        <v>556</v>
      </c>
      <c r="C1459" s="20">
        <v>1089.0</v>
      </c>
      <c r="D1459" s="20" t="s">
        <v>663</v>
      </c>
      <c r="E1459" s="20" t="s">
        <v>651</v>
      </c>
      <c r="F1459" s="20" t="s">
        <v>455</v>
      </c>
    </row>
    <row r="1460">
      <c r="A1460" s="26">
        <v>44852.77346832176</v>
      </c>
      <c r="B1460" s="20" t="s">
        <v>556</v>
      </c>
      <c r="C1460" s="20">
        <v>1848.0</v>
      </c>
      <c r="D1460" s="20" t="s">
        <v>663</v>
      </c>
      <c r="E1460" s="20" t="s">
        <v>651</v>
      </c>
      <c r="F1460" s="20" t="s">
        <v>455</v>
      </c>
    </row>
    <row r="1461">
      <c r="A1461" s="26">
        <v>44852.79950837963</v>
      </c>
      <c r="B1461" s="20" t="s">
        <v>345</v>
      </c>
      <c r="C1461" s="20">
        <v>803.0</v>
      </c>
      <c r="D1461" s="20" t="s">
        <v>663</v>
      </c>
      <c r="E1461" s="20" t="s">
        <v>651</v>
      </c>
      <c r="F1461" s="20" t="s">
        <v>455</v>
      </c>
    </row>
    <row r="1462">
      <c r="A1462" s="26">
        <v>44852.79994063657</v>
      </c>
      <c r="B1462" s="20" t="s">
        <v>556</v>
      </c>
      <c r="C1462" s="20">
        <v>387.0</v>
      </c>
      <c r="D1462" s="20" t="s">
        <v>663</v>
      </c>
      <c r="E1462" s="20" t="s">
        <v>651</v>
      </c>
      <c r="F1462" s="20" t="s">
        <v>455</v>
      </c>
    </row>
    <row r="1463">
      <c r="A1463" s="26">
        <v>44852.80141461805</v>
      </c>
      <c r="B1463" s="20" t="s">
        <v>556</v>
      </c>
      <c r="C1463" s="20">
        <v>531.0</v>
      </c>
      <c r="D1463" s="20" t="s">
        <v>663</v>
      </c>
      <c r="E1463" s="20" t="s">
        <v>651</v>
      </c>
      <c r="F1463" s="20" t="s">
        <v>455</v>
      </c>
    </row>
    <row r="1464">
      <c r="A1464" s="26">
        <v>44852.80210414351</v>
      </c>
      <c r="B1464" s="20" t="s">
        <v>556</v>
      </c>
      <c r="C1464" s="20">
        <v>1942.0</v>
      </c>
      <c r="D1464" s="20" t="s">
        <v>703</v>
      </c>
      <c r="E1464" s="20" t="s">
        <v>651</v>
      </c>
      <c r="F1464" s="20" t="s">
        <v>455</v>
      </c>
    </row>
    <row r="1465">
      <c r="A1465" s="26">
        <v>44852.80246155093</v>
      </c>
      <c r="B1465" s="20" t="s">
        <v>556</v>
      </c>
      <c r="C1465" s="20">
        <v>1080.0</v>
      </c>
      <c r="D1465" s="20" t="s">
        <v>663</v>
      </c>
      <c r="E1465" s="20" t="s">
        <v>651</v>
      </c>
      <c r="F1465" s="20" t="s">
        <v>471</v>
      </c>
    </row>
    <row r="1466">
      <c r="A1466" s="28">
        <v>44852.0</v>
      </c>
      <c r="B1466" s="20" t="s">
        <v>345</v>
      </c>
      <c r="C1466" s="20">
        <v>1049.0</v>
      </c>
      <c r="D1466" s="20" t="s">
        <v>663</v>
      </c>
      <c r="E1466" s="20" t="s">
        <v>656</v>
      </c>
      <c r="F1466" s="20" t="s">
        <v>449</v>
      </c>
    </row>
    <row r="1467">
      <c r="A1467" s="28">
        <v>44852.0</v>
      </c>
      <c r="B1467" s="20" t="s">
        <v>345</v>
      </c>
      <c r="C1467" s="20">
        <v>1052.0</v>
      </c>
      <c r="D1467" s="20" t="s">
        <v>663</v>
      </c>
      <c r="E1467" s="20" t="s">
        <v>656</v>
      </c>
      <c r="F1467" s="20" t="s">
        <v>449</v>
      </c>
    </row>
    <row r="1468">
      <c r="A1468" s="28">
        <v>44852.0</v>
      </c>
      <c r="B1468" s="20" t="s">
        <v>345</v>
      </c>
      <c r="C1468" s="20">
        <v>1533.0</v>
      </c>
      <c r="D1468" s="20" t="s">
        <v>663</v>
      </c>
      <c r="E1468" s="20" t="s">
        <v>656</v>
      </c>
      <c r="F1468" s="20" t="s">
        <v>449</v>
      </c>
    </row>
    <row r="1469">
      <c r="A1469" s="26">
        <v>44852.80763091435</v>
      </c>
      <c r="B1469" s="20" t="s">
        <v>556</v>
      </c>
      <c r="C1469" s="20">
        <v>1510.0</v>
      </c>
      <c r="D1469" s="20" t="s">
        <v>663</v>
      </c>
      <c r="E1469" s="20" t="s">
        <v>651</v>
      </c>
      <c r="F1469" s="20" t="s">
        <v>455</v>
      </c>
    </row>
    <row r="1470">
      <c r="A1470" s="26">
        <v>44854.44752582176</v>
      </c>
      <c r="B1470" s="20" t="s">
        <v>345</v>
      </c>
      <c r="C1470" s="20">
        <v>1017.0</v>
      </c>
      <c r="D1470" s="20" t="s">
        <v>663</v>
      </c>
      <c r="E1470" s="20" t="s">
        <v>656</v>
      </c>
      <c r="F1470" s="20" t="s">
        <v>509</v>
      </c>
    </row>
    <row r="1471">
      <c r="A1471" s="26">
        <v>44854.44816083333</v>
      </c>
      <c r="B1471" s="20" t="s">
        <v>345</v>
      </c>
      <c r="C1471" s="20">
        <v>1403.0</v>
      </c>
      <c r="D1471" s="20" t="s">
        <v>663</v>
      </c>
      <c r="E1471" s="20" t="s">
        <v>656</v>
      </c>
      <c r="F1471" s="20" t="s">
        <v>455</v>
      </c>
    </row>
    <row r="1472">
      <c r="A1472" s="26">
        <v>44854.44851787037</v>
      </c>
      <c r="B1472" s="20" t="s">
        <v>345</v>
      </c>
      <c r="C1472" s="20">
        <v>1310.0</v>
      </c>
      <c r="D1472" s="20" t="s">
        <v>663</v>
      </c>
      <c r="E1472" s="20" t="s">
        <v>651</v>
      </c>
      <c r="F1472" s="20" t="s">
        <v>455</v>
      </c>
    </row>
    <row r="1473">
      <c r="A1473" s="26">
        <v>44854.44884150463</v>
      </c>
      <c r="B1473" s="20" t="s">
        <v>345</v>
      </c>
      <c r="C1473" s="20">
        <v>1008.0</v>
      </c>
      <c r="D1473" s="20" t="s">
        <v>663</v>
      </c>
      <c r="E1473" s="20" t="s">
        <v>656</v>
      </c>
      <c r="F1473" s="20" t="s">
        <v>455</v>
      </c>
    </row>
    <row r="1474">
      <c r="A1474" s="26">
        <v>44854.44920659722</v>
      </c>
      <c r="B1474" s="20" t="s">
        <v>345</v>
      </c>
      <c r="C1474" s="20">
        <v>998.0</v>
      </c>
      <c r="D1474" s="20" t="s">
        <v>663</v>
      </c>
      <c r="E1474" s="20" t="s">
        <v>656</v>
      </c>
      <c r="F1474" s="20" t="s">
        <v>455</v>
      </c>
    </row>
    <row r="1475">
      <c r="A1475" s="26">
        <v>44854.449579618056</v>
      </c>
      <c r="B1475" s="20" t="s">
        <v>345</v>
      </c>
      <c r="C1475" s="20">
        <v>1011.0</v>
      </c>
      <c r="D1475" s="20" t="s">
        <v>663</v>
      </c>
      <c r="E1475" s="20" t="s">
        <v>656</v>
      </c>
      <c r="F1475" s="20" t="s">
        <v>455</v>
      </c>
    </row>
    <row r="1476">
      <c r="A1476" s="26">
        <v>44854.44988743056</v>
      </c>
      <c r="B1476" s="20" t="s">
        <v>345</v>
      </c>
      <c r="C1476" s="20">
        <v>1008.0</v>
      </c>
      <c r="D1476" s="20" t="s">
        <v>663</v>
      </c>
      <c r="E1476" s="20" t="s">
        <v>656</v>
      </c>
      <c r="F1476" s="20" t="s">
        <v>455</v>
      </c>
    </row>
    <row r="1477">
      <c r="A1477" s="26">
        <v>44854.45020181713</v>
      </c>
      <c r="B1477" s="20" t="s">
        <v>345</v>
      </c>
      <c r="C1477" s="20">
        <v>1007.0</v>
      </c>
      <c r="D1477" s="20" t="s">
        <v>663</v>
      </c>
      <c r="E1477" s="20" t="s">
        <v>651</v>
      </c>
      <c r="F1477" s="20" t="s">
        <v>455</v>
      </c>
    </row>
    <row r="1478">
      <c r="A1478" s="26">
        <v>44854.45053721065</v>
      </c>
      <c r="B1478" s="20" t="s">
        <v>345</v>
      </c>
      <c r="C1478" s="20">
        <v>982.0</v>
      </c>
      <c r="D1478" s="20" t="s">
        <v>663</v>
      </c>
      <c r="E1478" s="20" t="s">
        <v>656</v>
      </c>
      <c r="F1478" s="20" t="s">
        <v>455</v>
      </c>
    </row>
    <row r="1479">
      <c r="A1479" s="26">
        <v>44854.45096724537</v>
      </c>
      <c r="B1479" s="20" t="s">
        <v>345</v>
      </c>
      <c r="C1479" s="20">
        <v>982.0</v>
      </c>
      <c r="D1479" s="20" t="s">
        <v>663</v>
      </c>
      <c r="E1479" s="20" t="s">
        <v>656</v>
      </c>
      <c r="F1479" s="20" t="s">
        <v>455</v>
      </c>
    </row>
    <row r="1480">
      <c r="A1480" s="26">
        <v>44854.45240537037</v>
      </c>
      <c r="B1480" s="20" t="s">
        <v>345</v>
      </c>
      <c r="C1480" s="20">
        <v>1040.0</v>
      </c>
      <c r="D1480" s="20" t="s">
        <v>663</v>
      </c>
      <c r="E1480" s="20" t="s">
        <v>651</v>
      </c>
      <c r="F1480" s="20" t="s">
        <v>2291</v>
      </c>
    </row>
    <row r="1481">
      <c r="A1481" s="26">
        <v>44854.45282456018</v>
      </c>
      <c r="B1481" s="20" t="s">
        <v>345</v>
      </c>
      <c r="C1481" s="20">
        <v>1289.0</v>
      </c>
      <c r="D1481" s="20" t="s">
        <v>663</v>
      </c>
      <c r="E1481" s="20" t="s">
        <v>656</v>
      </c>
      <c r="F1481" s="20" t="s">
        <v>2292</v>
      </c>
    </row>
    <row r="1482">
      <c r="A1482" s="26">
        <v>44854.45319226852</v>
      </c>
      <c r="B1482" s="20" t="s">
        <v>345</v>
      </c>
      <c r="C1482" s="20">
        <v>979.0</v>
      </c>
      <c r="D1482" s="20" t="s">
        <v>663</v>
      </c>
      <c r="E1482" s="20" t="s">
        <v>651</v>
      </c>
      <c r="F1482" s="20" t="s">
        <v>2293</v>
      </c>
    </row>
    <row r="1483">
      <c r="A1483" s="26">
        <v>44854.45354498843</v>
      </c>
      <c r="B1483" s="20" t="s">
        <v>345</v>
      </c>
      <c r="C1483" s="20">
        <v>1014.0</v>
      </c>
      <c r="D1483" s="20" t="s">
        <v>663</v>
      </c>
      <c r="E1483" s="20" t="s">
        <v>651</v>
      </c>
      <c r="F1483" s="20" t="s">
        <v>2294</v>
      </c>
    </row>
    <row r="1484">
      <c r="A1484" s="26">
        <v>44854.45395570602</v>
      </c>
      <c r="B1484" s="20" t="s">
        <v>556</v>
      </c>
      <c r="C1484" s="20">
        <v>984.0</v>
      </c>
      <c r="D1484" s="20" t="s">
        <v>663</v>
      </c>
      <c r="E1484" s="20" t="s">
        <v>651</v>
      </c>
      <c r="F1484" s="20" t="s">
        <v>2295</v>
      </c>
    </row>
    <row r="1485">
      <c r="A1485" s="26">
        <v>44854.45427326389</v>
      </c>
      <c r="B1485" s="20" t="s">
        <v>345</v>
      </c>
      <c r="C1485" s="20">
        <v>978.0</v>
      </c>
      <c r="D1485" s="20" t="s">
        <v>663</v>
      </c>
      <c r="E1485" s="20" t="s">
        <v>651</v>
      </c>
      <c r="F1485" s="20" t="s">
        <v>512</v>
      </c>
    </row>
    <row r="1486">
      <c r="A1486" s="26">
        <v>44854.45460517361</v>
      </c>
      <c r="B1486" s="20" t="s">
        <v>345</v>
      </c>
      <c r="C1486" s="20">
        <v>1015.0</v>
      </c>
      <c r="D1486" s="20" t="s">
        <v>663</v>
      </c>
      <c r="E1486" s="20" t="s">
        <v>651</v>
      </c>
      <c r="F1486" s="20" t="s">
        <v>511</v>
      </c>
    </row>
    <row r="1487">
      <c r="A1487" s="26">
        <v>44854.454966944446</v>
      </c>
      <c r="B1487" s="20" t="s">
        <v>345</v>
      </c>
      <c r="C1487" s="20">
        <v>1101.0</v>
      </c>
      <c r="D1487" s="20" t="s">
        <v>663</v>
      </c>
      <c r="E1487" s="20" t="s">
        <v>651</v>
      </c>
      <c r="F1487" s="20" t="s">
        <v>2296</v>
      </c>
    </row>
    <row r="1488">
      <c r="A1488" s="26">
        <v>44854.455453310184</v>
      </c>
      <c r="B1488" s="20" t="s">
        <v>345</v>
      </c>
      <c r="C1488" s="20">
        <v>1022.0</v>
      </c>
      <c r="D1488" s="20" t="s">
        <v>663</v>
      </c>
      <c r="E1488" s="20" t="s">
        <v>651</v>
      </c>
      <c r="F1488" s="20" t="s">
        <v>499</v>
      </c>
    </row>
    <row r="1489">
      <c r="A1489" s="26">
        <v>44854.455797939816</v>
      </c>
      <c r="B1489" s="20" t="s">
        <v>345</v>
      </c>
      <c r="C1489" s="20">
        <v>1016.0</v>
      </c>
      <c r="D1489" s="20" t="s">
        <v>663</v>
      </c>
      <c r="E1489" s="20" t="s">
        <v>651</v>
      </c>
      <c r="F1489" s="20" t="s">
        <v>2297</v>
      </c>
    </row>
    <row r="1490">
      <c r="A1490" s="26">
        <v>44854.45616497685</v>
      </c>
      <c r="B1490" s="20" t="s">
        <v>345</v>
      </c>
      <c r="C1490" s="20">
        <v>1014.0</v>
      </c>
      <c r="D1490" s="20" t="s">
        <v>663</v>
      </c>
      <c r="E1490" s="20" t="s">
        <v>651</v>
      </c>
      <c r="F1490" s="20" t="s">
        <v>2298</v>
      </c>
    </row>
    <row r="1491">
      <c r="A1491" s="26">
        <v>44854.45747958333</v>
      </c>
      <c r="B1491" s="20" t="s">
        <v>345</v>
      </c>
      <c r="C1491" s="20">
        <v>1069.0</v>
      </c>
      <c r="D1491" s="20" t="s">
        <v>663</v>
      </c>
      <c r="E1491" s="20" t="s">
        <v>651</v>
      </c>
      <c r="F1491" s="20" t="s">
        <v>513</v>
      </c>
    </row>
    <row r="1492">
      <c r="A1492" s="26">
        <v>44854.45784509259</v>
      </c>
      <c r="B1492" s="20" t="s">
        <v>345</v>
      </c>
      <c r="C1492" s="20">
        <v>1070.0</v>
      </c>
      <c r="D1492" s="20" t="s">
        <v>663</v>
      </c>
      <c r="E1492" s="20" t="s">
        <v>651</v>
      </c>
      <c r="F1492" s="20" t="s">
        <v>459</v>
      </c>
    </row>
    <row r="1493">
      <c r="A1493" s="26">
        <v>44854.45818159722</v>
      </c>
      <c r="B1493" s="20" t="s">
        <v>345</v>
      </c>
      <c r="C1493" s="20">
        <v>1012.0</v>
      </c>
      <c r="D1493" s="20" t="s">
        <v>663</v>
      </c>
      <c r="E1493" s="20" t="s">
        <v>651</v>
      </c>
      <c r="F1493" s="20" t="s">
        <v>513</v>
      </c>
    </row>
    <row r="1494">
      <c r="A1494" s="26">
        <v>44854.4585893287</v>
      </c>
      <c r="B1494" s="20" t="s">
        <v>345</v>
      </c>
      <c r="C1494" s="20">
        <v>1021.0</v>
      </c>
      <c r="D1494" s="20" t="s">
        <v>663</v>
      </c>
      <c r="E1494" s="20" t="s">
        <v>651</v>
      </c>
      <c r="F1494" s="20" t="s">
        <v>2299</v>
      </c>
    </row>
    <row r="1495">
      <c r="A1495" s="26">
        <v>44854.45889734954</v>
      </c>
      <c r="B1495" s="20" t="s">
        <v>345</v>
      </c>
      <c r="C1495" s="20">
        <v>1033.0</v>
      </c>
      <c r="D1495" s="20" t="s">
        <v>663</v>
      </c>
      <c r="E1495" s="20" t="s">
        <v>651</v>
      </c>
      <c r="F1495" s="20" t="s">
        <v>2300</v>
      </c>
    </row>
    <row r="1496">
      <c r="A1496" s="26">
        <v>44854.45940600694</v>
      </c>
      <c r="B1496" s="20" t="s">
        <v>345</v>
      </c>
      <c r="C1496" s="20">
        <v>1038.0</v>
      </c>
      <c r="D1496" s="20" t="s">
        <v>663</v>
      </c>
      <c r="E1496" s="20" t="s">
        <v>651</v>
      </c>
      <c r="F1496" s="20" t="s">
        <v>2301</v>
      </c>
    </row>
    <row r="1497">
      <c r="A1497" s="26">
        <v>44854.45982877315</v>
      </c>
      <c r="B1497" s="20" t="s">
        <v>345</v>
      </c>
      <c r="C1497" s="20">
        <v>1012.0</v>
      </c>
      <c r="D1497" s="20" t="s">
        <v>663</v>
      </c>
      <c r="E1497" s="20" t="s">
        <v>651</v>
      </c>
      <c r="F1497" s="20" t="s">
        <v>455</v>
      </c>
    </row>
    <row r="1498">
      <c r="A1498" s="26">
        <v>44854.46018657407</v>
      </c>
      <c r="B1498" s="20" t="s">
        <v>345</v>
      </c>
      <c r="C1498" s="20">
        <v>870.0</v>
      </c>
      <c r="D1498" s="20" t="s">
        <v>663</v>
      </c>
      <c r="E1498" s="20" t="s">
        <v>651</v>
      </c>
      <c r="F1498" s="20" t="s">
        <v>455</v>
      </c>
    </row>
    <row r="1499">
      <c r="A1499" s="26">
        <v>44854.460552766206</v>
      </c>
      <c r="B1499" s="20" t="s">
        <v>345</v>
      </c>
      <c r="C1499" s="20">
        <v>1378.0</v>
      </c>
      <c r="D1499" s="20" t="s">
        <v>663</v>
      </c>
      <c r="E1499" s="20" t="s">
        <v>651</v>
      </c>
      <c r="F1499" s="20" t="s">
        <v>2302</v>
      </c>
    </row>
    <row r="1500">
      <c r="A1500" s="26">
        <v>44854.460877986116</v>
      </c>
      <c r="B1500" s="20" t="s">
        <v>345</v>
      </c>
      <c r="C1500" s="20">
        <v>982.0</v>
      </c>
      <c r="D1500" s="20" t="s">
        <v>663</v>
      </c>
      <c r="E1500" s="20" t="s">
        <v>651</v>
      </c>
      <c r="F1500" s="20" t="s">
        <v>2303</v>
      </c>
    </row>
    <row r="1501">
      <c r="A1501" s="26">
        <v>44854.46125359954</v>
      </c>
      <c r="B1501" s="20" t="s">
        <v>345</v>
      </c>
      <c r="C1501" s="20">
        <v>1045.0</v>
      </c>
      <c r="D1501" s="20" t="s">
        <v>663</v>
      </c>
      <c r="E1501" s="20" t="s">
        <v>651</v>
      </c>
      <c r="F1501" s="20" t="s">
        <v>2304</v>
      </c>
    </row>
    <row r="1502">
      <c r="A1502" s="26">
        <v>44857.55434604167</v>
      </c>
      <c r="B1502" s="20" t="s">
        <v>345</v>
      </c>
      <c r="C1502" s="20">
        <v>14.0</v>
      </c>
      <c r="D1502" s="20" t="s">
        <v>2305</v>
      </c>
      <c r="E1502" s="20" t="s">
        <v>534</v>
      </c>
      <c r="F1502" s="20" t="s">
        <v>645</v>
      </c>
    </row>
    <row r="1503">
      <c r="A1503" s="26">
        <v>44857.55458471065</v>
      </c>
      <c r="B1503" s="20" t="s">
        <v>345</v>
      </c>
      <c r="C1503" s="20">
        <v>36.0</v>
      </c>
      <c r="D1503" s="20" t="s">
        <v>2144</v>
      </c>
      <c r="E1503" s="20" t="s">
        <v>585</v>
      </c>
      <c r="F1503" s="20" t="s">
        <v>645</v>
      </c>
    </row>
    <row r="1504">
      <c r="A1504" s="26">
        <v>44857.554887349535</v>
      </c>
      <c r="B1504" s="20" t="s">
        <v>556</v>
      </c>
      <c r="C1504" s="20">
        <v>729.0</v>
      </c>
      <c r="D1504" s="20" t="s">
        <v>2144</v>
      </c>
      <c r="E1504" s="20" t="s">
        <v>585</v>
      </c>
      <c r="F1504" s="20" t="s">
        <v>645</v>
      </c>
    </row>
    <row r="1505">
      <c r="A1505" s="26">
        <v>44857.55511059028</v>
      </c>
      <c r="B1505" s="20" t="s">
        <v>556</v>
      </c>
      <c r="C1505" s="20">
        <v>572.0</v>
      </c>
      <c r="D1505" s="20" t="s">
        <v>2144</v>
      </c>
      <c r="E1505" s="20" t="s">
        <v>40</v>
      </c>
      <c r="F1505" s="20" t="s">
        <v>645</v>
      </c>
    </row>
    <row r="1506">
      <c r="A1506" s="26">
        <v>44857.555377592595</v>
      </c>
      <c r="B1506" s="20" t="s">
        <v>556</v>
      </c>
      <c r="C1506" s="20">
        <v>543.0</v>
      </c>
      <c r="D1506" s="20" t="s">
        <v>2144</v>
      </c>
      <c r="E1506" s="20" t="s">
        <v>585</v>
      </c>
      <c r="F1506" s="20" t="s">
        <v>645</v>
      </c>
    </row>
    <row r="1507">
      <c r="A1507" s="26">
        <v>44857.55568480324</v>
      </c>
      <c r="B1507" s="20" t="s">
        <v>556</v>
      </c>
      <c r="C1507" s="20">
        <v>643.0</v>
      </c>
      <c r="D1507" s="20" t="s">
        <v>2144</v>
      </c>
      <c r="E1507" s="20" t="s">
        <v>585</v>
      </c>
      <c r="F1507" s="20" t="s">
        <v>645</v>
      </c>
    </row>
    <row r="1508">
      <c r="A1508" s="26">
        <v>44861.58079245371</v>
      </c>
      <c r="B1508" s="20" t="s">
        <v>163</v>
      </c>
      <c r="C1508" s="20">
        <v>544.0</v>
      </c>
      <c r="D1508" s="20" t="s">
        <v>2259</v>
      </c>
      <c r="E1508" s="20" t="s">
        <v>40</v>
      </c>
      <c r="F1508" s="20" t="s">
        <v>455</v>
      </c>
    </row>
    <row r="1509">
      <c r="A1509" s="26">
        <v>44861.581504375004</v>
      </c>
      <c r="B1509" s="20" t="s">
        <v>163</v>
      </c>
      <c r="C1509" s="20">
        <v>565.0</v>
      </c>
      <c r="D1509" s="20" t="s">
        <v>2259</v>
      </c>
      <c r="E1509" s="20" t="s">
        <v>40</v>
      </c>
      <c r="F1509" s="20" t="s">
        <v>455</v>
      </c>
    </row>
    <row r="1510">
      <c r="A1510" s="26">
        <v>44861.58232642361</v>
      </c>
      <c r="B1510" s="20" t="s">
        <v>163</v>
      </c>
      <c r="C1510" s="20">
        <v>1260.0</v>
      </c>
      <c r="D1510" s="20" t="s">
        <v>2259</v>
      </c>
      <c r="E1510" s="20" t="s">
        <v>40</v>
      </c>
      <c r="F1510" s="20" t="s">
        <v>455</v>
      </c>
    </row>
    <row r="1511">
      <c r="A1511" s="26">
        <v>44861.58293260417</v>
      </c>
      <c r="B1511" s="20" t="s">
        <v>163</v>
      </c>
      <c r="C1511" s="20">
        <v>1275.0</v>
      </c>
      <c r="D1511" s="20" t="s">
        <v>2259</v>
      </c>
      <c r="E1511" s="20" t="s">
        <v>40</v>
      </c>
      <c r="F1511" s="20" t="s">
        <v>455</v>
      </c>
    </row>
    <row r="1512">
      <c r="A1512" s="26">
        <v>44864.65159460648</v>
      </c>
      <c r="B1512" s="20" t="s">
        <v>193</v>
      </c>
      <c r="C1512" s="20">
        <v>151.0</v>
      </c>
      <c r="D1512" s="20" t="s">
        <v>2282</v>
      </c>
      <c r="E1512" s="20" t="s">
        <v>684</v>
      </c>
      <c r="F1512" s="20" t="s">
        <v>455</v>
      </c>
    </row>
    <row r="1513">
      <c r="A1513" s="26">
        <v>44864.652123935186</v>
      </c>
      <c r="B1513" s="20" t="s">
        <v>464</v>
      </c>
      <c r="C1513" s="20">
        <v>633.0</v>
      </c>
      <c r="D1513" s="20" t="s">
        <v>2144</v>
      </c>
      <c r="E1513" s="20" t="s">
        <v>40</v>
      </c>
      <c r="F1513" s="20" t="s">
        <v>455</v>
      </c>
    </row>
    <row r="1514">
      <c r="A1514" s="26">
        <v>44864.6523622338</v>
      </c>
      <c r="B1514" s="20" t="s">
        <v>193</v>
      </c>
      <c r="C1514" s="20">
        <v>353.0</v>
      </c>
      <c r="D1514" s="20" t="s">
        <v>2144</v>
      </c>
      <c r="E1514" s="20" t="s">
        <v>40</v>
      </c>
      <c r="F1514" s="20" t="s">
        <v>455</v>
      </c>
    </row>
    <row r="1515">
      <c r="A1515" s="26">
        <v>44864.652740081016</v>
      </c>
      <c r="B1515" s="20" t="s">
        <v>191</v>
      </c>
      <c r="C1515" s="20">
        <v>622.0</v>
      </c>
      <c r="D1515" s="20" t="s">
        <v>2144</v>
      </c>
      <c r="E1515" s="20" t="s">
        <v>40</v>
      </c>
      <c r="F1515" s="20" t="s">
        <v>455</v>
      </c>
    </row>
    <row r="1516">
      <c r="A1516" s="26">
        <v>44864.653297129626</v>
      </c>
      <c r="B1516" s="20" t="s">
        <v>193</v>
      </c>
      <c r="C1516" s="20">
        <v>789.0</v>
      </c>
      <c r="D1516" s="20" t="s">
        <v>2144</v>
      </c>
      <c r="E1516" s="20" t="s">
        <v>587</v>
      </c>
      <c r="F1516" s="20" t="s">
        <v>455</v>
      </c>
    </row>
    <row r="1517">
      <c r="A1517" s="26">
        <v>44864.65371644676</v>
      </c>
      <c r="B1517" s="20" t="s">
        <v>191</v>
      </c>
      <c r="C1517" s="20">
        <v>714.0</v>
      </c>
      <c r="D1517" s="20" t="s">
        <v>2144</v>
      </c>
      <c r="E1517" s="20" t="s">
        <v>587</v>
      </c>
      <c r="F1517" s="20" t="s">
        <v>455</v>
      </c>
    </row>
    <row r="1518">
      <c r="A1518" s="26">
        <v>44864.654179641206</v>
      </c>
      <c r="B1518" s="20" t="s">
        <v>191</v>
      </c>
      <c r="C1518" s="20">
        <v>661.0</v>
      </c>
      <c r="D1518" s="20" t="s">
        <v>2144</v>
      </c>
      <c r="E1518" s="20" t="s">
        <v>587</v>
      </c>
      <c r="F1518" s="20" t="s">
        <v>455</v>
      </c>
    </row>
    <row r="1519">
      <c r="A1519" s="26">
        <v>44864.65437060186</v>
      </c>
      <c r="B1519" s="20" t="s">
        <v>193</v>
      </c>
      <c r="C1519" s="20">
        <v>662.0</v>
      </c>
      <c r="D1519" s="20" t="s">
        <v>2144</v>
      </c>
      <c r="E1519" s="20" t="s">
        <v>585</v>
      </c>
      <c r="F1519" s="20" t="s">
        <v>455</v>
      </c>
    </row>
    <row r="1520">
      <c r="A1520" s="26">
        <v>44864.65455900463</v>
      </c>
      <c r="B1520" s="20" t="s">
        <v>193</v>
      </c>
      <c r="C1520" s="20">
        <v>665.0</v>
      </c>
      <c r="D1520" s="20" t="s">
        <v>2144</v>
      </c>
      <c r="E1520" s="20" t="s">
        <v>585</v>
      </c>
      <c r="F1520" s="20" t="s">
        <v>455</v>
      </c>
    </row>
    <row r="1521">
      <c r="A1521" s="26">
        <v>44866.67804690972</v>
      </c>
      <c r="B1521" s="20" t="s">
        <v>661</v>
      </c>
      <c r="C1521" s="20">
        <v>1590.0</v>
      </c>
      <c r="D1521" s="20" t="s">
        <v>2306</v>
      </c>
      <c r="E1521" s="20" t="s">
        <v>40</v>
      </c>
      <c r="F1521" s="20" t="s">
        <v>449</v>
      </c>
    </row>
    <row r="1522">
      <c r="A1522" s="26">
        <v>44866.67953988426</v>
      </c>
      <c r="B1522" s="20" t="s">
        <v>661</v>
      </c>
      <c r="C1522" s="20">
        <v>1490.0</v>
      </c>
      <c r="D1522" s="20" t="s">
        <v>2306</v>
      </c>
      <c r="E1522" s="20" t="s">
        <v>40</v>
      </c>
      <c r="F1522" s="20" t="s">
        <v>449</v>
      </c>
    </row>
    <row r="1523">
      <c r="A1523" s="26">
        <v>44866.68561569444</v>
      </c>
      <c r="B1523" s="20" t="s">
        <v>661</v>
      </c>
      <c r="C1523" s="20">
        <v>1671.0</v>
      </c>
      <c r="D1523" s="20" t="s">
        <v>2307</v>
      </c>
      <c r="E1523" s="20" t="s">
        <v>40</v>
      </c>
      <c r="F1523" s="20" t="s">
        <v>449</v>
      </c>
    </row>
    <row r="1524">
      <c r="A1524" s="26">
        <v>44866.68908965278</v>
      </c>
      <c r="B1524" s="20" t="s">
        <v>661</v>
      </c>
      <c r="C1524" s="20">
        <v>1511.0</v>
      </c>
      <c r="D1524" s="20" t="s">
        <v>2307</v>
      </c>
      <c r="E1524" s="20" t="s">
        <v>40</v>
      </c>
      <c r="F1524" s="20" t="s">
        <v>449</v>
      </c>
    </row>
    <row r="1525">
      <c r="A1525" s="26">
        <v>44867.800980949076</v>
      </c>
      <c r="B1525" s="20" t="s">
        <v>345</v>
      </c>
      <c r="C1525" s="20">
        <v>513.0</v>
      </c>
      <c r="D1525" s="20" t="s">
        <v>2259</v>
      </c>
      <c r="E1525" s="20" t="s">
        <v>40</v>
      </c>
      <c r="F1525" s="20" t="s">
        <v>455</v>
      </c>
    </row>
    <row r="1526">
      <c r="A1526" s="26">
        <v>44867.801619375</v>
      </c>
      <c r="B1526" s="20" t="s">
        <v>345</v>
      </c>
      <c r="C1526" s="20">
        <v>1372.0</v>
      </c>
      <c r="D1526" s="20" t="s">
        <v>2259</v>
      </c>
      <c r="E1526" s="20" t="s">
        <v>40</v>
      </c>
      <c r="F1526" s="20" t="s">
        <v>455</v>
      </c>
    </row>
    <row r="1527">
      <c r="A1527" s="26">
        <v>44867.80202166666</v>
      </c>
      <c r="B1527" s="20" t="s">
        <v>345</v>
      </c>
      <c r="C1527" s="20">
        <v>1480.0</v>
      </c>
      <c r="D1527" s="20" t="s">
        <v>2259</v>
      </c>
      <c r="E1527" s="20" t="s">
        <v>40</v>
      </c>
      <c r="F1527" s="20" t="s">
        <v>455</v>
      </c>
    </row>
    <row r="1528">
      <c r="A1528" s="26">
        <v>44867.80231034722</v>
      </c>
      <c r="B1528" s="20" t="s">
        <v>345</v>
      </c>
      <c r="C1528" s="20">
        <v>573.0</v>
      </c>
      <c r="D1528" s="20" t="s">
        <v>2259</v>
      </c>
      <c r="E1528" s="20" t="s">
        <v>40</v>
      </c>
      <c r="F1528" s="20" t="s">
        <v>455</v>
      </c>
    </row>
    <row r="1529">
      <c r="A1529" s="26">
        <v>44867.802703124995</v>
      </c>
      <c r="B1529" s="20" t="s">
        <v>345</v>
      </c>
      <c r="C1529" s="20">
        <v>568.0</v>
      </c>
      <c r="D1529" s="20" t="s">
        <v>2259</v>
      </c>
      <c r="E1529" s="20" t="s">
        <v>40</v>
      </c>
      <c r="F1529" s="20" t="s">
        <v>455</v>
      </c>
    </row>
    <row r="1530">
      <c r="A1530" s="26">
        <v>44867.80299888889</v>
      </c>
      <c r="B1530" s="20" t="s">
        <v>345</v>
      </c>
      <c r="C1530" s="20">
        <v>590.0</v>
      </c>
      <c r="D1530" s="20" t="s">
        <v>2259</v>
      </c>
      <c r="E1530" s="20" t="s">
        <v>40</v>
      </c>
      <c r="F1530" s="20" t="s">
        <v>455</v>
      </c>
    </row>
    <row r="1531">
      <c r="A1531" s="26">
        <v>44867.80325753472</v>
      </c>
      <c r="B1531" s="20" t="s">
        <v>345</v>
      </c>
      <c r="C1531" s="20">
        <v>510.0</v>
      </c>
      <c r="D1531" s="20" t="s">
        <v>2259</v>
      </c>
      <c r="E1531" s="20" t="s">
        <v>40</v>
      </c>
      <c r="F1531" s="20" t="s">
        <v>455</v>
      </c>
    </row>
    <row r="1532">
      <c r="A1532" s="26">
        <v>44867.803507951394</v>
      </c>
      <c r="B1532" s="20" t="s">
        <v>345</v>
      </c>
      <c r="C1532" s="20">
        <v>518.0</v>
      </c>
      <c r="D1532" s="20" t="s">
        <v>2259</v>
      </c>
      <c r="E1532" s="20" t="s">
        <v>40</v>
      </c>
      <c r="F1532" s="20" t="s">
        <v>455</v>
      </c>
    </row>
    <row r="1533">
      <c r="A1533" s="26">
        <v>44870.49493313658</v>
      </c>
      <c r="B1533" s="20" t="s">
        <v>345</v>
      </c>
      <c r="C1533" s="20">
        <v>918.0</v>
      </c>
      <c r="D1533" s="20" t="s">
        <v>2144</v>
      </c>
      <c r="E1533" s="20" t="s">
        <v>602</v>
      </c>
      <c r="F1533" s="20" t="s">
        <v>455</v>
      </c>
    </row>
    <row r="1534">
      <c r="A1534" s="26">
        <v>44870.49516923611</v>
      </c>
      <c r="B1534" s="20" t="s">
        <v>345</v>
      </c>
      <c r="C1534" s="20">
        <v>960.0</v>
      </c>
      <c r="D1534" s="20" t="s">
        <v>2144</v>
      </c>
      <c r="E1534" s="20" t="s">
        <v>587</v>
      </c>
      <c r="F1534" s="20" t="s">
        <v>455</v>
      </c>
    </row>
    <row r="1535">
      <c r="A1535" s="26">
        <v>44870.67386112269</v>
      </c>
      <c r="B1535" s="20" t="s">
        <v>614</v>
      </c>
      <c r="C1535" s="20">
        <v>720.0</v>
      </c>
      <c r="D1535" s="20" t="s">
        <v>2144</v>
      </c>
      <c r="E1535" s="20" t="s">
        <v>40</v>
      </c>
      <c r="F1535" s="20" t="s">
        <v>590</v>
      </c>
    </row>
    <row r="1536">
      <c r="A1536" s="26">
        <v>44870.67433929398</v>
      </c>
      <c r="B1536" s="20" t="s">
        <v>614</v>
      </c>
      <c r="C1536" s="20">
        <v>642.0</v>
      </c>
      <c r="D1536" s="20" t="s">
        <v>2144</v>
      </c>
      <c r="E1536" s="20" t="s">
        <v>585</v>
      </c>
      <c r="F1536" s="20" t="s">
        <v>590</v>
      </c>
    </row>
    <row r="1537">
      <c r="A1537" s="26">
        <v>44870.67466344907</v>
      </c>
      <c r="B1537" s="20" t="s">
        <v>614</v>
      </c>
      <c r="C1537" s="20">
        <v>652.0</v>
      </c>
      <c r="D1537" s="20" t="s">
        <v>2144</v>
      </c>
      <c r="E1537" s="20" t="s">
        <v>585</v>
      </c>
      <c r="F1537" s="20" t="s">
        <v>590</v>
      </c>
    </row>
    <row r="1538">
      <c r="A1538" s="26">
        <v>44870.6750460301</v>
      </c>
      <c r="B1538" s="20" t="s">
        <v>614</v>
      </c>
      <c r="C1538" s="20">
        <v>725.0</v>
      </c>
      <c r="D1538" s="20" t="s">
        <v>2144</v>
      </c>
      <c r="E1538" s="20" t="s">
        <v>585</v>
      </c>
      <c r="F1538" s="20" t="s">
        <v>590</v>
      </c>
    </row>
    <row r="1539">
      <c r="A1539" s="26">
        <v>44870.764522627316</v>
      </c>
      <c r="B1539" s="20" t="s">
        <v>55</v>
      </c>
      <c r="C1539" s="20">
        <v>255.0</v>
      </c>
      <c r="D1539" s="20" t="s">
        <v>2144</v>
      </c>
      <c r="E1539" s="20" t="s">
        <v>585</v>
      </c>
      <c r="F1539" s="20" t="s">
        <v>455</v>
      </c>
    </row>
    <row r="1540">
      <c r="A1540" s="26">
        <v>44870.764787928245</v>
      </c>
      <c r="B1540" s="20" t="s">
        <v>55</v>
      </c>
      <c r="C1540" s="20">
        <v>1052.0</v>
      </c>
      <c r="D1540" s="20" t="s">
        <v>2144</v>
      </c>
      <c r="E1540" s="20" t="s">
        <v>585</v>
      </c>
      <c r="F1540" s="20" t="s">
        <v>455</v>
      </c>
    </row>
    <row r="1541">
      <c r="A1541" s="26">
        <v>44870.76508596065</v>
      </c>
      <c r="B1541" s="20" t="s">
        <v>55</v>
      </c>
      <c r="C1541" s="20">
        <v>594.0</v>
      </c>
      <c r="D1541" s="20" t="s">
        <v>2144</v>
      </c>
      <c r="E1541" s="20" t="s">
        <v>602</v>
      </c>
      <c r="F1541" s="20" t="s">
        <v>657</v>
      </c>
    </row>
    <row r="1542">
      <c r="A1542" s="26">
        <v>44870.76557725694</v>
      </c>
      <c r="B1542" s="20" t="s">
        <v>55</v>
      </c>
      <c r="C1542" s="20">
        <v>798.0</v>
      </c>
      <c r="D1542" s="20" t="s">
        <v>2144</v>
      </c>
      <c r="E1542" s="20" t="s">
        <v>602</v>
      </c>
      <c r="F1542" s="20" t="s">
        <v>657</v>
      </c>
    </row>
    <row r="1543">
      <c r="A1543" s="26">
        <v>44870.765874467594</v>
      </c>
      <c r="B1543" s="20" t="s">
        <v>55</v>
      </c>
      <c r="C1543" s="20">
        <v>1184.0</v>
      </c>
      <c r="D1543" s="20" t="s">
        <v>2144</v>
      </c>
      <c r="E1543" s="20" t="s">
        <v>602</v>
      </c>
      <c r="F1543" s="20" t="s">
        <v>657</v>
      </c>
    </row>
    <row r="1544">
      <c r="A1544" s="26">
        <v>44870.76690015046</v>
      </c>
      <c r="B1544" s="20" t="s">
        <v>55</v>
      </c>
      <c r="C1544" s="20">
        <v>930.0</v>
      </c>
      <c r="D1544" s="20" t="s">
        <v>2144</v>
      </c>
      <c r="E1544" s="20" t="s">
        <v>602</v>
      </c>
      <c r="F1544" s="20" t="s">
        <v>657</v>
      </c>
    </row>
    <row r="1545">
      <c r="A1545" s="26">
        <v>44870.76715943287</v>
      </c>
      <c r="B1545" s="20" t="s">
        <v>55</v>
      </c>
      <c r="C1545" s="20">
        <v>447.0</v>
      </c>
      <c r="D1545" s="20" t="s">
        <v>2144</v>
      </c>
      <c r="E1545" s="20" t="s">
        <v>602</v>
      </c>
      <c r="F1545" s="20" t="s">
        <v>657</v>
      </c>
    </row>
    <row r="1546">
      <c r="A1546" s="26">
        <v>44871.51955708333</v>
      </c>
      <c r="B1546" s="20" t="s">
        <v>366</v>
      </c>
      <c r="C1546" s="20">
        <v>153.0</v>
      </c>
      <c r="D1546" s="20" t="s">
        <v>65</v>
      </c>
      <c r="E1546" s="20" t="s">
        <v>534</v>
      </c>
      <c r="F1546" s="20" t="s">
        <v>455</v>
      </c>
    </row>
    <row r="1547">
      <c r="A1547" s="26">
        <v>44871.521592199075</v>
      </c>
      <c r="B1547" s="20" t="s">
        <v>366</v>
      </c>
      <c r="C1547" s="20">
        <v>648.0</v>
      </c>
      <c r="D1547" s="20" t="s">
        <v>2144</v>
      </c>
      <c r="E1547" s="20" t="s">
        <v>587</v>
      </c>
      <c r="F1547" s="20" t="s">
        <v>455</v>
      </c>
    </row>
    <row r="1548">
      <c r="A1548" s="26">
        <v>44871.52264888889</v>
      </c>
      <c r="B1548" s="20" t="s">
        <v>366</v>
      </c>
      <c r="C1548" s="20">
        <v>316.0</v>
      </c>
      <c r="D1548" s="20" t="s">
        <v>2144</v>
      </c>
      <c r="E1548" s="20" t="s">
        <v>585</v>
      </c>
      <c r="F1548" s="20" t="s">
        <v>590</v>
      </c>
    </row>
    <row r="1549">
      <c r="A1549" s="26">
        <v>44871.52318556713</v>
      </c>
      <c r="B1549" s="20" t="s">
        <v>366</v>
      </c>
      <c r="C1549" s="20">
        <v>611.0</v>
      </c>
      <c r="D1549" s="20" t="s">
        <v>2144</v>
      </c>
      <c r="E1549" s="20" t="s">
        <v>40</v>
      </c>
      <c r="F1549" s="20" t="s">
        <v>455</v>
      </c>
    </row>
    <row r="1550">
      <c r="A1550" s="28">
        <v>44874.0</v>
      </c>
      <c r="B1550" s="20" t="s">
        <v>345</v>
      </c>
      <c r="C1550" s="20">
        <v>511.0</v>
      </c>
      <c r="D1550" s="20" t="s">
        <v>2259</v>
      </c>
      <c r="E1550" s="20" t="s">
        <v>40</v>
      </c>
      <c r="F1550" s="20" t="s">
        <v>590</v>
      </c>
    </row>
    <row r="1551">
      <c r="A1551" s="26">
        <v>44874.56220609954</v>
      </c>
      <c r="B1551" s="20" t="s">
        <v>366</v>
      </c>
      <c r="C1551" s="20">
        <v>534.0</v>
      </c>
      <c r="D1551" s="20" t="s">
        <v>2259</v>
      </c>
      <c r="E1551" s="20" t="s">
        <v>40</v>
      </c>
      <c r="F1551" s="20" t="s">
        <v>590</v>
      </c>
    </row>
    <row r="1552">
      <c r="A1552" s="26">
        <v>44874.56433940972</v>
      </c>
      <c r="B1552" s="20" t="s">
        <v>366</v>
      </c>
      <c r="C1552" s="20">
        <v>1413.0</v>
      </c>
      <c r="D1552" s="20" t="s">
        <v>2259</v>
      </c>
      <c r="E1552" s="20" t="s">
        <v>40</v>
      </c>
      <c r="F1552" s="20" t="s">
        <v>590</v>
      </c>
    </row>
    <row r="1553">
      <c r="A1553" s="26">
        <v>44874.64343162037</v>
      </c>
      <c r="B1553" s="20" t="s">
        <v>366</v>
      </c>
      <c r="C1553" s="20">
        <v>1364.0</v>
      </c>
      <c r="D1553" s="20" t="s">
        <v>2259</v>
      </c>
      <c r="E1553" s="20" t="s">
        <v>40</v>
      </c>
      <c r="F1553" s="20" t="s">
        <v>590</v>
      </c>
    </row>
    <row r="1554">
      <c r="A1554" s="26">
        <v>44874.643922511576</v>
      </c>
      <c r="B1554" s="20" t="s">
        <v>366</v>
      </c>
      <c r="C1554" s="20">
        <v>527.0</v>
      </c>
      <c r="D1554" s="20" t="s">
        <v>2259</v>
      </c>
      <c r="E1554" s="20" t="s">
        <v>40</v>
      </c>
      <c r="F1554" s="20" t="s">
        <v>590</v>
      </c>
    </row>
    <row r="1555">
      <c r="A1555" s="26">
        <v>44874.644722337966</v>
      </c>
      <c r="B1555" s="20" t="s">
        <v>366</v>
      </c>
      <c r="C1555" s="20">
        <v>533.0</v>
      </c>
      <c r="D1555" s="20" t="s">
        <v>2259</v>
      </c>
      <c r="E1555" s="20" t="s">
        <v>40</v>
      </c>
      <c r="F1555" s="20" t="s">
        <v>590</v>
      </c>
    </row>
    <row r="1556">
      <c r="A1556" s="26">
        <v>44878.518527673616</v>
      </c>
      <c r="B1556" s="20" t="s">
        <v>191</v>
      </c>
      <c r="C1556" s="20">
        <v>548.0</v>
      </c>
      <c r="D1556" s="20" t="s">
        <v>2144</v>
      </c>
      <c r="E1556" s="20" t="s">
        <v>40</v>
      </c>
      <c r="F1556" s="20" t="s">
        <v>516</v>
      </c>
    </row>
    <row r="1557">
      <c r="A1557" s="26">
        <v>44878.519948506946</v>
      </c>
      <c r="B1557" s="20" t="s">
        <v>193</v>
      </c>
      <c r="C1557" s="20">
        <v>299.0</v>
      </c>
      <c r="D1557" s="20" t="s">
        <v>2144</v>
      </c>
      <c r="E1557" s="20" t="s">
        <v>585</v>
      </c>
      <c r="F1557" s="20" t="s">
        <v>516</v>
      </c>
    </row>
    <row r="1558">
      <c r="A1558" s="26">
        <v>44878.52697568287</v>
      </c>
      <c r="B1558" s="20" t="s">
        <v>193</v>
      </c>
      <c r="C1558" s="20">
        <v>922.0</v>
      </c>
      <c r="D1558" s="20" t="s">
        <v>2144</v>
      </c>
      <c r="E1558" s="20" t="s">
        <v>587</v>
      </c>
      <c r="F1558" s="20" t="s">
        <v>516</v>
      </c>
    </row>
    <row r="1559">
      <c r="A1559" s="26">
        <v>44878.5320731713</v>
      </c>
      <c r="B1559" s="20" t="s">
        <v>193</v>
      </c>
      <c r="C1559" s="20">
        <v>537.0</v>
      </c>
      <c r="D1559" s="20" t="s">
        <v>2144</v>
      </c>
      <c r="E1559" s="20" t="s">
        <v>587</v>
      </c>
      <c r="F1559" s="20" t="s">
        <v>516</v>
      </c>
    </row>
    <row r="1560">
      <c r="A1560" s="26">
        <v>44878.537484456014</v>
      </c>
      <c r="B1560" s="20" t="s">
        <v>193</v>
      </c>
      <c r="C1560" s="20">
        <v>689.0</v>
      </c>
      <c r="D1560" s="20" t="s">
        <v>2144</v>
      </c>
      <c r="E1560" s="20" t="s">
        <v>585</v>
      </c>
      <c r="F1560" s="20" t="s">
        <v>516</v>
      </c>
    </row>
    <row r="1561">
      <c r="A1561" s="26">
        <v>44878.58951158565</v>
      </c>
      <c r="B1561" s="20" t="s">
        <v>193</v>
      </c>
      <c r="C1561" s="20">
        <v>466.0</v>
      </c>
      <c r="D1561" s="20" t="s">
        <v>2144</v>
      </c>
      <c r="E1561" s="20" t="s">
        <v>76</v>
      </c>
      <c r="F1561" s="20" t="s">
        <v>516</v>
      </c>
    </row>
    <row r="1562">
      <c r="A1562" s="26">
        <v>44880.655125185185</v>
      </c>
      <c r="B1562" s="20" t="s">
        <v>614</v>
      </c>
      <c r="C1562" s="20">
        <v>1033.0</v>
      </c>
      <c r="D1562" s="20" t="s">
        <v>663</v>
      </c>
      <c r="E1562" s="20" t="s">
        <v>651</v>
      </c>
      <c r="F1562" s="20" t="s">
        <v>449</v>
      </c>
    </row>
    <row r="1563">
      <c r="A1563" s="26">
        <v>44880.65559672454</v>
      </c>
      <c r="B1563" s="20" t="s">
        <v>614</v>
      </c>
      <c r="C1563" s="20">
        <v>1049.0</v>
      </c>
      <c r="D1563" s="20" t="s">
        <v>663</v>
      </c>
      <c r="E1563" s="20" t="s">
        <v>651</v>
      </c>
      <c r="F1563" s="20" t="s">
        <v>449</v>
      </c>
    </row>
    <row r="1564">
      <c r="A1564" s="26">
        <v>44880.65603532408</v>
      </c>
      <c r="B1564" s="20" t="s">
        <v>614</v>
      </c>
      <c r="C1564" s="20">
        <v>936.0</v>
      </c>
      <c r="D1564" s="20" t="s">
        <v>663</v>
      </c>
      <c r="E1564" s="20" t="s">
        <v>651</v>
      </c>
      <c r="F1564" s="20" t="s">
        <v>455</v>
      </c>
    </row>
    <row r="1565">
      <c r="A1565" s="26">
        <v>44880.6566766551</v>
      </c>
      <c r="B1565" s="20" t="s">
        <v>614</v>
      </c>
      <c r="C1565" s="20">
        <v>1130.0</v>
      </c>
      <c r="D1565" s="20" t="s">
        <v>663</v>
      </c>
      <c r="E1565" s="20" t="s">
        <v>651</v>
      </c>
      <c r="F1565" s="20" t="s">
        <v>449</v>
      </c>
    </row>
    <row r="1566">
      <c r="A1566" s="26">
        <v>44880.65713137732</v>
      </c>
      <c r="B1566" s="20" t="s">
        <v>614</v>
      </c>
      <c r="C1566" s="20">
        <v>1051.0</v>
      </c>
      <c r="D1566" s="20" t="s">
        <v>703</v>
      </c>
      <c r="E1566" s="20" t="s">
        <v>651</v>
      </c>
      <c r="F1566" s="20" t="s">
        <v>449</v>
      </c>
    </row>
    <row r="1567">
      <c r="A1567" s="26">
        <v>44880.657555115744</v>
      </c>
      <c r="B1567" s="20" t="s">
        <v>614</v>
      </c>
      <c r="C1567" s="20">
        <v>846.0</v>
      </c>
      <c r="D1567" s="20" t="s">
        <v>663</v>
      </c>
      <c r="E1567" s="20" t="s">
        <v>651</v>
      </c>
      <c r="F1567" s="20" t="s">
        <v>449</v>
      </c>
    </row>
    <row r="1568">
      <c r="A1568" s="26">
        <v>44880.657940254634</v>
      </c>
      <c r="B1568" s="20" t="s">
        <v>614</v>
      </c>
      <c r="C1568" s="20">
        <v>1038.0</v>
      </c>
      <c r="D1568" s="20" t="s">
        <v>663</v>
      </c>
      <c r="E1568" s="20" t="s">
        <v>651</v>
      </c>
      <c r="F1568" s="20" t="s">
        <v>449</v>
      </c>
    </row>
    <row r="1569">
      <c r="A1569" s="26">
        <v>44880.658475625</v>
      </c>
      <c r="B1569" s="20" t="s">
        <v>614</v>
      </c>
      <c r="C1569" s="20">
        <v>1031.0</v>
      </c>
      <c r="D1569" s="20" t="s">
        <v>663</v>
      </c>
      <c r="E1569" s="20" t="s">
        <v>651</v>
      </c>
      <c r="F1569" s="20" t="s">
        <v>449</v>
      </c>
    </row>
    <row r="1570">
      <c r="A1570" s="26">
        <v>44880.65884956019</v>
      </c>
      <c r="B1570" s="20" t="s">
        <v>614</v>
      </c>
      <c r="C1570" s="20">
        <v>1034.0</v>
      </c>
      <c r="D1570" s="20" t="s">
        <v>663</v>
      </c>
      <c r="E1570" s="20" t="s">
        <v>651</v>
      </c>
      <c r="F1570" s="20" t="s">
        <v>600</v>
      </c>
    </row>
    <row r="1571">
      <c r="A1571" s="26">
        <v>44880.659221215275</v>
      </c>
      <c r="B1571" s="20" t="s">
        <v>614</v>
      </c>
      <c r="C1571" s="20">
        <v>1235.0</v>
      </c>
      <c r="D1571" s="20" t="s">
        <v>663</v>
      </c>
      <c r="E1571" s="20" t="s">
        <v>651</v>
      </c>
      <c r="F1571" s="20" t="s">
        <v>600</v>
      </c>
    </row>
    <row r="1572">
      <c r="A1572" s="26">
        <v>44880.659634814816</v>
      </c>
      <c r="B1572" s="20" t="s">
        <v>614</v>
      </c>
      <c r="C1572" s="20">
        <v>943.0</v>
      </c>
      <c r="D1572" s="20" t="s">
        <v>663</v>
      </c>
      <c r="E1572" s="20" t="s">
        <v>651</v>
      </c>
      <c r="F1572" s="20" t="s">
        <v>600</v>
      </c>
    </row>
    <row r="1573">
      <c r="A1573" s="26">
        <v>44880.66493164352</v>
      </c>
      <c r="B1573" s="20" t="s">
        <v>614</v>
      </c>
      <c r="C1573" s="20">
        <v>1134.0</v>
      </c>
      <c r="D1573" s="20" t="s">
        <v>663</v>
      </c>
      <c r="E1573" s="20" t="s">
        <v>651</v>
      </c>
      <c r="F1573" s="20" t="s">
        <v>600</v>
      </c>
    </row>
    <row r="1574">
      <c r="A1574" s="26">
        <v>44880.66535909723</v>
      </c>
      <c r="B1574" s="20" t="s">
        <v>614</v>
      </c>
      <c r="C1574" s="20">
        <v>1244.0</v>
      </c>
      <c r="D1574" s="20" t="s">
        <v>663</v>
      </c>
      <c r="E1574" s="20" t="s">
        <v>651</v>
      </c>
      <c r="F1574" s="20" t="s">
        <v>600</v>
      </c>
    </row>
    <row r="1575">
      <c r="A1575" s="26">
        <v>44880.66692613426</v>
      </c>
      <c r="B1575" s="20" t="s">
        <v>614</v>
      </c>
      <c r="C1575" s="20">
        <v>1212.0</v>
      </c>
      <c r="D1575" s="20" t="s">
        <v>663</v>
      </c>
      <c r="E1575" s="20" t="s">
        <v>651</v>
      </c>
      <c r="F1575" s="20" t="s">
        <v>600</v>
      </c>
    </row>
    <row r="1576">
      <c r="A1576" s="26">
        <v>44880.669283842595</v>
      </c>
      <c r="B1576" s="20" t="s">
        <v>614</v>
      </c>
      <c r="C1576" s="20">
        <v>964.0</v>
      </c>
      <c r="D1576" s="20" t="s">
        <v>663</v>
      </c>
      <c r="E1576" s="20" t="s">
        <v>651</v>
      </c>
      <c r="F1576" s="20" t="s">
        <v>600</v>
      </c>
    </row>
    <row r="1577">
      <c r="A1577" s="26">
        <v>44880.67397581019</v>
      </c>
      <c r="B1577" s="20" t="s">
        <v>614</v>
      </c>
      <c r="C1577" s="20">
        <v>1234.0</v>
      </c>
      <c r="D1577" s="20" t="s">
        <v>663</v>
      </c>
      <c r="E1577" s="20" t="s">
        <v>651</v>
      </c>
      <c r="F1577" s="20" t="s">
        <v>600</v>
      </c>
    </row>
    <row r="1578">
      <c r="A1578" s="26">
        <v>44880.67596835648</v>
      </c>
      <c r="B1578" s="20" t="s">
        <v>614</v>
      </c>
      <c r="C1578" s="20">
        <v>328.0</v>
      </c>
      <c r="D1578" s="20" t="s">
        <v>2259</v>
      </c>
      <c r="E1578" s="20" t="s">
        <v>40</v>
      </c>
      <c r="F1578" s="20" t="s">
        <v>590</v>
      </c>
    </row>
    <row r="1579">
      <c r="A1579" s="26">
        <v>44880.67943957176</v>
      </c>
      <c r="B1579" s="20" t="s">
        <v>345</v>
      </c>
      <c r="C1579" s="20">
        <v>962.0</v>
      </c>
      <c r="D1579" s="20" t="s">
        <v>663</v>
      </c>
      <c r="E1579" s="20" t="s">
        <v>656</v>
      </c>
      <c r="F1579" s="20" t="s">
        <v>455</v>
      </c>
    </row>
    <row r="1580">
      <c r="A1580" s="26">
        <v>44880.68087673611</v>
      </c>
      <c r="B1580" s="20" t="s">
        <v>345</v>
      </c>
      <c r="C1580" s="20">
        <v>1026.0</v>
      </c>
      <c r="D1580" s="20" t="s">
        <v>663</v>
      </c>
      <c r="E1580" s="20" t="s">
        <v>656</v>
      </c>
      <c r="F1580" s="20" t="s">
        <v>455</v>
      </c>
    </row>
    <row r="1581">
      <c r="A1581" s="26">
        <v>44880.681069791666</v>
      </c>
      <c r="B1581" s="20" t="s">
        <v>345</v>
      </c>
      <c r="C1581" s="20">
        <v>1034.0</v>
      </c>
      <c r="D1581" s="20" t="s">
        <v>663</v>
      </c>
      <c r="E1581" s="20" t="s">
        <v>656</v>
      </c>
      <c r="F1581" s="20" t="s">
        <v>455</v>
      </c>
    </row>
    <row r="1582">
      <c r="A1582" s="26">
        <v>44880.68579791667</v>
      </c>
      <c r="B1582" s="20" t="s">
        <v>345</v>
      </c>
      <c r="C1582" s="20">
        <v>998.0</v>
      </c>
      <c r="D1582" s="20" t="s">
        <v>663</v>
      </c>
      <c r="E1582" s="20" t="s">
        <v>656</v>
      </c>
      <c r="F1582" s="20" t="s">
        <v>455</v>
      </c>
    </row>
    <row r="1583">
      <c r="A1583" s="26">
        <v>44880.686367291666</v>
      </c>
      <c r="B1583" s="20" t="s">
        <v>345</v>
      </c>
      <c r="C1583" s="20">
        <v>1163.0</v>
      </c>
      <c r="D1583" s="20" t="s">
        <v>663</v>
      </c>
      <c r="E1583" s="20" t="s">
        <v>656</v>
      </c>
      <c r="F1583" s="20" t="s">
        <v>455</v>
      </c>
    </row>
    <row r="1584">
      <c r="A1584" s="26">
        <v>44880.688360092594</v>
      </c>
      <c r="B1584" s="20" t="s">
        <v>345</v>
      </c>
      <c r="C1584" s="20">
        <v>1224.0</v>
      </c>
      <c r="D1584" s="20" t="s">
        <v>663</v>
      </c>
      <c r="E1584" s="20" t="s">
        <v>656</v>
      </c>
      <c r="F1584" s="20" t="s">
        <v>455</v>
      </c>
    </row>
    <row r="1585">
      <c r="A1585" s="26">
        <v>44880.69073266204</v>
      </c>
      <c r="B1585" s="20" t="s">
        <v>345</v>
      </c>
      <c r="C1585" s="20">
        <v>1170.0</v>
      </c>
      <c r="D1585" s="20" t="s">
        <v>663</v>
      </c>
      <c r="E1585" s="20" t="s">
        <v>651</v>
      </c>
      <c r="F1585" s="20" t="s">
        <v>455</v>
      </c>
    </row>
    <row r="1586">
      <c r="A1586" s="26">
        <v>44880.69490530093</v>
      </c>
      <c r="B1586" s="20" t="s">
        <v>345</v>
      </c>
      <c r="C1586" s="20">
        <v>1124.0</v>
      </c>
      <c r="D1586" s="20" t="s">
        <v>663</v>
      </c>
      <c r="E1586" s="20" t="s">
        <v>656</v>
      </c>
      <c r="F1586" s="20" t="s">
        <v>455</v>
      </c>
    </row>
    <row r="1587">
      <c r="A1587" s="26">
        <v>44880.699080578706</v>
      </c>
      <c r="B1587" s="20" t="s">
        <v>614</v>
      </c>
      <c r="C1587" s="20">
        <v>578.0</v>
      </c>
      <c r="D1587" s="20" t="s">
        <v>2259</v>
      </c>
      <c r="E1587" s="20" t="s">
        <v>40</v>
      </c>
      <c r="F1587" s="20" t="s">
        <v>590</v>
      </c>
    </row>
    <row r="1588">
      <c r="A1588" s="26">
        <v>44883.5658666088</v>
      </c>
      <c r="B1588" s="20" t="s">
        <v>345</v>
      </c>
      <c r="C1588" s="20">
        <v>1509.0</v>
      </c>
      <c r="D1588" s="20" t="s">
        <v>2283</v>
      </c>
      <c r="E1588" s="20" t="s">
        <v>646</v>
      </c>
      <c r="F1588" s="20" t="s">
        <v>455</v>
      </c>
    </row>
    <row r="1589">
      <c r="A1589" s="26">
        <v>44883.566129178245</v>
      </c>
      <c r="B1589" s="20" t="s">
        <v>345</v>
      </c>
      <c r="C1589" s="20">
        <v>1507.0</v>
      </c>
      <c r="D1589" s="20" t="s">
        <v>2283</v>
      </c>
      <c r="E1589" s="20" t="s">
        <v>646</v>
      </c>
      <c r="F1589" s="20" t="s">
        <v>455</v>
      </c>
    </row>
    <row r="1590">
      <c r="A1590" s="26">
        <v>44883.56633706018</v>
      </c>
      <c r="B1590" s="20" t="s">
        <v>345</v>
      </c>
      <c r="C1590" s="20">
        <v>1505.0</v>
      </c>
      <c r="D1590" s="20" t="s">
        <v>2283</v>
      </c>
      <c r="E1590" s="20" t="s">
        <v>646</v>
      </c>
      <c r="F1590" s="20" t="s">
        <v>455</v>
      </c>
    </row>
    <row r="1591">
      <c r="A1591" s="26">
        <v>44883.56653780093</v>
      </c>
      <c r="B1591" s="20" t="s">
        <v>345</v>
      </c>
      <c r="C1591" s="20">
        <v>1509.0</v>
      </c>
      <c r="D1591" s="20" t="s">
        <v>2283</v>
      </c>
      <c r="E1591" s="20" t="s">
        <v>646</v>
      </c>
      <c r="F1591" s="20" t="s">
        <v>455</v>
      </c>
    </row>
    <row r="1592">
      <c r="A1592" s="26">
        <v>44883.566734328706</v>
      </c>
      <c r="B1592" s="20" t="s">
        <v>345</v>
      </c>
      <c r="C1592" s="20">
        <v>1512.0</v>
      </c>
      <c r="D1592" s="20" t="s">
        <v>2283</v>
      </c>
      <c r="E1592" s="20" t="s">
        <v>646</v>
      </c>
      <c r="F1592" s="20" t="s">
        <v>455</v>
      </c>
    </row>
    <row r="1593">
      <c r="A1593" s="26">
        <v>44883.56694547454</v>
      </c>
      <c r="B1593" s="20" t="s">
        <v>345</v>
      </c>
      <c r="C1593" s="20">
        <v>1511.0</v>
      </c>
      <c r="D1593" s="20" t="s">
        <v>2283</v>
      </c>
      <c r="E1593" s="20" t="s">
        <v>646</v>
      </c>
      <c r="F1593" s="20" t="s">
        <v>455</v>
      </c>
    </row>
    <row r="1594">
      <c r="A1594" s="26">
        <v>44883.567182280094</v>
      </c>
      <c r="B1594" s="20" t="s">
        <v>345</v>
      </c>
      <c r="C1594" s="20">
        <v>1514.0</v>
      </c>
      <c r="D1594" s="20" t="s">
        <v>2283</v>
      </c>
      <c r="E1594" s="20" t="s">
        <v>646</v>
      </c>
      <c r="F1594" s="20" t="s">
        <v>455</v>
      </c>
    </row>
    <row r="1595">
      <c r="A1595" s="26">
        <v>44883.567371192126</v>
      </c>
      <c r="B1595" s="20" t="s">
        <v>345</v>
      </c>
      <c r="C1595" s="20">
        <v>1509.0</v>
      </c>
      <c r="D1595" s="20" t="s">
        <v>2283</v>
      </c>
      <c r="E1595" s="20" t="s">
        <v>646</v>
      </c>
      <c r="F1595" s="20" t="s">
        <v>455</v>
      </c>
    </row>
    <row r="1596">
      <c r="A1596" s="26">
        <v>44883.567543680554</v>
      </c>
      <c r="B1596" s="20" t="s">
        <v>345</v>
      </c>
      <c r="C1596" s="20">
        <v>1506.0</v>
      </c>
      <c r="D1596" s="20" t="s">
        <v>2283</v>
      </c>
      <c r="E1596" s="20" t="s">
        <v>646</v>
      </c>
      <c r="F1596" s="20" t="s">
        <v>455</v>
      </c>
    </row>
    <row r="1597">
      <c r="A1597" s="26">
        <v>44883.63866965278</v>
      </c>
      <c r="B1597" s="20" t="s">
        <v>366</v>
      </c>
      <c r="C1597" s="20">
        <v>225.0</v>
      </c>
      <c r="D1597" s="20" t="s">
        <v>2308</v>
      </c>
      <c r="E1597" s="20" t="s">
        <v>2309</v>
      </c>
      <c r="F1597" s="20" t="s">
        <v>455</v>
      </c>
    </row>
    <row r="1598">
      <c r="A1598" s="26">
        <v>44883.640010601855</v>
      </c>
      <c r="B1598" s="20" t="s">
        <v>366</v>
      </c>
      <c r="C1598" s="20">
        <v>190.0</v>
      </c>
      <c r="D1598" s="20" t="s">
        <v>2308</v>
      </c>
      <c r="E1598" s="20" t="s">
        <v>699</v>
      </c>
      <c r="F1598" s="20" t="s">
        <v>455</v>
      </c>
    </row>
    <row r="1599">
      <c r="A1599" s="26">
        <v>44883.64126550926</v>
      </c>
      <c r="B1599" s="20" t="s">
        <v>366</v>
      </c>
      <c r="C1599" s="20">
        <v>100.0</v>
      </c>
      <c r="D1599" s="20" t="s">
        <v>2270</v>
      </c>
      <c r="E1599" s="20" t="s">
        <v>2310</v>
      </c>
      <c r="F1599" s="20" t="s">
        <v>455</v>
      </c>
    </row>
    <row r="1600">
      <c r="A1600" s="26">
        <v>44884.51884295139</v>
      </c>
      <c r="B1600" s="20" t="s">
        <v>614</v>
      </c>
      <c r="C1600" s="20">
        <v>491.0</v>
      </c>
      <c r="D1600" s="20" t="s">
        <v>2259</v>
      </c>
      <c r="E1600" s="20" t="s">
        <v>40</v>
      </c>
      <c r="F1600" s="20" t="s">
        <v>600</v>
      </c>
    </row>
    <row r="1601">
      <c r="A1601" s="26">
        <v>44884.519179571755</v>
      </c>
      <c r="B1601" s="20" t="s">
        <v>614</v>
      </c>
      <c r="C1601" s="20">
        <v>1460.0</v>
      </c>
      <c r="D1601" s="20" t="s">
        <v>2259</v>
      </c>
      <c r="E1601" s="20" t="s">
        <v>40</v>
      </c>
      <c r="F1601" s="20" t="s">
        <v>600</v>
      </c>
    </row>
    <row r="1602">
      <c r="A1602" s="26">
        <v>44884.52000827546</v>
      </c>
      <c r="B1602" s="20" t="s">
        <v>614</v>
      </c>
      <c r="C1602" s="20">
        <v>695.0</v>
      </c>
      <c r="D1602" s="20" t="s">
        <v>2259</v>
      </c>
      <c r="E1602" s="20" t="s">
        <v>40</v>
      </c>
      <c r="F1602" s="20" t="s">
        <v>600</v>
      </c>
    </row>
    <row r="1603">
      <c r="A1603" s="26">
        <v>44885.55134449074</v>
      </c>
      <c r="B1603" s="20" t="s">
        <v>345</v>
      </c>
      <c r="C1603" s="20">
        <v>203.0</v>
      </c>
      <c r="D1603" s="20" t="s">
        <v>2311</v>
      </c>
      <c r="E1603" s="20" t="s">
        <v>58</v>
      </c>
      <c r="F1603" s="20" t="s">
        <v>455</v>
      </c>
    </row>
    <row r="1604">
      <c r="A1604" s="26">
        <v>44885.5517912963</v>
      </c>
      <c r="B1604" s="20" t="s">
        <v>345</v>
      </c>
      <c r="C1604" s="20">
        <v>702.0</v>
      </c>
      <c r="D1604" s="20" t="s">
        <v>2144</v>
      </c>
      <c r="E1604" s="20" t="s">
        <v>587</v>
      </c>
      <c r="F1604" s="20" t="s">
        <v>455</v>
      </c>
    </row>
    <row r="1605">
      <c r="A1605" s="26">
        <v>44885.55200038194</v>
      </c>
      <c r="B1605" s="20" t="s">
        <v>345</v>
      </c>
      <c r="C1605" s="20">
        <v>822.0</v>
      </c>
      <c r="D1605" s="20" t="s">
        <v>2144</v>
      </c>
      <c r="E1605" s="20" t="s">
        <v>40</v>
      </c>
      <c r="F1605" s="20" t="s">
        <v>455</v>
      </c>
    </row>
    <row r="1606">
      <c r="A1606" s="26">
        <v>44885.552189131944</v>
      </c>
      <c r="B1606" s="20" t="s">
        <v>345</v>
      </c>
      <c r="C1606" s="20">
        <v>942.0</v>
      </c>
      <c r="D1606" s="20" t="s">
        <v>2144</v>
      </c>
      <c r="E1606" s="20" t="s">
        <v>587</v>
      </c>
      <c r="F1606" s="20" t="s">
        <v>455</v>
      </c>
    </row>
    <row r="1607">
      <c r="A1607" s="26">
        <v>44885.55717975694</v>
      </c>
      <c r="B1607" s="20" t="s">
        <v>345</v>
      </c>
      <c r="C1607" s="20">
        <v>727.0</v>
      </c>
      <c r="D1607" s="20" t="s">
        <v>2144</v>
      </c>
      <c r="E1607" s="20" t="s">
        <v>585</v>
      </c>
      <c r="F1607" s="20" t="s">
        <v>455</v>
      </c>
    </row>
    <row r="1608">
      <c r="A1608" s="26">
        <v>44885.57742483796</v>
      </c>
      <c r="B1608" s="20" t="s">
        <v>345</v>
      </c>
      <c r="C1608" s="20">
        <v>675.0</v>
      </c>
      <c r="D1608" s="20" t="s">
        <v>2144</v>
      </c>
      <c r="E1608" s="20" t="s">
        <v>585</v>
      </c>
      <c r="F1608" s="20" t="s">
        <v>455</v>
      </c>
    </row>
    <row r="1609">
      <c r="A1609" s="26">
        <v>44887.61706758101</v>
      </c>
      <c r="B1609" s="20" t="s">
        <v>345</v>
      </c>
      <c r="C1609" s="20">
        <v>734.0</v>
      </c>
      <c r="D1609" s="20" t="s">
        <v>2144</v>
      </c>
      <c r="E1609" s="20" t="s">
        <v>587</v>
      </c>
      <c r="F1609" s="20" t="s">
        <v>455</v>
      </c>
    </row>
    <row r="1610">
      <c r="A1610" s="26">
        <v>44887.61728763889</v>
      </c>
      <c r="B1610" s="20" t="s">
        <v>345</v>
      </c>
      <c r="C1610" s="20">
        <v>327.0</v>
      </c>
      <c r="D1610" s="20" t="s">
        <v>2144</v>
      </c>
      <c r="E1610" s="20" t="s">
        <v>602</v>
      </c>
      <c r="F1610" s="20" t="s">
        <v>455</v>
      </c>
    </row>
    <row r="1611">
      <c r="A1611" s="26">
        <v>44887.61751856482</v>
      </c>
      <c r="B1611" s="20" t="s">
        <v>345</v>
      </c>
      <c r="C1611" s="20">
        <v>341.0</v>
      </c>
      <c r="D1611" s="20" t="s">
        <v>2144</v>
      </c>
      <c r="E1611" s="20" t="s">
        <v>585</v>
      </c>
      <c r="F1611" s="20" t="s">
        <v>455</v>
      </c>
    </row>
    <row r="1612">
      <c r="A1612" s="26">
        <v>44887.61773791666</v>
      </c>
      <c r="B1612" s="20" t="s">
        <v>345</v>
      </c>
      <c r="C1612" s="20">
        <v>299.0</v>
      </c>
      <c r="D1612" s="20" t="s">
        <v>2144</v>
      </c>
      <c r="E1612" s="20" t="s">
        <v>587</v>
      </c>
      <c r="F1612" s="20" t="s">
        <v>455</v>
      </c>
    </row>
    <row r="1613">
      <c r="A1613" s="28">
        <v>44892.0</v>
      </c>
      <c r="B1613" s="20" t="s">
        <v>345</v>
      </c>
      <c r="C1613" s="20">
        <v>40.0</v>
      </c>
      <c r="D1613" s="20" t="s">
        <v>2312</v>
      </c>
      <c r="E1613" s="20" t="s">
        <v>534</v>
      </c>
      <c r="F1613" s="20" t="s">
        <v>590</v>
      </c>
    </row>
    <row r="1614">
      <c r="A1614" s="26">
        <v>44892.55708756944</v>
      </c>
      <c r="B1614" s="20" t="s">
        <v>366</v>
      </c>
      <c r="C1614" s="20">
        <v>675.0</v>
      </c>
      <c r="D1614" s="20" t="s">
        <v>2144</v>
      </c>
      <c r="E1614" s="20" t="s">
        <v>40</v>
      </c>
      <c r="F1614" s="20" t="s">
        <v>455</v>
      </c>
    </row>
    <row r="1615">
      <c r="A1615" s="26">
        <v>44892.557849930556</v>
      </c>
      <c r="B1615" s="20" t="s">
        <v>690</v>
      </c>
      <c r="C1615" s="20">
        <v>435.0</v>
      </c>
      <c r="D1615" s="20" t="s">
        <v>2144</v>
      </c>
      <c r="E1615" s="20" t="s">
        <v>585</v>
      </c>
      <c r="F1615" s="20" t="s">
        <v>455</v>
      </c>
    </row>
    <row r="1616">
      <c r="A1616" s="26">
        <v>44892.55828240741</v>
      </c>
      <c r="B1616" s="20" t="s">
        <v>690</v>
      </c>
      <c r="C1616" s="20">
        <v>639.0</v>
      </c>
      <c r="D1616" s="20" t="s">
        <v>2144</v>
      </c>
      <c r="E1616" s="20" t="s">
        <v>585</v>
      </c>
      <c r="F1616" s="20" t="s">
        <v>455</v>
      </c>
    </row>
    <row r="1617">
      <c r="A1617" s="26">
        <v>44892.558774652774</v>
      </c>
      <c r="B1617" s="20" t="s">
        <v>690</v>
      </c>
      <c r="C1617" s="20">
        <v>641.0</v>
      </c>
      <c r="D1617" s="20" t="s">
        <v>2144</v>
      </c>
      <c r="E1617" s="20" t="s">
        <v>585</v>
      </c>
      <c r="F1617" s="20" t="s">
        <v>455</v>
      </c>
    </row>
    <row r="1618">
      <c r="A1618" s="26">
        <v>44892.55922650463</v>
      </c>
      <c r="B1618" s="20" t="s">
        <v>690</v>
      </c>
      <c r="C1618" s="20">
        <v>394.0</v>
      </c>
      <c r="D1618" s="20" t="s">
        <v>2144</v>
      </c>
      <c r="E1618" s="20" t="s">
        <v>40</v>
      </c>
      <c r="F1618" s="20" t="s">
        <v>455</v>
      </c>
    </row>
    <row r="1619">
      <c r="A1619" s="26">
        <v>44895.807215740744</v>
      </c>
      <c r="B1619" s="20" t="s">
        <v>345</v>
      </c>
      <c r="C1619" s="20">
        <v>242.0</v>
      </c>
      <c r="D1619" s="20" t="s">
        <v>2144</v>
      </c>
      <c r="E1619" s="20" t="s">
        <v>602</v>
      </c>
      <c r="F1619" s="20" t="s">
        <v>455</v>
      </c>
    </row>
    <row r="1620">
      <c r="A1620" s="26">
        <v>44895.80756071759</v>
      </c>
      <c r="B1620" s="20" t="s">
        <v>345</v>
      </c>
      <c r="C1620" s="20">
        <v>566.0</v>
      </c>
      <c r="D1620" s="20" t="s">
        <v>2144</v>
      </c>
      <c r="E1620" s="20" t="s">
        <v>587</v>
      </c>
      <c r="F1620" s="20" t="s">
        <v>455</v>
      </c>
    </row>
    <row r="1621">
      <c r="A1621" s="26">
        <v>44895.80784508101</v>
      </c>
      <c r="B1621" s="20" t="s">
        <v>345</v>
      </c>
      <c r="C1621" s="20">
        <v>306.0</v>
      </c>
      <c r="D1621" s="20" t="s">
        <v>2144</v>
      </c>
      <c r="E1621" s="20" t="s">
        <v>587</v>
      </c>
      <c r="F1621" s="20" t="s">
        <v>455</v>
      </c>
    </row>
    <row r="1622">
      <c r="A1622" s="26">
        <v>44895.80820049769</v>
      </c>
      <c r="B1622" s="20" t="s">
        <v>556</v>
      </c>
      <c r="C1622" s="20">
        <v>163.0</v>
      </c>
      <c r="D1622" s="20" t="s">
        <v>2144</v>
      </c>
      <c r="E1622" s="20" t="s">
        <v>76</v>
      </c>
      <c r="F1622" s="20" t="s">
        <v>474</v>
      </c>
    </row>
    <row r="1623">
      <c r="A1623" s="26">
        <v>44895.80858650463</v>
      </c>
      <c r="B1623" s="20" t="s">
        <v>345</v>
      </c>
      <c r="C1623" s="20">
        <v>176.0</v>
      </c>
      <c r="D1623" s="20" t="s">
        <v>2144</v>
      </c>
      <c r="E1623" s="20" t="s">
        <v>76</v>
      </c>
      <c r="F1623" s="20" t="s">
        <v>517</v>
      </c>
    </row>
    <row r="1624">
      <c r="A1624" s="26">
        <v>44895.80881403935</v>
      </c>
      <c r="B1624" s="20" t="s">
        <v>345</v>
      </c>
      <c r="C1624" s="20">
        <v>351.0</v>
      </c>
      <c r="D1624" s="20" t="s">
        <v>2144</v>
      </c>
      <c r="E1624" s="20" t="s">
        <v>585</v>
      </c>
      <c r="F1624" s="20" t="s">
        <v>455</v>
      </c>
    </row>
    <row r="1625">
      <c r="A1625" s="26">
        <v>44895.80902144676</v>
      </c>
      <c r="B1625" s="20" t="s">
        <v>345</v>
      </c>
      <c r="C1625" s="20">
        <v>767.0</v>
      </c>
      <c r="D1625" s="20" t="s">
        <v>2144</v>
      </c>
      <c r="E1625" s="20" t="s">
        <v>585</v>
      </c>
      <c r="F1625" s="20" t="s">
        <v>455</v>
      </c>
    </row>
    <row r="1626">
      <c r="A1626" s="26">
        <v>44895.809583078706</v>
      </c>
      <c r="B1626" s="20" t="s">
        <v>345</v>
      </c>
      <c r="C1626" s="20">
        <v>403.0</v>
      </c>
      <c r="D1626" s="20" t="s">
        <v>2144</v>
      </c>
      <c r="E1626" s="20" t="s">
        <v>602</v>
      </c>
      <c r="F1626" s="20" t="s">
        <v>455</v>
      </c>
    </row>
    <row r="1627">
      <c r="A1627" s="26">
        <v>44895.81440012732</v>
      </c>
      <c r="B1627" s="20" t="s">
        <v>345</v>
      </c>
      <c r="C1627" s="20">
        <v>250.0</v>
      </c>
      <c r="D1627" s="20" t="s">
        <v>2144</v>
      </c>
      <c r="E1627" s="20" t="s">
        <v>602</v>
      </c>
      <c r="F1627" s="20" t="s">
        <v>455</v>
      </c>
    </row>
    <row r="1628">
      <c r="A1628" s="28">
        <v>44898.0</v>
      </c>
      <c r="B1628" s="20" t="s">
        <v>345</v>
      </c>
      <c r="C1628" s="20">
        <v>702.0</v>
      </c>
      <c r="D1628" s="20" t="s">
        <v>2144</v>
      </c>
      <c r="E1628" s="20" t="s">
        <v>587</v>
      </c>
      <c r="F1628" s="20" t="s">
        <v>590</v>
      </c>
    </row>
    <row r="1629">
      <c r="A1629" s="28">
        <v>44898.0</v>
      </c>
      <c r="B1629" s="20" t="s">
        <v>345</v>
      </c>
      <c r="C1629" s="20">
        <v>548.0</v>
      </c>
      <c r="D1629" s="20" t="s">
        <v>2144</v>
      </c>
      <c r="E1629" s="20" t="s">
        <v>587</v>
      </c>
      <c r="F1629" s="20" t="s">
        <v>590</v>
      </c>
    </row>
    <row r="1630">
      <c r="A1630" s="28">
        <v>44898.0</v>
      </c>
      <c r="B1630" s="20" t="s">
        <v>345</v>
      </c>
      <c r="C1630" s="20">
        <v>258.0</v>
      </c>
      <c r="D1630" s="20" t="s">
        <v>2144</v>
      </c>
      <c r="E1630" s="20" t="s">
        <v>76</v>
      </c>
      <c r="F1630" s="20" t="s">
        <v>590</v>
      </c>
    </row>
    <row r="1631">
      <c r="A1631" s="28">
        <v>44898.0</v>
      </c>
      <c r="B1631" s="20" t="s">
        <v>345</v>
      </c>
      <c r="C1631" s="20">
        <v>177.0</v>
      </c>
      <c r="D1631" s="20" t="s">
        <v>2144</v>
      </c>
      <c r="E1631" s="20" t="s">
        <v>76</v>
      </c>
      <c r="F1631" s="20" t="s">
        <v>590</v>
      </c>
    </row>
    <row r="1632">
      <c r="A1632" s="28">
        <v>44898.0</v>
      </c>
      <c r="B1632" s="20" t="s">
        <v>345</v>
      </c>
      <c r="C1632" s="20">
        <v>184.0</v>
      </c>
      <c r="D1632" s="20" t="s">
        <v>2144</v>
      </c>
      <c r="E1632" s="20" t="s">
        <v>76</v>
      </c>
      <c r="F1632" s="20" t="s">
        <v>590</v>
      </c>
    </row>
    <row r="1633">
      <c r="A1633" s="28">
        <v>44899.0</v>
      </c>
      <c r="B1633" s="20" t="s">
        <v>345</v>
      </c>
      <c r="C1633" s="20">
        <v>949.0</v>
      </c>
      <c r="D1633" s="20" t="s">
        <v>2144</v>
      </c>
      <c r="E1633" s="20" t="s">
        <v>587</v>
      </c>
      <c r="F1633" s="20" t="s">
        <v>590</v>
      </c>
    </row>
    <row r="1634">
      <c r="A1634" s="28">
        <v>44899.0</v>
      </c>
      <c r="B1634" s="20" t="s">
        <v>345</v>
      </c>
      <c r="C1634" s="20">
        <v>45.0</v>
      </c>
      <c r="D1634" s="20" t="s">
        <v>2305</v>
      </c>
      <c r="E1634" s="20" t="s">
        <v>138</v>
      </c>
      <c r="F1634" s="20" t="s">
        <v>590</v>
      </c>
    </row>
    <row r="1635">
      <c r="A1635" s="28">
        <v>44899.0</v>
      </c>
      <c r="B1635" s="20" t="s">
        <v>345</v>
      </c>
      <c r="C1635" s="20">
        <v>1118.0</v>
      </c>
      <c r="D1635" s="20" t="s">
        <v>2144</v>
      </c>
      <c r="E1635" s="20" t="s">
        <v>40</v>
      </c>
      <c r="F1635" s="20" t="s">
        <v>590</v>
      </c>
    </row>
    <row r="1636">
      <c r="A1636" s="28">
        <v>44899.0</v>
      </c>
      <c r="B1636" s="20" t="s">
        <v>345</v>
      </c>
      <c r="C1636" s="20">
        <v>716.0</v>
      </c>
      <c r="D1636" s="20" t="s">
        <v>2144</v>
      </c>
      <c r="E1636" s="20" t="s">
        <v>585</v>
      </c>
      <c r="F1636" s="20" t="s">
        <v>590</v>
      </c>
    </row>
    <row r="1637">
      <c r="A1637" s="26">
        <v>44900.701073668984</v>
      </c>
      <c r="B1637" s="20" t="s">
        <v>55</v>
      </c>
      <c r="C1637" s="20">
        <v>357.0</v>
      </c>
      <c r="D1637" s="20" t="s">
        <v>2144</v>
      </c>
      <c r="E1637" s="20" t="s">
        <v>602</v>
      </c>
      <c r="F1637" s="20" t="s">
        <v>2313</v>
      </c>
    </row>
    <row r="1638">
      <c r="A1638" s="26">
        <v>44900.701357060185</v>
      </c>
      <c r="B1638" s="20" t="s">
        <v>55</v>
      </c>
      <c r="C1638" s="20">
        <v>450.0</v>
      </c>
      <c r="D1638" s="20" t="s">
        <v>2144</v>
      </c>
      <c r="E1638" s="20" t="s">
        <v>602</v>
      </c>
      <c r="F1638" s="20" t="s">
        <v>657</v>
      </c>
    </row>
    <row r="1639">
      <c r="A1639" s="26">
        <v>44900.70166938657</v>
      </c>
      <c r="B1639" s="20" t="s">
        <v>55</v>
      </c>
      <c r="C1639" s="20">
        <v>374.0</v>
      </c>
      <c r="D1639" s="20" t="s">
        <v>2144</v>
      </c>
      <c r="E1639" s="20" t="s">
        <v>602</v>
      </c>
      <c r="F1639" s="20" t="s">
        <v>657</v>
      </c>
    </row>
    <row r="1640">
      <c r="A1640" s="26">
        <v>44900.701933668985</v>
      </c>
      <c r="B1640" s="20" t="s">
        <v>55</v>
      </c>
      <c r="C1640" s="20">
        <v>980.0</v>
      </c>
      <c r="D1640" s="20" t="s">
        <v>2144</v>
      </c>
      <c r="E1640" s="20" t="s">
        <v>602</v>
      </c>
      <c r="F1640" s="20" t="s">
        <v>657</v>
      </c>
    </row>
    <row r="1641">
      <c r="A1641" s="26">
        <v>44900.70218354167</v>
      </c>
      <c r="B1641" s="20" t="s">
        <v>55</v>
      </c>
      <c r="C1641" s="20">
        <v>749.0</v>
      </c>
      <c r="D1641" s="20" t="s">
        <v>2144</v>
      </c>
      <c r="E1641" s="20" t="s">
        <v>602</v>
      </c>
      <c r="F1641" s="20" t="s">
        <v>657</v>
      </c>
    </row>
    <row r="1642">
      <c r="A1642" s="26">
        <v>44900.702507662034</v>
      </c>
      <c r="B1642" s="20" t="s">
        <v>55</v>
      </c>
      <c r="C1642" s="20">
        <v>698.0</v>
      </c>
      <c r="D1642" s="20" t="s">
        <v>2144</v>
      </c>
      <c r="E1642" s="20" t="s">
        <v>602</v>
      </c>
      <c r="F1642" s="20" t="s">
        <v>657</v>
      </c>
    </row>
    <row r="1643">
      <c r="A1643" s="26">
        <v>44902.57671037037</v>
      </c>
      <c r="B1643" s="20" t="s">
        <v>690</v>
      </c>
      <c r="C1643" s="20">
        <v>767.0</v>
      </c>
      <c r="D1643" s="20" t="s">
        <v>2144</v>
      </c>
      <c r="E1643" s="20" t="s">
        <v>587</v>
      </c>
      <c r="F1643" s="20" t="s">
        <v>590</v>
      </c>
    </row>
    <row r="1644">
      <c r="A1644" s="26">
        <v>44902.577609872686</v>
      </c>
      <c r="B1644" s="20" t="s">
        <v>690</v>
      </c>
      <c r="C1644" s="20">
        <v>324.0</v>
      </c>
      <c r="D1644" s="20" t="s">
        <v>2144</v>
      </c>
      <c r="E1644" s="20" t="s">
        <v>2314</v>
      </c>
      <c r="F1644" s="20" t="s">
        <v>590</v>
      </c>
    </row>
    <row r="1645">
      <c r="A1645" s="26">
        <v>44902.57809616898</v>
      </c>
      <c r="B1645" s="20" t="s">
        <v>690</v>
      </c>
      <c r="C1645" s="20">
        <v>743.0</v>
      </c>
      <c r="D1645" s="20" t="s">
        <v>2144</v>
      </c>
      <c r="E1645" s="20" t="s">
        <v>602</v>
      </c>
      <c r="F1645" s="20" t="s">
        <v>590</v>
      </c>
    </row>
    <row r="1646">
      <c r="A1646" s="26">
        <v>44902.58947767361</v>
      </c>
      <c r="B1646" s="20" t="s">
        <v>690</v>
      </c>
      <c r="C1646" s="20">
        <v>564.0</v>
      </c>
      <c r="D1646" s="20" t="s">
        <v>2144</v>
      </c>
      <c r="E1646" s="20" t="s">
        <v>602</v>
      </c>
      <c r="F1646" s="20" t="s">
        <v>590</v>
      </c>
    </row>
    <row r="1647">
      <c r="A1647" s="26">
        <v>44902.59056604167</v>
      </c>
      <c r="B1647" s="20" t="s">
        <v>690</v>
      </c>
      <c r="C1647" s="20">
        <v>790.0</v>
      </c>
      <c r="D1647" s="20" t="s">
        <v>2144</v>
      </c>
      <c r="E1647" s="20" t="s">
        <v>602</v>
      </c>
      <c r="F1647" s="20" t="s">
        <v>590</v>
      </c>
    </row>
    <row r="1648">
      <c r="A1648" s="26">
        <v>44902.59104858796</v>
      </c>
      <c r="B1648" s="20" t="s">
        <v>690</v>
      </c>
      <c r="C1648" s="20">
        <v>580.0</v>
      </c>
      <c r="D1648" s="20" t="s">
        <v>2144</v>
      </c>
      <c r="E1648" s="20" t="s">
        <v>602</v>
      </c>
      <c r="F1648" s="20" t="s">
        <v>590</v>
      </c>
    </row>
    <row r="1649">
      <c r="A1649" s="26">
        <v>44902.59231784722</v>
      </c>
      <c r="B1649" s="20" t="s">
        <v>690</v>
      </c>
      <c r="C1649" s="20">
        <v>830.0</v>
      </c>
      <c r="D1649" s="20" t="s">
        <v>2144</v>
      </c>
      <c r="E1649" s="20" t="s">
        <v>602</v>
      </c>
      <c r="F1649" s="20" t="s">
        <v>590</v>
      </c>
    </row>
    <row r="1650">
      <c r="A1650" s="26">
        <v>44902.59272920139</v>
      </c>
      <c r="B1650" s="20" t="s">
        <v>690</v>
      </c>
      <c r="C1650" s="20">
        <v>1149.0</v>
      </c>
      <c r="D1650" s="20" t="s">
        <v>2144</v>
      </c>
      <c r="E1650" s="20" t="s">
        <v>602</v>
      </c>
      <c r="F1650" s="20" t="s">
        <v>590</v>
      </c>
    </row>
    <row r="1651">
      <c r="A1651" s="26">
        <v>44902.593123935185</v>
      </c>
      <c r="B1651" s="20" t="s">
        <v>690</v>
      </c>
      <c r="C1651" s="20">
        <v>557.0</v>
      </c>
      <c r="D1651" s="20" t="s">
        <v>2144</v>
      </c>
      <c r="E1651" s="20" t="s">
        <v>602</v>
      </c>
      <c r="F1651" s="20" t="s">
        <v>590</v>
      </c>
    </row>
    <row r="1652">
      <c r="A1652" s="26">
        <v>44902.639961967594</v>
      </c>
      <c r="B1652" s="20" t="s">
        <v>690</v>
      </c>
      <c r="C1652" s="20">
        <v>494.0</v>
      </c>
      <c r="D1652" s="20" t="s">
        <v>2144</v>
      </c>
      <c r="E1652" s="20" t="s">
        <v>602</v>
      </c>
      <c r="F1652" s="20" t="s">
        <v>590</v>
      </c>
    </row>
    <row r="1653">
      <c r="A1653" s="26">
        <v>44902.64053709491</v>
      </c>
      <c r="B1653" s="20" t="s">
        <v>690</v>
      </c>
      <c r="C1653" s="20">
        <v>641.0</v>
      </c>
      <c r="D1653" s="20" t="s">
        <v>2144</v>
      </c>
      <c r="E1653" s="20" t="s">
        <v>602</v>
      </c>
      <c r="F1653" s="20" t="s">
        <v>590</v>
      </c>
    </row>
    <row r="1654">
      <c r="A1654" s="26">
        <v>44902.64094150463</v>
      </c>
      <c r="B1654" s="20" t="s">
        <v>690</v>
      </c>
      <c r="C1654" s="20">
        <v>565.0</v>
      </c>
      <c r="D1654" s="20" t="s">
        <v>2144</v>
      </c>
      <c r="E1654" s="20" t="s">
        <v>602</v>
      </c>
      <c r="F1654" s="20" t="s">
        <v>590</v>
      </c>
    </row>
    <row r="1655">
      <c r="A1655" s="26">
        <v>44906.62973746528</v>
      </c>
      <c r="B1655" s="20" t="s">
        <v>690</v>
      </c>
      <c r="C1655" s="20">
        <v>53.0</v>
      </c>
      <c r="D1655" s="20" t="s">
        <v>2315</v>
      </c>
      <c r="E1655" s="20" t="s">
        <v>2316</v>
      </c>
      <c r="F1655" s="20" t="s">
        <v>590</v>
      </c>
    </row>
    <row r="1656">
      <c r="A1656" s="26">
        <v>44906.63021965278</v>
      </c>
      <c r="B1656" s="20" t="s">
        <v>690</v>
      </c>
      <c r="C1656" s="20">
        <v>296.0</v>
      </c>
      <c r="D1656" s="20" t="s">
        <v>2144</v>
      </c>
      <c r="E1656" s="20" t="s">
        <v>40</v>
      </c>
      <c r="F1656" s="20" t="s">
        <v>590</v>
      </c>
    </row>
    <row r="1657">
      <c r="A1657" s="26">
        <v>44906.64655121528</v>
      </c>
      <c r="B1657" s="20" t="s">
        <v>690</v>
      </c>
      <c r="C1657" s="20">
        <v>587.0</v>
      </c>
      <c r="D1657" s="20" t="s">
        <v>2144</v>
      </c>
      <c r="E1657" s="20" t="s">
        <v>2317</v>
      </c>
      <c r="F1657" s="20" t="s">
        <v>590</v>
      </c>
    </row>
    <row r="1658">
      <c r="A1658" s="26">
        <v>44906.647071423606</v>
      </c>
      <c r="B1658" s="20" t="s">
        <v>690</v>
      </c>
      <c r="C1658" s="20">
        <v>210.0</v>
      </c>
      <c r="D1658" s="20" t="s">
        <v>2144</v>
      </c>
      <c r="E1658" s="20" t="s">
        <v>2274</v>
      </c>
      <c r="F1658" s="20" t="s">
        <v>590</v>
      </c>
    </row>
    <row r="1659">
      <c r="A1659" s="26">
        <v>44906.64747621528</v>
      </c>
      <c r="B1659" s="20" t="s">
        <v>690</v>
      </c>
      <c r="C1659" s="20">
        <v>914.0</v>
      </c>
      <c r="D1659" s="20" t="s">
        <v>2144</v>
      </c>
      <c r="E1659" s="20" t="s">
        <v>40</v>
      </c>
      <c r="F1659" s="20" t="s">
        <v>590</v>
      </c>
    </row>
    <row r="1660">
      <c r="A1660" s="26">
        <v>44906.64804465278</v>
      </c>
      <c r="B1660" s="20" t="s">
        <v>690</v>
      </c>
      <c r="C1660" s="20">
        <v>748.0</v>
      </c>
      <c r="D1660" s="20" t="s">
        <v>2144</v>
      </c>
      <c r="E1660" s="20" t="s">
        <v>585</v>
      </c>
      <c r="F1660" s="20" t="s">
        <v>590</v>
      </c>
    </row>
    <row r="1661">
      <c r="A1661" s="26">
        <v>44909.638453692125</v>
      </c>
      <c r="B1661" s="20" t="s">
        <v>345</v>
      </c>
      <c r="C1661" s="20">
        <v>575.0</v>
      </c>
      <c r="D1661" s="20" t="s">
        <v>2318</v>
      </c>
      <c r="E1661" s="20" t="s">
        <v>156</v>
      </c>
      <c r="F1661" s="20" t="s">
        <v>455</v>
      </c>
    </row>
    <row r="1662">
      <c r="A1662" s="26">
        <v>44910.68238403935</v>
      </c>
      <c r="B1662" s="20" t="s">
        <v>163</v>
      </c>
      <c r="C1662" s="20">
        <v>721.0</v>
      </c>
      <c r="D1662" s="20" t="s">
        <v>2318</v>
      </c>
      <c r="E1662" s="20" t="s">
        <v>40</v>
      </c>
      <c r="F1662" s="20" t="s">
        <v>455</v>
      </c>
    </row>
    <row r="1663">
      <c r="A1663" s="26">
        <v>44913.623786122684</v>
      </c>
      <c r="B1663" s="20" t="s">
        <v>366</v>
      </c>
      <c r="C1663" s="20">
        <v>771.0</v>
      </c>
      <c r="D1663" s="20" t="s">
        <v>2144</v>
      </c>
      <c r="E1663" s="20" t="s">
        <v>40</v>
      </c>
      <c r="F1663" s="20" t="s">
        <v>590</v>
      </c>
    </row>
    <row r="1664">
      <c r="A1664" s="26">
        <v>44913.62425783565</v>
      </c>
      <c r="B1664" s="20" t="s">
        <v>690</v>
      </c>
      <c r="C1664" s="20">
        <v>886.0</v>
      </c>
      <c r="D1664" s="20" t="s">
        <v>2144</v>
      </c>
      <c r="E1664" s="20" t="s">
        <v>587</v>
      </c>
      <c r="F1664" s="20" t="s">
        <v>590</v>
      </c>
    </row>
    <row r="1665">
      <c r="A1665" s="26">
        <v>44913.62583263889</v>
      </c>
      <c r="B1665" s="20" t="s">
        <v>690</v>
      </c>
      <c r="C1665" s="20">
        <v>1016.0</v>
      </c>
      <c r="D1665" s="20" t="s">
        <v>2144</v>
      </c>
      <c r="E1665" s="20" t="s">
        <v>2319</v>
      </c>
      <c r="F1665" s="20" t="s">
        <v>590</v>
      </c>
    </row>
    <row r="1666">
      <c r="A1666" s="26">
        <v>44913.62619767361</v>
      </c>
      <c r="B1666" s="20" t="s">
        <v>690</v>
      </c>
      <c r="C1666" s="20">
        <v>668.0</v>
      </c>
      <c r="D1666" s="20" t="s">
        <v>2144</v>
      </c>
      <c r="E1666" s="20" t="s">
        <v>2274</v>
      </c>
      <c r="F1666" s="20" t="s">
        <v>590</v>
      </c>
    </row>
    <row r="1667">
      <c r="A1667" s="26">
        <v>44913.62678805555</v>
      </c>
      <c r="B1667" s="20" t="s">
        <v>690</v>
      </c>
      <c r="C1667" s="20">
        <v>1001.0</v>
      </c>
      <c r="D1667" s="20" t="s">
        <v>2144</v>
      </c>
      <c r="E1667" s="20" t="s">
        <v>2314</v>
      </c>
      <c r="F1667" s="20" t="s">
        <v>590</v>
      </c>
    </row>
    <row r="1668">
      <c r="A1668" s="26">
        <v>44913.62726018518</v>
      </c>
      <c r="B1668" s="20" t="s">
        <v>690</v>
      </c>
      <c r="C1668" s="20">
        <v>38.0</v>
      </c>
      <c r="D1668" s="20" t="s">
        <v>2144</v>
      </c>
      <c r="E1668" s="20" t="s">
        <v>585</v>
      </c>
      <c r="F1668" s="20" t="s">
        <v>590</v>
      </c>
    </row>
    <row r="1669">
      <c r="A1669" s="26">
        <v>44913.628333217595</v>
      </c>
      <c r="B1669" s="20" t="s">
        <v>690</v>
      </c>
      <c r="C1669" s="20">
        <v>96.0</v>
      </c>
      <c r="D1669" s="20" t="s">
        <v>2320</v>
      </c>
      <c r="E1669" s="20" t="s">
        <v>524</v>
      </c>
      <c r="F1669" s="20" t="s">
        <v>590</v>
      </c>
    </row>
    <row r="1670">
      <c r="A1670" s="26">
        <v>44914.710115208334</v>
      </c>
      <c r="B1670" s="20" t="s">
        <v>55</v>
      </c>
      <c r="C1670" s="20">
        <v>745.0</v>
      </c>
      <c r="D1670" s="20" t="s">
        <v>2144</v>
      </c>
      <c r="E1670" s="20" t="s">
        <v>559</v>
      </c>
      <c r="F1670" s="20" t="s">
        <v>590</v>
      </c>
    </row>
    <row r="1671">
      <c r="A1671" s="26">
        <v>44914.71038532407</v>
      </c>
      <c r="B1671" s="20" t="s">
        <v>55</v>
      </c>
      <c r="C1671" s="20">
        <v>404.0</v>
      </c>
      <c r="D1671" s="20" t="s">
        <v>2144</v>
      </c>
      <c r="E1671" s="20" t="s">
        <v>40</v>
      </c>
      <c r="F1671" s="20" t="s">
        <v>455</v>
      </c>
    </row>
    <row r="1672">
      <c r="A1672" s="26">
        <v>44914.71072282408</v>
      </c>
      <c r="B1672" s="20" t="s">
        <v>55</v>
      </c>
      <c r="C1672" s="20">
        <v>1004.0</v>
      </c>
      <c r="D1672" s="20" t="s">
        <v>2144</v>
      </c>
      <c r="E1672" s="20" t="s">
        <v>602</v>
      </c>
      <c r="F1672" s="20" t="s">
        <v>455</v>
      </c>
    </row>
    <row r="1673">
      <c r="A1673" s="26">
        <v>44914.71171751157</v>
      </c>
      <c r="B1673" s="20" t="s">
        <v>55</v>
      </c>
      <c r="C1673" s="20">
        <v>893.0</v>
      </c>
      <c r="D1673" s="20" t="s">
        <v>2144</v>
      </c>
      <c r="E1673" s="20" t="s">
        <v>602</v>
      </c>
      <c r="F1673" s="20" t="s">
        <v>455</v>
      </c>
    </row>
    <row r="1674">
      <c r="A1674" s="26">
        <v>44914.71240336806</v>
      </c>
      <c r="B1674" s="20" t="s">
        <v>55</v>
      </c>
      <c r="C1674" s="20">
        <v>906.0</v>
      </c>
      <c r="D1674" s="20" t="s">
        <v>2144</v>
      </c>
      <c r="E1674" s="20" t="s">
        <v>593</v>
      </c>
      <c r="F1674" s="20" t="s">
        <v>455</v>
      </c>
    </row>
    <row r="1675">
      <c r="A1675" s="26">
        <v>44914.7129075</v>
      </c>
      <c r="B1675" s="20" t="s">
        <v>55</v>
      </c>
      <c r="C1675" s="20">
        <v>952.0</v>
      </c>
      <c r="D1675" s="20" t="s">
        <v>2144</v>
      </c>
      <c r="E1675" s="20" t="s">
        <v>2321</v>
      </c>
      <c r="F1675" s="20" t="s">
        <v>455</v>
      </c>
    </row>
    <row r="1676">
      <c r="A1676" s="26">
        <v>44914.713532118054</v>
      </c>
      <c r="B1676" s="20" t="s">
        <v>55</v>
      </c>
      <c r="C1676" s="20">
        <v>635.0</v>
      </c>
      <c r="D1676" s="20" t="s">
        <v>2144</v>
      </c>
      <c r="E1676" s="20" t="s">
        <v>467</v>
      </c>
      <c r="F1676" s="20" t="s">
        <v>455</v>
      </c>
    </row>
    <row r="1677">
      <c r="A1677" s="26">
        <v>44914.713996192135</v>
      </c>
      <c r="B1677" s="20" t="s">
        <v>55</v>
      </c>
      <c r="C1677" s="20">
        <v>1030.0</v>
      </c>
      <c r="D1677" s="20" t="s">
        <v>2144</v>
      </c>
      <c r="E1677" s="20" t="s">
        <v>559</v>
      </c>
      <c r="F1677" s="20" t="s">
        <v>455</v>
      </c>
    </row>
    <row r="1678">
      <c r="A1678" s="28">
        <v>44914.0</v>
      </c>
      <c r="B1678" s="20" t="s">
        <v>345</v>
      </c>
      <c r="C1678" s="20">
        <v>1195.0</v>
      </c>
      <c r="D1678" s="20" t="s">
        <v>2144</v>
      </c>
      <c r="E1678" s="20" t="s">
        <v>467</v>
      </c>
      <c r="F1678" s="20" t="s">
        <v>590</v>
      </c>
    </row>
    <row r="1679">
      <c r="A1679" s="26">
        <v>44914.714300555555</v>
      </c>
      <c r="B1679" s="20" t="s">
        <v>55</v>
      </c>
      <c r="C1679" s="20">
        <v>434.0</v>
      </c>
      <c r="D1679" s="20" t="s">
        <v>2144</v>
      </c>
      <c r="E1679" s="20" t="s">
        <v>585</v>
      </c>
      <c r="F1679" s="20" t="s">
        <v>455</v>
      </c>
    </row>
    <row r="1680">
      <c r="A1680" s="26">
        <v>44916.60925162037</v>
      </c>
      <c r="B1680" s="20" t="s">
        <v>345</v>
      </c>
      <c r="C1680" s="20">
        <v>13.0</v>
      </c>
      <c r="D1680" s="20" t="s">
        <v>2270</v>
      </c>
      <c r="E1680" s="20" t="s">
        <v>524</v>
      </c>
      <c r="F1680" s="20" t="s">
        <v>455</v>
      </c>
    </row>
    <row r="1681">
      <c r="A1681" s="26">
        <v>44922.60131414352</v>
      </c>
      <c r="B1681" s="20" t="s">
        <v>163</v>
      </c>
      <c r="C1681" s="20">
        <v>462.0</v>
      </c>
      <c r="D1681" s="20" t="s">
        <v>2322</v>
      </c>
      <c r="E1681" s="20" t="s">
        <v>2323</v>
      </c>
      <c r="F1681" s="20" t="s">
        <v>455</v>
      </c>
    </row>
    <row r="1682">
      <c r="A1682" s="26">
        <v>44922.6026946412</v>
      </c>
      <c r="B1682" s="20" t="s">
        <v>163</v>
      </c>
      <c r="C1682" s="20">
        <v>2085.0</v>
      </c>
      <c r="D1682" s="20" t="s">
        <v>2322</v>
      </c>
      <c r="E1682" s="20" t="s">
        <v>2314</v>
      </c>
      <c r="F1682" s="20" t="s">
        <v>590</v>
      </c>
    </row>
    <row r="1683">
      <c r="A1683" s="26">
        <v>44922.60351523148</v>
      </c>
      <c r="B1683" s="20" t="s">
        <v>163</v>
      </c>
      <c r="C1683" s="20">
        <v>443.0</v>
      </c>
      <c r="D1683" s="20" t="s">
        <v>2322</v>
      </c>
      <c r="E1683" s="20" t="s">
        <v>2314</v>
      </c>
      <c r="F1683" s="20" t="s">
        <v>590</v>
      </c>
    </row>
    <row r="1684">
      <c r="A1684" s="26">
        <v>44922.604468460646</v>
      </c>
      <c r="B1684" s="20" t="s">
        <v>163</v>
      </c>
      <c r="C1684" s="20">
        <v>188.0</v>
      </c>
      <c r="D1684" s="20" t="s">
        <v>2322</v>
      </c>
      <c r="E1684" s="20" t="s">
        <v>2314</v>
      </c>
      <c r="F1684" s="20" t="s">
        <v>590</v>
      </c>
    </row>
    <row r="1685">
      <c r="A1685" s="28">
        <v>44922.0</v>
      </c>
      <c r="B1685" s="20" t="s">
        <v>345</v>
      </c>
      <c r="C1685" s="20">
        <v>2305.0</v>
      </c>
      <c r="D1685" s="20" t="s">
        <v>2322</v>
      </c>
      <c r="E1685" s="20" t="s">
        <v>2314</v>
      </c>
      <c r="F1685" s="20" t="s">
        <v>590</v>
      </c>
    </row>
    <row r="1686">
      <c r="A1686" s="26">
        <v>44922.60556974537</v>
      </c>
      <c r="B1686" s="20" t="s">
        <v>163</v>
      </c>
      <c r="C1686" s="20">
        <v>2144.0</v>
      </c>
      <c r="D1686" s="20" t="s">
        <v>2322</v>
      </c>
      <c r="E1686" s="20" t="s">
        <v>2314</v>
      </c>
      <c r="F1686" s="20" t="s">
        <v>590</v>
      </c>
    </row>
    <row r="1687">
      <c r="A1687" s="26">
        <v>44922.60648984954</v>
      </c>
      <c r="B1687" s="20" t="s">
        <v>163</v>
      </c>
      <c r="C1687" s="20">
        <v>1770.0</v>
      </c>
      <c r="D1687" s="20" t="s">
        <v>2322</v>
      </c>
      <c r="E1687" s="20" t="s">
        <v>745</v>
      </c>
      <c r="F1687" s="20" t="s">
        <v>590</v>
      </c>
    </row>
    <row r="1688">
      <c r="A1688" s="26">
        <v>44922.60937478009</v>
      </c>
      <c r="B1688" s="20" t="s">
        <v>163</v>
      </c>
      <c r="C1688" s="20">
        <v>1801.0</v>
      </c>
      <c r="D1688" s="20" t="s">
        <v>2322</v>
      </c>
      <c r="E1688" s="20" t="s">
        <v>745</v>
      </c>
      <c r="F1688" s="20" t="s">
        <v>590</v>
      </c>
    </row>
    <row r="1689">
      <c r="A1689" s="28">
        <v>44922.0</v>
      </c>
      <c r="B1689" s="20" t="s">
        <v>345</v>
      </c>
      <c r="C1689" s="20">
        <v>1098.0</v>
      </c>
      <c r="D1689" s="20" t="s">
        <v>2322</v>
      </c>
      <c r="E1689" s="20" t="s">
        <v>36</v>
      </c>
      <c r="F1689" s="20" t="s">
        <v>590</v>
      </c>
    </row>
    <row r="1690">
      <c r="A1690" s="26">
        <v>44922.621153182874</v>
      </c>
      <c r="B1690" s="20" t="s">
        <v>163</v>
      </c>
      <c r="C1690" s="20">
        <v>2010.0</v>
      </c>
      <c r="D1690" s="20" t="s">
        <v>2322</v>
      </c>
      <c r="E1690" s="20" t="s">
        <v>745</v>
      </c>
      <c r="F1690" s="20" t="s">
        <v>590</v>
      </c>
    </row>
    <row r="1691">
      <c r="A1691" s="26">
        <v>44922.62194346065</v>
      </c>
      <c r="B1691" s="20" t="s">
        <v>163</v>
      </c>
      <c r="C1691" s="20">
        <v>35.0</v>
      </c>
      <c r="D1691" s="20" t="s">
        <v>2322</v>
      </c>
      <c r="E1691" s="20" t="s">
        <v>36</v>
      </c>
      <c r="F1691" s="20" t="s">
        <v>590</v>
      </c>
    </row>
    <row r="1692">
      <c r="A1692" s="26">
        <v>44922.62572931713</v>
      </c>
      <c r="B1692" s="20" t="s">
        <v>163</v>
      </c>
      <c r="C1692" s="20">
        <v>2023.0</v>
      </c>
      <c r="D1692" s="20" t="s">
        <v>2322</v>
      </c>
      <c r="E1692" s="20" t="s">
        <v>745</v>
      </c>
      <c r="F1692" s="20" t="s">
        <v>590</v>
      </c>
    </row>
    <row r="1693">
      <c r="A1693" s="26">
        <v>44922.64475699074</v>
      </c>
      <c r="B1693" s="20" t="s">
        <v>163</v>
      </c>
      <c r="C1693" s="20">
        <v>2156.0</v>
      </c>
      <c r="D1693" s="20" t="s">
        <v>2322</v>
      </c>
      <c r="E1693" s="20" t="s">
        <v>745</v>
      </c>
      <c r="F1693" s="20" t="s">
        <v>590</v>
      </c>
    </row>
    <row r="1694">
      <c r="A1694" s="26">
        <v>44923.63711481482</v>
      </c>
      <c r="B1694" s="20" t="s">
        <v>690</v>
      </c>
      <c r="C1694" s="20">
        <v>30.0</v>
      </c>
      <c r="D1694" s="20" t="s">
        <v>2324</v>
      </c>
      <c r="E1694" s="20" t="s">
        <v>585</v>
      </c>
      <c r="F1694" s="20" t="s">
        <v>590</v>
      </c>
    </row>
    <row r="1695">
      <c r="A1695" s="26">
        <v>44925.604559189815</v>
      </c>
      <c r="B1695" s="20" t="s">
        <v>690</v>
      </c>
      <c r="C1695" s="20">
        <v>30.0</v>
      </c>
      <c r="D1695" s="20" t="s">
        <v>1142</v>
      </c>
      <c r="E1695" s="20" t="s">
        <v>585</v>
      </c>
      <c r="F1695" s="20" t="s">
        <v>590</v>
      </c>
    </row>
    <row r="1696">
      <c r="A1696" s="26">
        <v>44925.6052616088</v>
      </c>
      <c r="B1696" s="20" t="s">
        <v>690</v>
      </c>
      <c r="C1696" s="20">
        <v>51.0</v>
      </c>
      <c r="D1696" s="20" t="s">
        <v>1142</v>
      </c>
      <c r="E1696" s="20" t="s">
        <v>585</v>
      </c>
      <c r="F1696" s="20" t="s">
        <v>590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1" width="18.88"/>
  </cols>
  <sheetData>
    <row r="1">
      <c r="A1" s="24" t="s">
        <v>28</v>
      </c>
      <c r="B1" s="24" t="s">
        <v>2325</v>
      </c>
      <c r="C1" s="24" t="s">
        <v>2326</v>
      </c>
      <c r="D1" s="24" t="s">
        <v>2327</v>
      </c>
      <c r="E1" s="24" t="s">
        <v>2328</v>
      </c>
    </row>
    <row r="2">
      <c r="A2" s="26">
        <v>44728.62332396991</v>
      </c>
      <c r="B2" s="20" t="s">
        <v>2329</v>
      </c>
      <c r="C2" s="20">
        <v>263.0</v>
      </c>
      <c r="D2" s="20" t="s">
        <v>2330</v>
      </c>
      <c r="E2" s="20" t="s">
        <v>2331</v>
      </c>
      <c r="G2" s="20" t="s">
        <v>2332</v>
      </c>
    </row>
    <row r="3">
      <c r="A3" s="26">
        <v>44728.6235584838</v>
      </c>
      <c r="B3" s="20" t="s">
        <v>345</v>
      </c>
      <c r="C3" s="20">
        <v>198.0</v>
      </c>
      <c r="D3" s="20" t="s">
        <v>2333</v>
      </c>
      <c r="E3" s="20" t="s">
        <v>391</v>
      </c>
    </row>
    <row r="4">
      <c r="A4" s="26">
        <v>44728.62386060185</v>
      </c>
      <c r="B4" s="20" t="s">
        <v>345</v>
      </c>
      <c r="C4" s="20">
        <v>199.0</v>
      </c>
      <c r="D4" s="20" t="s">
        <v>453</v>
      </c>
      <c r="E4" s="20" t="s">
        <v>444</v>
      </c>
    </row>
    <row r="5">
      <c r="A5" s="26">
        <v>44728.624284398145</v>
      </c>
      <c r="B5" s="20" t="s">
        <v>345</v>
      </c>
      <c r="C5" s="20">
        <v>181.0</v>
      </c>
      <c r="D5" s="20" t="s">
        <v>454</v>
      </c>
      <c r="E5" s="20" t="s">
        <v>391</v>
      </c>
    </row>
    <row r="6">
      <c r="A6" s="26">
        <v>44728.62455606481</v>
      </c>
      <c r="B6" s="20" t="s">
        <v>345</v>
      </c>
      <c r="C6" s="20">
        <v>131.0</v>
      </c>
      <c r="D6" s="20" t="s">
        <v>521</v>
      </c>
      <c r="E6" s="20" t="s">
        <v>391</v>
      </c>
    </row>
    <row r="7">
      <c r="A7" s="26">
        <v>44728.62484163194</v>
      </c>
      <c r="B7" s="20" t="s">
        <v>345</v>
      </c>
      <c r="C7" s="20">
        <v>620.0</v>
      </c>
      <c r="D7" s="20" t="s">
        <v>2334</v>
      </c>
      <c r="E7" s="20" t="s">
        <v>2335</v>
      </c>
    </row>
    <row r="8">
      <c r="A8" s="26">
        <v>44728.62518710648</v>
      </c>
      <c r="B8" s="20" t="s">
        <v>345</v>
      </c>
      <c r="C8" s="20">
        <v>308.0</v>
      </c>
      <c r="D8" s="20" t="s">
        <v>2336</v>
      </c>
      <c r="E8" s="20" t="s">
        <v>2337</v>
      </c>
    </row>
    <row r="9">
      <c r="A9" s="26">
        <v>44728.62546638889</v>
      </c>
      <c r="B9" s="20" t="s">
        <v>345</v>
      </c>
      <c r="C9" s="20">
        <v>1132.0</v>
      </c>
      <c r="D9" s="20" t="s">
        <v>2338</v>
      </c>
      <c r="E9" s="20" t="s">
        <v>239</v>
      </c>
    </row>
    <row r="10">
      <c r="A10" s="26">
        <v>44728.62571460648</v>
      </c>
      <c r="B10" s="20" t="s">
        <v>345</v>
      </c>
      <c r="C10" s="20">
        <v>54.0</v>
      </c>
      <c r="D10" s="20" t="s">
        <v>502</v>
      </c>
      <c r="E10" s="20" t="s">
        <v>391</v>
      </c>
    </row>
    <row r="11">
      <c r="A11" s="26">
        <v>44728.62612616898</v>
      </c>
      <c r="B11" s="20" t="s">
        <v>345</v>
      </c>
      <c r="C11" s="20">
        <v>476.0</v>
      </c>
      <c r="D11" s="20" t="s">
        <v>499</v>
      </c>
      <c r="E11" s="20" t="s">
        <v>2339</v>
      </c>
    </row>
    <row r="12">
      <c r="A12" s="26">
        <v>44728.62649645833</v>
      </c>
      <c r="B12" s="20" t="s">
        <v>345</v>
      </c>
      <c r="C12" s="20">
        <v>375.0</v>
      </c>
      <c r="D12" s="20" t="s">
        <v>2298</v>
      </c>
      <c r="E12" s="20" t="s">
        <v>636</v>
      </c>
    </row>
    <row r="13">
      <c r="A13" s="26">
        <v>44728.62671094907</v>
      </c>
      <c r="B13" s="20" t="s">
        <v>345</v>
      </c>
      <c r="C13" s="20">
        <v>171.0</v>
      </c>
      <c r="D13" s="20" t="s">
        <v>509</v>
      </c>
      <c r="E13" s="20" t="s">
        <v>391</v>
      </c>
    </row>
    <row r="14">
      <c r="A14" s="26">
        <v>44728.639800069446</v>
      </c>
      <c r="B14" s="20" t="s">
        <v>345</v>
      </c>
      <c r="C14" s="20">
        <v>3287.0</v>
      </c>
      <c r="D14" s="20" t="s">
        <v>522</v>
      </c>
      <c r="E14" s="20" t="s">
        <v>391</v>
      </c>
    </row>
    <row r="15">
      <c r="A15" s="26">
        <v>44728.640143993056</v>
      </c>
      <c r="B15" s="20" t="s">
        <v>345</v>
      </c>
      <c r="C15" s="20">
        <v>193.0</v>
      </c>
      <c r="D15" s="20" t="s">
        <v>2302</v>
      </c>
      <c r="E15" s="20" t="s">
        <v>76</v>
      </c>
    </row>
    <row r="16">
      <c r="A16" s="26">
        <v>44728.64051090278</v>
      </c>
      <c r="B16" s="20" t="s">
        <v>345</v>
      </c>
      <c r="C16" s="20">
        <v>207.0</v>
      </c>
      <c r="D16" s="20" t="s">
        <v>2340</v>
      </c>
      <c r="E16" s="20" t="s">
        <v>2341</v>
      </c>
    </row>
    <row r="17">
      <c r="A17" s="26">
        <v>44728.64082090278</v>
      </c>
      <c r="B17" s="20" t="s">
        <v>345</v>
      </c>
      <c r="C17" s="20">
        <v>179.0</v>
      </c>
      <c r="D17" s="20" t="s">
        <v>491</v>
      </c>
      <c r="E17" s="20" t="s">
        <v>444</v>
      </c>
    </row>
    <row r="18">
      <c r="A18" s="26">
        <v>44728.64120005787</v>
      </c>
      <c r="B18" s="20" t="s">
        <v>345</v>
      </c>
      <c r="C18" s="20">
        <v>244.0</v>
      </c>
      <c r="D18" s="20" t="s">
        <v>461</v>
      </c>
      <c r="E18" s="20" t="s">
        <v>391</v>
      </c>
    </row>
    <row r="19">
      <c r="A19" s="26">
        <v>44728.641626296296</v>
      </c>
      <c r="B19" s="20" t="s">
        <v>345</v>
      </c>
      <c r="C19" s="20">
        <v>1055.0</v>
      </c>
      <c r="D19" s="20" t="s">
        <v>456</v>
      </c>
      <c r="E19" s="20" t="s">
        <v>636</v>
      </c>
    </row>
    <row r="20">
      <c r="A20" s="26">
        <v>44728.64182040509</v>
      </c>
      <c r="B20" s="20" t="s">
        <v>345</v>
      </c>
      <c r="C20" s="20">
        <v>252.0</v>
      </c>
      <c r="D20" s="20" t="s">
        <v>513</v>
      </c>
      <c r="E20" s="20" t="s">
        <v>76</v>
      </c>
    </row>
    <row r="21">
      <c r="A21" s="26">
        <v>44728.642092071765</v>
      </c>
      <c r="B21" s="20" t="s">
        <v>345</v>
      </c>
      <c r="C21" s="20">
        <v>600.0</v>
      </c>
      <c r="D21" s="20" t="s">
        <v>478</v>
      </c>
      <c r="E21" s="20" t="s">
        <v>76</v>
      </c>
    </row>
    <row r="22">
      <c r="A22" s="26">
        <v>44728.642394305556</v>
      </c>
      <c r="B22" s="20" t="s">
        <v>345</v>
      </c>
      <c r="C22" s="20">
        <v>813.0</v>
      </c>
      <c r="D22" s="20" t="s">
        <v>595</v>
      </c>
      <c r="E22" s="20" t="s">
        <v>2342</v>
      </c>
    </row>
    <row r="23">
      <c r="A23" s="26">
        <v>44728.6427778125</v>
      </c>
      <c r="B23" s="20" t="s">
        <v>345</v>
      </c>
      <c r="C23" s="20">
        <v>496.0</v>
      </c>
      <c r="D23" s="20" t="s">
        <v>492</v>
      </c>
      <c r="E23" s="20" t="s">
        <v>184</v>
      </c>
    </row>
    <row r="24">
      <c r="A24" s="26">
        <v>44728.64303892361</v>
      </c>
      <c r="B24" s="20" t="s">
        <v>345</v>
      </c>
      <c r="C24" s="20">
        <v>432.0</v>
      </c>
      <c r="D24" s="20" t="s">
        <v>527</v>
      </c>
      <c r="E24" s="20" t="s">
        <v>320</v>
      </c>
    </row>
    <row r="25">
      <c r="A25" s="26">
        <v>44728.643298344905</v>
      </c>
      <c r="B25" s="20" t="s">
        <v>345</v>
      </c>
      <c r="C25" s="20">
        <v>465.0</v>
      </c>
      <c r="D25" s="20" t="s">
        <v>497</v>
      </c>
      <c r="E25" s="20" t="s">
        <v>438</v>
      </c>
    </row>
    <row r="26">
      <c r="A26" s="26">
        <v>44728.64395869213</v>
      </c>
      <c r="B26" s="20" t="s">
        <v>345</v>
      </c>
      <c r="C26" s="20">
        <v>448.0</v>
      </c>
      <c r="D26" s="20" t="s">
        <v>2289</v>
      </c>
      <c r="E26" s="20" t="s">
        <v>2343</v>
      </c>
    </row>
    <row r="27">
      <c r="A27" s="26">
        <v>44728.64427700231</v>
      </c>
      <c r="B27" s="20" t="s">
        <v>345</v>
      </c>
      <c r="C27" s="20">
        <v>339.0</v>
      </c>
      <c r="D27" s="20" t="s">
        <v>483</v>
      </c>
      <c r="E27" s="20" t="s">
        <v>476</v>
      </c>
    </row>
    <row r="28">
      <c r="A28" s="26">
        <v>44728.644618182865</v>
      </c>
      <c r="B28" s="20" t="s">
        <v>345</v>
      </c>
      <c r="C28" s="20">
        <v>820.0</v>
      </c>
      <c r="D28" s="20" t="s">
        <v>495</v>
      </c>
      <c r="E28" s="20" t="s">
        <v>140</v>
      </c>
    </row>
    <row r="29">
      <c r="A29" s="26">
        <v>44728.64506042824</v>
      </c>
      <c r="B29" s="20" t="s">
        <v>345</v>
      </c>
      <c r="C29" s="20">
        <v>472.0</v>
      </c>
      <c r="D29" s="20" t="s">
        <v>462</v>
      </c>
      <c r="E29" s="20" t="s">
        <v>2344</v>
      </c>
    </row>
    <row r="30">
      <c r="A30" s="26">
        <v>44728.6453675463</v>
      </c>
      <c r="B30" s="20" t="s">
        <v>345</v>
      </c>
      <c r="C30" s="20">
        <v>229.0</v>
      </c>
      <c r="D30" s="20" t="s">
        <v>477</v>
      </c>
      <c r="E30" s="20" t="s">
        <v>544</v>
      </c>
    </row>
    <row r="31">
      <c r="A31" s="26">
        <v>44728.64569954861</v>
      </c>
      <c r="B31" s="20" t="s">
        <v>345</v>
      </c>
      <c r="C31" s="20">
        <v>1305.0</v>
      </c>
      <c r="D31" s="20" t="s">
        <v>458</v>
      </c>
      <c r="E31" s="20" t="s">
        <v>78</v>
      </c>
    </row>
    <row r="32">
      <c r="A32" s="26">
        <v>44728.64598886574</v>
      </c>
      <c r="B32" s="20" t="s">
        <v>345</v>
      </c>
      <c r="C32" s="20">
        <v>828.0</v>
      </c>
      <c r="D32" s="20" t="s">
        <v>472</v>
      </c>
      <c r="E32" s="20" t="s">
        <v>439</v>
      </c>
    </row>
    <row r="33">
      <c r="A33" s="26">
        <v>44728.650393125004</v>
      </c>
      <c r="B33" s="20" t="s">
        <v>345</v>
      </c>
      <c r="C33" s="20">
        <v>1869.0</v>
      </c>
      <c r="D33" s="20" t="s">
        <v>473</v>
      </c>
      <c r="E33" s="20" t="s">
        <v>2345</v>
      </c>
    </row>
    <row r="34">
      <c r="A34" s="26">
        <v>44728.6508052662</v>
      </c>
      <c r="B34" s="20" t="s">
        <v>345</v>
      </c>
      <c r="C34" s="20">
        <v>303.0</v>
      </c>
      <c r="D34" s="20" t="s">
        <v>2346</v>
      </c>
      <c r="E34" s="20" t="s">
        <v>2347</v>
      </c>
    </row>
    <row r="35">
      <c r="A35" s="26">
        <v>44728.651134976855</v>
      </c>
      <c r="B35" s="20" t="s">
        <v>345</v>
      </c>
      <c r="C35" s="20">
        <v>1120.0</v>
      </c>
      <c r="D35" s="20" t="s">
        <v>2348</v>
      </c>
      <c r="E35" s="20" t="s">
        <v>2345</v>
      </c>
    </row>
    <row r="36">
      <c r="A36" s="26">
        <v>44728.65154375</v>
      </c>
      <c r="B36" s="20" t="s">
        <v>345</v>
      </c>
      <c r="C36" s="20">
        <v>475.0</v>
      </c>
      <c r="D36" s="20" t="s">
        <v>2349</v>
      </c>
      <c r="E36" s="20" t="s">
        <v>76</v>
      </c>
    </row>
    <row r="37">
      <c r="A37" s="26">
        <v>44728.65192027778</v>
      </c>
      <c r="B37" s="20" t="s">
        <v>345</v>
      </c>
      <c r="C37" s="20">
        <v>210.0</v>
      </c>
      <c r="D37" s="20" t="s">
        <v>2350</v>
      </c>
      <c r="E37" s="20" t="s">
        <v>2351</v>
      </c>
    </row>
    <row r="38">
      <c r="A38" s="26">
        <v>44728.67970887732</v>
      </c>
      <c r="B38" s="20" t="s">
        <v>345</v>
      </c>
      <c r="C38" s="20">
        <v>545.0</v>
      </c>
      <c r="D38" s="20" t="s">
        <v>2352</v>
      </c>
      <c r="E38" s="20" t="s">
        <v>239</v>
      </c>
    </row>
    <row r="39">
      <c r="A39" s="26">
        <v>44728.68007229167</v>
      </c>
      <c r="B39" s="20" t="s">
        <v>345</v>
      </c>
      <c r="C39" s="20">
        <v>254.0</v>
      </c>
      <c r="D39" s="20" t="s">
        <v>2301</v>
      </c>
      <c r="E39" s="20" t="s">
        <v>90</v>
      </c>
    </row>
    <row r="40">
      <c r="A40" s="26">
        <v>44728.68052230324</v>
      </c>
      <c r="B40" s="20" t="s">
        <v>345</v>
      </c>
      <c r="C40" s="20">
        <v>134.0</v>
      </c>
      <c r="D40" s="20" t="s">
        <v>2353</v>
      </c>
      <c r="E40" s="20" t="s">
        <v>2354</v>
      </c>
    </row>
    <row r="41">
      <c r="A41" s="26">
        <v>44728.68095650463</v>
      </c>
      <c r="B41" s="20" t="s">
        <v>345</v>
      </c>
      <c r="C41" s="20">
        <v>258.0</v>
      </c>
      <c r="D41" s="20" t="s">
        <v>520</v>
      </c>
      <c r="E41" s="20" t="s">
        <v>309</v>
      </c>
    </row>
    <row r="42">
      <c r="A42" s="26">
        <v>44728.68125179398</v>
      </c>
      <c r="B42" s="20" t="s">
        <v>345</v>
      </c>
      <c r="C42" s="20">
        <v>52.0</v>
      </c>
      <c r="D42" s="20" t="s">
        <v>2299</v>
      </c>
      <c r="E42" s="20" t="s">
        <v>2355</v>
      </c>
    </row>
    <row r="43">
      <c r="A43" s="26">
        <v>44728.68151821759</v>
      </c>
      <c r="B43" s="20" t="s">
        <v>345</v>
      </c>
      <c r="C43" s="20">
        <v>346.0</v>
      </c>
      <c r="D43" s="20" t="s">
        <v>2300</v>
      </c>
      <c r="E43" s="20" t="s">
        <v>68</v>
      </c>
    </row>
    <row r="44">
      <c r="A44" s="26">
        <v>44728.68174472223</v>
      </c>
      <c r="B44" s="20" t="s">
        <v>345</v>
      </c>
      <c r="C44" s="20">
        <v>430.0</v>
      </c>
      <c r="D44" s="20" t="s">
        <v>2292</v>
      </c>
      <c r="E44" s="20" t="s">
        <v>320</v>
      </c>
    </row>
    <row r="45">
      <c r="A45" s="26">
        <v>44728.68197122685</v>
      </c>
      <c r="B45" s="20" t="s">
        <v>345</v>
      </c>
      <c r="C45" s="20">
        <v>234.0</v>
      </c>
      <c r="D45" s="20" t="s">
        <v>2356</v>
      </c>
      <c r="E45" s="20" t="s">
        <v>2357</v>
      </c>
    </row>
    <row r="46">
      <c r="A46" s="26">
        <v>44728.682318252315</v>
      </c>
      <c r="B46" s="20" t="s">
        <v>345</v>
      </c>
      <c r="C46" s="20">
        <v>368.0</v>
      </c>
      <c r="D46" s="20" t="s">
        <v>2358</v>
      </c>
      <c r="E46" s="20" t="s">
        <v>313</v>
      </c>
    </row>
    <row r="47">
      <c r="A47" s="26">
        <v>44728.68262071759</v>
      </c>
      <c r="B47" s="20" t="s">
        <v>345</v>
      </c>
      <c r="C47" s="20">
        <v>678.0</v>
      </c>
      <c r="D47" s="20" t="s">
        <v>2359</v>
      </c>
      <c r="E47" s="20" t="s">
        <v>2360</v>
      </c>
    </row>
    <row r="48">
      <c r="A48" s="26">
        <v>44728.68285790509</v>
      </c>
      <c r="B48" s="20" t="s">
        <v>345</v>
      </c>
      <c r="C48" s="20">
        <v>414.0</v>
      </c>
      <c r="D48" s="20" t="s">
        <v>2361</v>
      </c>
      <c r="E48" s="20" t="s">
        <v>283</v>
      </c>
    </row>
    <row r="49">
      <c r="A49" s="26">
        <v>44728.68315658565</v>
      </c>
      <c r="B49" s="20" t="s">
        <v>345</v>
      </c>
      <c r="C49" s="20">
        <v>206.0</v>
      </c>
      <c r="D49" s="20" t="s">
        <v>2290</v>
      </c>
      <c r="E49" s="20" t="s">
        <v>444</v>
      </c>
    </row>
    <row r="50">
      <c r="A50" s="26">
        <v>44728.68339119213</v>
      </c>
      <c r="B50" s="20" t="s">
        <v>345</v>
      </c>
      <c r="C50" s="20">
        <v>237.0</v>
      </c>
      <c r="D50" s="20" t="s">
        <v>480</v>
      </c>
      <c r="E50" s="20" t="s">
        <v>444</v>
      </c>
    </row>
    <row r="51">
      <c r="A51" s="26">
        <v>44728.68367423611</v>
      </c>
      <c r="B51" s="20" t="s">
        <v>345</v>
      </c>
      <c r="C51" s="20">
        <v>175.0</v>
      </c>
      <c r="D51" s="20" t="s">
        <v>2295</v>
      </c>
      <c r="E51" s="20" t="s">
        <v>444</v>
      </c>
    </row>
    <row r="52">
      <c r="A52" s="26">
        <v>44728.683930486106</v>
      </c>
      <c r="B52" s="20" t="s">
        <v>345</v>
      </c>
      <c r="C52" s="20">
        <v>164.0</v>
      </c>
      <c r="D52" s="20" t="s">
        <v>474</v>
      </c>
      <c r="E52" s="20" t="s">
        <v>444</v>
      </c>
    </row>
    <row r="53">
      <c r="A53" s="26">
        <v>44728.68414023148</v>
      </c>
      <c r="B53" s="20" t="s">
        <v>345</v>
      </c>
      <c r="C53" s="20">
        <v>219.0</v>
      </c>
      <c r="D53" s="20" t="s">
        <v>512</v>
      </c>
      <c r="E53" s="20" t="s">
        <v>444</v>
      </c>
    </row>
    <row r="54">
      <c r="A54" s="26">
        <v>44728.73593351852</v>
      </c>
      <c r="B54" s="20" t="s">
        <v>345</v>
      </c>
      <c r="C54" s="20">
        <v>302.0</v>
      </c>
      <c r="D54" s="20" t="s">
        <v>2297</v>
      </c>
      <c r="E54" s="20" t="s">
        <v>444</v>
      </c>
    </row>
    <row r="55">
      <c r="A55" s="26">
        <v>44728.73646600694</v>
      </c>
      <c r="B55" s="20" t="s">
        <v>345</v>
      </c>
      <c r="C55" s="20">
        <v>813.0</v>
      </c>
      <c r="D55" s="20" t="s">
        <v>595</v>
      </c>
      <c r="E55" s="20" t="s">
        <v>2342</v>
      </c>
    </row>
    <row r="56">
      <c r="A56" s="26">
        <v>44728.76704497685</v>
      </c>
      <c r="B56" s="20" t="s">
        <v>345</v>
      </c>
      <c r="C56" s="20">
        <v>799.0</v>
      </c>
      <c r="D56" s="20" t="s">
        <v>2362</v>
      </c>
      <c r="E56" s="20" t="s">
        <v>442</v>
      </c>
    </row>
    <row r="57">
      <c r="A57" s="26">
        <v>44728.767471631945</v>
      </c>
      <c r="B57" s="20" t="s">
        <v>345</v>
      </c>
      <c r="C57" s="20">
        <v>735.0</v>
      </c>
      <c r="D57" s="20" t="s">
        <v>2363</v>
      </c>
      <c r="E57" s="20" t="s">
        <v>2364</v>
      </c>
    </row>
    <row r="58">
      <c r="A58" s="26">
        <v>44728.76779078704</v>
      </c>
      <c r="B58" s="20" t="s">
        <v>345</v>
      </c>
      <c r="C58" s="20">
        <v>869.0</v>
      </c>
      <c r="D58" s="20" t="s">
        <v>2365</v>
      </c>
      <c r="E58" s="20" t="s">
        <v>2366</v>
      </c>
    </row>
    <row r="59">
      <c r="A59" s="26">
        <v>44728.76811287037</v>
      </c>
      <c r="B59" s="20" t="s">
        <v>345</v>
      </c>
      <c r="C59" s="20">
        <v>1724.0</v>
      </c>
      <c r="D59" s="20" t="s">
        <v>2367</v>
      </c>
      <c r="E59" s="20" t="s">
        <v>441</v>
      </c>
    </row>
    <row r="60">
      <c r="A60" s="26">
        <v>44728.76849346065</v>
      </c>
      <c r="B60" s="20" t="s">
        <v>345</v>
      </c>
      <c r="C60" s="20">
        <v>212.0</v>
      </c>
      <c r="D60" s="20" t="s">
        <v>578</v>
      </c>
      <c r="E60" s="20" t="s">
        <v>2368</v>
      </c>
    </row>
    <row r="61">
      <c r="A61" s="26">
        <v>44728.76888982639</v>
      </c>
      <c r="B61" s="20" t="s">
        <v>345</v>
      </c>
      <c r="C61" s="20">
        <v>792.0</v>
      </c>
      <c r="D61" s="20" t="s">
        <v>2369</v>
      </c>
      <c r="E61" s="20" t="s">
        <v>47</v>
      </c>
    </row>
    <row r="62">
      <c r="A62" s="26">
        <v>44728.76915115741</v>
      </c>
      <c r="B62" s="20" t="s">
        <v>345</v>
      </c>
      <c r="C62" s="20">
        <v>608.0</v>
      </c>
      <c r="D62" s="20" t="s">
        <v>2370</v>
      </c>
      <c r="E62" s="20" t="s">
        <v>47</v>
      </c>
    </row>
    <row r="63">
      <c r="A63" s="26">
        <v>44728.76952674768</v>
      </c>
      <c r="B63" s="20" t="s">
        <v>345</v>
      </c>
      <c r="C63" s="20">
        <v>151.0</v>
      </c>
      <c r="D63" s="20" t="s">
        <v>2371</v>
      </c>
      <c r="E63" s="20" t="s">
        <v>47</v>
      </c>
    </row>
    <row r="64">
      <c r="A64" s="26">
        <v>44729.57509164352</v>
      </c>
      <c r="B64" s="20" t="s">
        <v>345</v>
      </c>
      <c r="C64" s="20">
        <v>1085.0</v>
      </c>
      <c r="D64" s="20" t="s">
        <v>2291</v>
      </c>
      <c r="E64" s="20" t="s">
        <v>78</v>
      </c>
    </row>
    <row r="65">
      <c r="A65" s="26">
        <v>44729.57543182871</v>
      </c>
      <c r="B65" s="20" t="s">
        <v>345</v>
      </c>
      <c r="C65" s="20">
        <v>230.0</v>
      </c>
      <c r="D65" s="20" t="s">
        <v>479</v>
      </c>
      <c r="E65" s="20" t="s">
        <v>391</v>
      </c>
    </row>
    <row r="66">
      <c r="A66" s="26">
        <v>44729.575657696754</v>
      </c>
      <c r="B66" s="20" t="s">
        <v>345</v>
      </c>
      <c r="C66" s="20">
        <v>280.0</v>
      </c>
      <c r="D66" s="20" t="s">
        <v>2372</v>
      </c>
      <c r="E66" s="20" t="s">
        <v>391</v>
      </c>
    </row>
    <row r="67">
      <c r="A67" s="26">
        <v>44729.57693686342</v>
      </c>
      <c r="B67" s="20" t="s">
        <v>345</v>
      </c>
      <c r="C67" s="20">
        <v>22.0</v>
      </c>
      <c r="D67" s="20" t="s">
        <v>2289</v>
      </c>
      <c r="E67" s="20" t="s">
        <v>2373</v>
      </c>
    </row>
    <row r="68">
      <c r="A68" s="26">
        <v>44729.577272939816</v>
      </c>
      <c r="B68" s="20" t="s">
        <v>345</v>
      </c>
      <c r="C68" s="20">
        <v>-1055.0</v>
      </c>
      <c r="D68" s="20" t="s">
        <v>456</v>
      </c>
      <c r="E68" s="20" t="s">
        <v>636</v>
      </c>
    </row>
    <row r="69">
      <c r="A69" s="26">
        <v>44729.577609201384</v>
      </c>
      <c r="B69" s="20" t="s">
        <v>345</v>
      </c>
      <c r="C69" s="20">
        <v>-375.0</v>
      </c>
      <c r="D69" s="20" t="s">
        <v>2298</v>
      </c>
      <c r="E69" s="20" t="s">
        <v>636</v>
      </c>
    </row>
    <row r="70">
      <c r="A70" s="26">
        <v>44729.578559664355</v>
      </c>
      <c r="B70" s="20" t="s">
        <v>345</v>
      </c>
      <c r="C70" s="20">
        <v>-193.0</v>
      </c>
      <c r="D70" s="20" t="s">
        <v>2302</v>
      </c>
      <c r="E70" s="20" t="s">
        <v>76</v>
      </c>
    </row>
    <row r="71">
      <c r="A71" s="26">
        <v>44729.57894317129</v>
      </c>
      <c r="B71" s="20" t="s">
        <v>345</v>
      </c>
      <c r="C71" s="20">
        <v>527.0</v>
      </c>
      <c r="D71" s="20" t="s">
        <v>2302</v>
      </c>
      <c r="E71" s="20" t="s">
        <v>636</v>
      </c>
    </row>
    <row r="72">
      <c r="A72" s="26">
        <v>44729.579290208334</v>
      </c>
      <c r="B72" s="20" t="s">
        <v>345</v>
      </c>
      <c r="C72" s="20">
        <v>247.0</v>
      </c>
      <c r="D72" s="20" t="s">
        <v>517</v>
      </c>
      <c r="E72" s="20" t="s">
        <v>391</v>
      </c>
    </row>
    <row r="73">
      <c r="A73" s="26">
        <v>44729.57984340278</v>
      </c>
      <c r="B73" s="20" t="s">
        <v>345</v>
      </c>
      <c r="C73" s="20">
        <v>-476.0</v>
      </c>
      <c r="D73" s="20" t="s">
        <v>499</v>
      </c>
      <c r="E73" s="20" t="s">
        <v>498</v>
      </c>
    </row>
    <row r="74">
      <c r="A74" s="26">
        <v>44729.580197407406</v>
      </c>
      <c r="B74" s="20" t="s">
        <v>345</v>
      </c>
      <c r="C74" s="20">
        <v>405.0</v>
      </c>
      <c r="D74" s="20" t="s">
        <v>459</v>
      </c>
      <c r="E74" s="20" t="s">
        <v>76</v>
      </c>
    </row>
    <row r="75">
      <c r="A75" s="26">
        <v>44729.580489201384</v>
      </c>
      <c r="B75" s="20" t="s">
        <v>345</v>
      </c>
      <c r="C75" s="20">
        <v>-813.0</v>
      </c>
      <c r="D75" s="20" t="s">
        <v>595</v>
      </c>
      <c r="E75" s="20" t="s">
        <v>498</v>
      </c>
    </row>
    <row r="76">
      <c r="A76" s="26">
        <v>44729.580710532406</v>
      </c>
      <c r="B76" s="20" t="s">
        <v>345</v>
      </c>
      <c r="C76" s="20">
        <v>147.0</v>
      </c>
      <c r="D76" s="20" t="s">
        <v>595</v>
      </c>
      <c r="E76" s="20" t="s">
        <v>239</v>
      </c>
    </row>
    <row r="77">
      <c r="A77" s="26">
        <v>44729.58099996528</v>
      </c>
      <c r="B77" s="20" t="s">
        <v>345</v>
      </c>
      <c r="C77" s="20">
        <v>266.0</v>
      </c>
      <c r="D77" s="20" t="s">
        <v>2294</v>
      </c>
      <c r="E77" s="20" t="s">
        <v>391</v>
      </c>
    </row>
    <row r="78">
      <c r="A78" s="26">
        <v>44729.581360069446</v>
      </c>
      <c r="B78" s="20" t="s">
        <v>345</v>
      </c>
      <c r="C78" s="20">
        <v>50.0</v>
      </c>
      <c r="D78" s="20" t="s">
        <v>472</v>
      </c>
      <c r="E78" s="20" t="s">
        <v>439</v>
      </c>
    </row>
    <row r="79">
      <c r="A79" s="26">
        <v>44729.581672175926</v>
      </c>
      <c r="B79" s="20" t="s">
        <v>345</v>
      </c>
      <c r="C79" s="20">
        <v>901.0</v>
      </c>
      <c r="D79" s="20" t="s">
        <v>456</v>
      </c>
      <c r="E79" s="20" t="s">
        <v>636</v>
      </c>
    </row>
    <row r="80">
      <c r="A80" s="26">
        <v>44729.58196229167</v>
      </c>
      <c r="B80" s="20" t="s">
        <v>345</v>
      </c>
      <c r="C80" s="20">
        <v>273.0</v>
      </c>
      <c r="D80" s="20" t="s">
        <v>499</v>
      </c>
      <c r="E80" s="20" t="s">
        <v>498</v>
      </c>
    </row>
    <row r="81">
      <c r="A81" s="26">
        <v>44729.58240817129</v>
      </c>
      <c r="B81" s="20" t="s">
        <v>345</v>
      </c>
      <c r="C81" s="20">
        <v>1043.0</v>
      </c>
      <c r="D81" s="20" t="s">
        <v>2298</v>
      </c>
      <c r="E81" s="20" t="s">
        <v>498</v>
      </c>
    </row>
    <row r="82">
      <c r="A82" s="26">
        <v>44729.58264688657</v>
      </c>
      <c r="B82" s="20" t="s">
        <v>345</v>
      </c>
      <c r="C82" s="20">
        <v>5.0</v>
      </c>
      <c r="D82" s="20" t="s">
        <v>527</v>
      </c>
      <c r="E82" s="20" t="s">
        <v>320</v>
      </c>
    </row>
    <row r="83">
      <c r="A83" s="28">
        <v>44729.0</v>
      </c>
      <c r="B83" s="20" t="s">
        <v>345</v>
      </c>
      <c r="C83" s="20">
        <v>475.0</v>
      </c>
      <c r="D83" s="20" t="s">
        <v>547</v>
      </c>
      <c r="E83" s="20" t="s">
        <v>490</v>
      </c>
    </row>
    <row r="84">
      <c r="A84" s="28">
        <v>44729.0</v>
      </c>
      <c r="B84" s="20" t="s">
        <v>345</v>
      </c>
      <c r="C84" s="20">
        <v>184.0</v>
      </c>
      <c r="D84" s="20" t="s">
        <v>2294</v>
      </c>
      <c r="E84" s="20" t="s">
        <v>490</v>
      </c>
    </row>
    <row r="85">
      <c r="A85" s="28">
        <v>44729.0</v>
      </c>
      <c r="B85" s="20" t="s">
        <v>345</v>
      </c>
      <c r="C85" s="20">
        <v>40.0</v>
      </c>
      <c r="D85" s="20" t="s">
        <v>462</v>
      </c>
      <c r="E85" s="20" t="s">
        <v>2344</v>
      </c>
    </row>
    <row r="86">
      <c r="A86" s="28">
        <v>44729.0</v>
      </c>
      <c r="B86" s="20" t="s">
        <v>345</v>
      </c>
      <c r="C86" s="20">
        <v>-339.0</v>
      </c>
      <c r="D86" s="20" t="s">
        <v>483</v>
      </c>
      <c r="E86" s="20" t="s">
        <v>476</v>
      </c>
    </row>
    <row r="87">
      <c r="A87" s="28">
        <v>44729.0</v>
      </c>
      <c r="B87" s="20" t="s">
        <v>345</v>
      </c>
      <c r="C87" s="20">
        <v>320.0</v>
      </c>
      <c r="D87" s="20" t="s">
        <v>2296</v>
      </c>
      <c r="E87" s="20" t="s">
        <v>210</v>
      </c>
    </row>
    <row r="88">
      <c r="A88" s="28">
        <v>44729.0</v>
      </c>
      <c r="B88" s="20" t="s">
        <v>345</v>
      </c>
      <c r="C88" s="20">
        <v>-52.0</v>
      </c>
      <c r="D88" s="20" t="s">
        <v>2299</v>
      </c>
      <c r="E88" s="20" t="s">
        <v>2355</v>
      </c>
    </row>
    <row r="89">
      <c r="A89" s="28">
        <v>44729.0</v>
      </c>
      <c r="B89" s="20" t="s">
        <v>345</v>
      </c>
      <c r="C89" s="20">
        <v>87.0</v>
      </c>
      <c r="D89" s="20" t="s">
        <v>2374</v>
      </c>
      <c r="E89" s="20" t="s">
        <v>2355</v>
      </c>
    </row>
    <row r="90">
      <c r="A90" s="28">
        <v>44729.0</v>
      </c>
      <c r="B90" s="20" t="s">
        <v>345</v>
      </c>
      <c r="C90" s="20">
        <v>438.0</v>
      </c>
      <c r="D90" s="20" t="s">
        <v>483</v>
      </c>
      <c r="E90" s="20" t="s">
        <v>476</v>
      </c>
    </row>
    <row r="91">
      <c r="A91" s="28">
        <v>44729.0</v>
      </c>
      <c r="B91" s="20" t="s">
        <v>345</v>
      </c>
      <c r="C91" s="20">
        <v>507.0</v>
      </c>
      <c r="D91" s="20" t="s">
        <v>495</v>
      </c>
      <c r="E91" s="20" t="s">
        <v>140</v>
      </c>
    </row>
    <row r="92">
      <c r="A92" s="28">
        <v>44729.0</v>
      </c>
      <c r="B92" s="20" t="s">
        <v>345</v>
      </c>
      <c r="C92" s="20">
        <v>178.0</v>
      </c>
      <c r="D92" s="20" t="s">
        <v>513</v>
      </c>
      <c r="E92" s="20" t="s">
        <v>76</v>
      </c>
    </row>
    <row r="93">
      <c r="A93" s="28">
        <v>44729.0</v>
      </c>
      <c r="B93" s="20" t="s">
        <v>345</v>
      </c>
      <c r="C93" s="20">
        <v>492.0</v>
      </c>
      <c r="D93" s="20" t="s">
        <v>475</v>
      </c>
      <c r="E93" s="20" t="s">
        <v>320</v>
      </c>
    </row>
    <row r="94">
      <c r="A94" s="28">
        <v>44729.0</v>
      </c>
      <c r="B94" s="20" t="s">
        <v>345</v>
      </c>
      <c r="C94" s="20">
        <v>-430.0</v>
      </c>
      <c r="D94" s="20" t="s">
        <v>2292</v>
      </c>
      <c r="E94" s="20" t="s">
        <v>320</v>
      </c>
    </row>
    <row r="95">
      <c r="A95" s="28">
        <v>44729.0</v>
      </c>
      <c r="B95" s="20" t="s">
        <v>345</v>
      </c>
      <c r="C95" s="20">
        <v>24.0</v>
      </c>
      <c r="D95" s="20" t="s">
        <v>483</v>
      </c>
      <c r="E95" s="20" t="s">
        <v>476</v>
      </c>
    </row>
    <row r="96">
      <c r="A96" s="28">
        <v>44729.0</v>
      </c>
      <c r="B96" s="20" t="s">
        <v>345</v>
      </c>
      <c r="C96" s="20">
        <v>936.0</v>
      </c>
      <c r="D96" s="20" t="s">
        <v>594</v>
      </c>
      <c r="E96" s="20" t="s">
        <v>58</v>
      </c>
    </row>
    <row r="97">
      <c r="A97" s="28">
        <v>44729.0</v>
      </c>
      <c r="B97" s="20" t="s">
        <v>345</v>
      </c>
      <c r="C97" s="20">
        <v>738.0</v>
      </c>
      <c r="D97" s="20" t="s">
        <v>460</v>
      </c>
      <c r="E97" s="20" t="s">
        <v>58</v>
      </c>
    </row>
    <row r="98">
      <c r="A98" s="28">
        <v>44729.0</v>
      </c>
      <c r="B98" s="20" t="s">
        <v>345</v>
      </c>
      <c r="C98" s="20">
        <v>-405.0</v>
      </c>
      <c r="D98" s="20" t="s">
        <v>459</v>
      </c>
      <c r="E98" s="20" t="s">
        <v>76</v>
      </c>
    </row>
    <row r="99">
      <c r="A99" s="28">
        <v>44729.0</v>
      </c>
      <c r="B99" s="20" t="s">
        <v>345</v>
      </c>
      <c r="C99" s="20">
        <v>176.0</v>
      </c>
      <c r="D99" s="20" t="s">
        <v>459</v>
      </c>
      <c r="E99" s="20" t="s">
        <v>76</v>
      </c>
    </row>
    <row r="100">
      <c r="A100" s="28">
        <v>44729.0</v>
      </c>
      <c r="B100" s="20" t="s">
        <v>345</v>
      </c>
      <c r="C100" s="20">
        <v>-285.0</v>
      </c>
      <c r="D100" s="20" t="s">
        <v>2369</v>
      </c>
      <c r="E100" s="20" t="s">
        <v>47</v>
      </c>
    </row>
    <row r="101">
      <c r="A101" s="28">
        <v>44729.0</v>
      </c>
      <c r="B101" s="20" t="s">
        <v>345</v>
      </c>
      <c r="C101" s="20">
        <v>-586.0</v>
      </c>
      <c r="D101" s="20" t="s">
        <v>2367</v>
      </c>
      <c r="E101" s="20" t="s">
        <v>441</v>
      </c>
    </row>
    <row r="102">
      <c r="A102" s="28">
        <v>44729.0</v>
      </c>
      <c r="B102" s="20" t="s">
        <v>345</v>
      </c>
      <c r="C102" s="20">
        <v>-240.0</v>
      </c>
      <c r="D102" s="20" t="s">
        <v>2362</v>
      </c>
      <c r="E102" s="20" t="s">
        <v>442</v>
      </c>
    </row>
    <row r="103">
      <c r="A103" s="28">
        <v>44729.0</v>
      </c>
      <c r="B103" s="20" t="s">
        <v>345</v>
      </c>
      <c r="C103" s="20">
        <v>-476.0</v>
      </c>
      <c r="D103" s="20" t="s">
        <v>499</v>
      </c>
      <c r="E103" s="20" t="s">
        <v>498</v>
      </c>
    </row>
    <row r="104">
      <c r="A104" s="28">
        <v>44729.0</v>
      </c>
      <c r="B104" s="20" t="s">
        <v>345</v>
      </c>
      <c r="C104" s="20">
        <v>-66.0</v>
      </c>
      <c r="D104" s="20" t="s">
        <v>2298</v>
      </c>
      <c r="E104" s="20" t="s">
        <v>498</v>
      </c>
    </row>
    <row r="105">
      <c r="A105" s="28">
        <v>44729.0</v>
      </c>
      <c r="B105" s="20" t="s">
        <v>345</v>
      </c>
      <c r="C105" s="20">
        <v>317.0</v>
      </c>
      <c r="D105" s="20" t="s">
        <v>472</v>
      </c>
      <c r="E105" s="20" t="s">
        <v>439</v>
      </c>
    </row>
    <row r="106">
      <c r="A106" s="28">
        <v>44729.0</v>
      </c>
      <c r="B106" s="20" t="s">
        <v>345</v>
      </c>
      <c r="C106" s="20">
        <v>-492.0</v>
      </c>
      <c r="D106" s="20" t="s">
        <v>475</v>
      </c>
      <c r="E106" s="20" t="s">
        <v>320</v>
      </c>
    </row>
    <row r="107">
      <c r="A107" s="28">
        <v>44729.0</v>
      </c>
      <c r="B107" s="20" t="s">
        <v>345</v>
      </c>
      <c r="C107" s="20">
        <v>-97.0</v>
      </c>
      <c r="D107" s="20" t="s">
        <v>497</v>
      </c>
      <c r="E107" s="20" t="s">
        <v>438</v>
      </c>
    </row>
    <row r="108">
      <c r="A108" s="28">
        <v>44729.0</v>
      </c>
      <c r="B108" s="20" t="s">
        <v>345</v>
      </c>
      <c r="C108" s="20">
        <v>-162.0</v>
      </c>
      <c r="D108" s="20" t="s">
        <v>2290</v>
      </c>
      <c r="E108" s="20" t="s">
        <v>444</v>
      </c>
    </row>
    <row r="109">
      <c r="A109" s="28">
        <v>44731.0</v>
      </c>
      <c r="B109" s="20" t="s">
        <v>345</v>
      </c>
      <c r="C109" s="20">
        <v>-738.0</v>
      </c>
      <c r="D109" s="20" t="s">
        <v>460</v>
      </c>
      <c r="E109" s="20" t="s">
        <v>58</v>
      </c>
    </row>
    <row r="110">
      <c r="A110" s="28">
        <v>44731.0</v>
      </c>
      <c r="B110" s="20" t="s">
        <v>345</v>
      </c>
      <c r="C110" s="20">
        <v>119.0</v>
      </c>
      <c r="D110" s="20" t="s">
        <v>472</v>
      </c>
      <c r="E110" s="20" t="s">
        <v>439</v>
      </c>
    </row>
    <row r="111">
      <c r="A111" s="28">
        <v>44731.0</v>
      </c>
      <c r="B111" s="20" t="s">
        <v>345</v>
      </c>
      <c r="C111" s="20">
        <v>186.0</v>
      </c>
      <c r="D111" s="20" t="s">
        <v>2298</v>
      </c>
      <c r="E111" s="20" t="s">
        <v>498</v>
      </c>
    </row>
    <row r="112">
      <c r="A112" s="28">
        <v>44731.0</v>
      </c>
      <c r="B112" s="20" t="s">
        <v>345</v>
      </c>
      <c r="C112" s="20">
        <v>35.0</v>
      </c>
      <c r="D112" s="20" t="s">
        <v>2300</v>
      </c>
      <c r="E112" s="20" t="s">
        <v>534</v>
      </c>
    </row>
    <row r="113">
      <c r="A113" s="28">
        <v>44731.0</v>
      </c>
      <c r="B113" s="20" t="s">
        <v>345</v>
      </c>
      <c r="C113" s="20">
        <v>7.0</v>
      </c>
      <c r="D113" s="20" t="s">
        <v>2301</v>
      </c>
      <c r="E113" s="20" t="s">
        <v>90</v>
      </c>
    </row>
    <row r="114">
      <c r="A114" s="28">
        <v>44731.0</v>
      </c>
      <c r="B114" s="20" t="s">
        <v>345</v>
      </c>
      <c r="C114" s="20">
        <v>135.0</v>
      </c>
      <c r="D114" s="20" t="s">
        <v>456</v>
      </c>
      <c r="E114" s="20" t="s">
        <v>636</v>
      </c>
    </row>
    <row r="115">
      <c r="A115" s="28">
        <v>44731.0</v>
      </c>
      <c r="B115" s="20" t="s">
        <v>345</v>
      </c>
      <c r="C115" s="20">
        <v>23.0</v>
      </c>
      <c r="D115" s="20" t="s">
        <v>2374</v>
      </c>
      <c r="E115" s="20" t="s">
        <v>2355</v>
      </c>
    </row>
    <row r="116">
      <c r="A116" s="28">
        <v>44731.0</v>
      </c>
      <c r="B116" s="20" t="s">
        <v>345</v>
      </c>
      <c r="C116" s="20">
        <v>108.0</v>
      </c>
      <c r="D116" s="20" t="s">
        <v>462</v>
      </c>
      <c r="E116" s="20" t="s">
        <v>2344</v>
      </c>
    </row>
    <row r="117">
      <c r="A117" s="28">
        <v>44731.0</v>
      </c>
      <c r="B117" s="20" t="s">
        <v>345</v>
      </c>
      <c r="C117" s="20">
        <v>630.0</v>
      </c>
      <c r="D117" s="20" t="s">
        <v>526</v>
      </c>
      <c r="E117" s="20" t="s">
        <v>577</v>
      </c>
    </row>
    <row r="118">
      <c r="A118" s="28">
        <v>44731.0</v>
      </c>
      <c r="B118" s="20" t="s">
        <v>345</v>
      </c>
      <c r="C118" s="20">
        <v>-151.0</v>
      </c>
      <c r="D118" s="20" t="s">
        <v>2303</v>
      </c>
      <c r="E118" s="20" t="s">
        <v>2375</v>
      </c>
    </row>
    <row r="119">
      <c r="A119" s="28">
        <v>44731.0</v>
      </c>
      <c r="B119" s="20" t="s">
        <v>345</v>
      </c>
      <c r="C119" s="20">
        <v>-21.0</v>
      </c>
      <c r="D119" s="20" t="s">
        <v>495</v>
      </c>
      <c r="E119" s="20" t="s">
        <v>78</v>
      </c>
    </row>
    <row r="120">
      <c r="A120" s="28">
        <v>44731.0</v>
      </c>
      <c r="B120" s="20" t="s">
        <v>345</v>
      </c>
      <c r="C120" s="20">
        <v>759.0</v>
      </c>
      <c r="D120" s="20" t="s">
        <v>492</v>
      </c>
      <c r="E120" s="20" t="s">
        <v>534</v>
      </c>
    </row>
    <row r="121">
      <c r="A121" s="28">
        <v>44731.0</v>
      </c>
      <c r="B121" s="20" t="s">
        <v>345</v>
      </c>
      <c r="C121" s="20">
        <v>-44.0</v>
      </c>
      <c r="D121" s="20" t="s">
        <v>2290</v>
      </c>
      <c r="E121" s="20" t="s">
        <v>490</v>
      </c>
    </row>
    <row r="122">
      <c r="A122" s="28">
        <v>44731.0</v>
      </c>
      <c r="B122" s="20" t="s">
        <v>345</v>
      </c>
      <c r="C122" s="20">
        <v>1226.0</v>
      </c>
      <c r="D122" s="20" t="s">
        <v>460</v>
      </c>
      <c r="E122" s="20" t="s">
        <v>297</v>
      </c>
    </row>
    <row r="123">
      <c r="A123" s="28">
        <v>44731.0</v>
      </c>
      <c r="B123" s="20" t="s">
        <v>345</v>
      </c>
      <c r="C123" s="20">
        <v>-936.0</v>
      </c>
      <c r="D123" s="20" t="s">
        <v>594</v>
      </c>
      <c r="E123" s="20" t="s">
        <v>297</v>
      </c>
    </row>
    <row r="124">
      <c r="A124" s="28">
        <v>44731.0</v>
      </c>
      <c r="B124" s="20" t="s">
        <v>345</v>
      </c>
      <c r="C124" s="20">
        <v>40.0</v>
      </c>
      <c r="D124" s="20" t="s">
        <v>462</v>
      </c>
      <c r="E124" s="20" t="s">
        <v>2344</v>
      </c>
    </row>
    <row r="125">
      <c r="A125" s="28">
        <v>44731.0</v>
      </c>
      <c r="B125" s="20" t="s">
        <v>345</v>
      </c>
      <c r="C125" s="20">
        <v>-339.0</v>
      </c>
      <c r="D125" s="20" t="s">
        <v>483</v>
      </c>
      <c r="E125" s="20" t="s">
        <v>476</v>
      </c>
    </row>
    <row r="126">
      <c r="A126" s="28">
        <v>44733.0</v>
      </c>
      <c r="B126" s="20" t="s">
        <v>345</v>
      </c>
      <c r="C126" s="20">
        <v>21.0</v>
      </c>
      <c r="D126" s="20" t="s">
        <v>595</v>
      </c>
      <c r="E126" s="20" t="s">
        <v>2376</v>
      </c>
    </row>
    <row r="127">
      <c r="A127" s="28">
        <v>44734.0</v>
      </c>
      <c r="B127" s="20" t="s">
        <v>345</v>
      </c>
      <c r="C127" s="20">
        <v>90.0</v>
      </c>
      <c r="D127" s="20" t="s">
        <v>545</v>
      </c>
      <c r="E127" s="20" t="s">
        <v>407</v>
      </c>
    </row>
    <row r="128">
      <c r="A128" s="26">
        <v>44734.86290853009</v>
      </c>
      <c r="B128" s="20" t="s">
        <v>345</v>
      </c>
      <c r="C128" s="20">
        <v>2198.0</v>
      </c>
      <c r="D128" s="20" t="s">
        <v>594</v>
      </c>
      <c r="E128" s="20" t="s">
        <v>53</v>
      </c>
    </row>
    <row r="129">
      <c r="A129" s="26">
        <v>44734.86376921296</v>
      </c>
      <c r="B129" s="20" t="s">
        <v>345</v>
      </c>
      <c r="C129" s="20">
        <v>580.0</v>
      </c>
      <c r="D129" s="20" t="s">
        <v>469</v>
      </c>
      <c r="E129" s="20" t="s">
        <v>76</v>
      </c>
    </row>
    <row r="130">
      <c r="A130" s="26">
        <v>44734.86407599537</v>
      </c>
      <c r="B130" s="20" t="s">
        <v>345</v>
      </c>
      <c r="C130" s="20">
        <v>347.0</v>
      </c>
      <c r="D130" s="20" t="s">
        <v>2290</v>
      </c>
      <c r="E130" s="20" t="s">
        <v>76</v>
      </c>
    </row>
    <row r="131">
      <c r="A131" s="26">
        <v>44734.86444447917</v>
      </c>
      <c r="B131" s="20" t="s">
        <v>345</v>
      </c>
      <c r="C131" s="20">
        <v>2073.0</v>
      </c>
      <c r="D131" s="20" t="s">
        <v>497</v>
      </c>
      <c r="E131" s="20" t="s">
        <v>2345</v>
      </c>
    </row>
    <row r="132">
      <c r="A132" s="26">
        <v>44734.86526686343</v>
      </c>
      <c r="B132" s="20" t="s">
        <v>345</v>
      </c>
      <c r="C132" s="20">
        <v>1617.0</v>
      </c>
      <c r="D132" s="20" t="s">
        <v>2302</v>
      </c>
      <c r="E132" s="20" t="s">
        <v>636</v>
      </c>
    </row>
    <row r="133">
      <c r="A133" s="26">
        <v>44734.865811875</v>
      </c>
      <c r="B133" s="20" t="s">
        <v>345</v>
      </c>
      <c r="C133" s="20">
        <v>284.0</v>
      </c>
      <c r="D133" s="20" t="s">
        <v>462</v>
      </c>
      <c r="E133" s="20" t="s">
        <v>2344</v>
      </c>
    </row>
    <row r="134">
      <c r="A134" s="26">
        <v>44734.86606556713</v>
      </c>
      <c r="B134" s="20" t="s">
        <v>345</v>
      </c>
      <c r="C134" s="20">
        <v>142.0</v>
      </c>
      <c r="D134" s="20" t="s">
        <v>477</v>
      </c>
      <c r="E134" s="20" t="s">
        <v>476</v>
      </c>
    </row>
    <row r="135">
      <c r="A135" s="26">
        <v>44734.86631144676</v>
      </c>
      <c r="B135" s="20" t="s">
        <v>345</v>
      </c>
      <c r="C135" s="20">
        <v>52.0</v>
      </c>
      <c r="D135" s="20" t="s">
        <v>2353</v>
      </c>
      <c r="E135" s="20" t="s">
        <v>2354</v>
      </c>
    </row>
    <row r="136">
      <c r="A136" s="26">
        <v>44734.86778053241</v>
      </c>
      <c r="B136" s="20" t="s">
        <v>345</v>
      </c>
      <c r="C136" s="20">
        <v>155.0</v>
      </c>
      <c r="D136" s="20" t="s">
        <v>497</v>
      </c>
      <c r="E136" s="20" t="s">
        <v>438</v>
      </c>
    </row>
    <row r="137">
      <c r="A137" s="26">
        <v>44734.86800134259</v>
      </c>
      <c r="B137" s="20" t="s">
        <v>345</v>
      </c>
      <c r="C137" s="20">
        <v>-4.0</v>
      </c>
      <c r="D137" s="20" t="s">
        <v>459</v>
      </c>
      <c r="E137" s="20" t="s">
        <v>76</v>
      </c>
    </row>
    <row r="138">
      <c r="A138" s="26">
        <v>44734.87100474537</v>
      </c>
      <c r="B138" s="20" t="s">
        <v>345</v>
      </c>
      <c r="C138" s="20">
        <v>124.0</v>
      </c>
      <c r="D138" s="20" t="s">
        <v>459</v>
      </c>
      <c r="E138" s="20" t="s">
        <v>76</v>
      </c>
    </row>
    <row r="139">
      <c r="A139" s="26">
        <v>44734.87153962963</v>
      </c>
      <c r="B139" s="20" t="s">
        <v>345</v>
      </c>
      <c r="C139" s="20">
        <v>376.0</v>
      </c>
      <c r="D139" s="20" t="s">
        <v>2377</v>
      </c>
      <c r="E139" s="20" t="s">
        <v>2378</v>
      </c>
    </row>
    <row r="140">
      <c r="A140" s="26">
        <v>44735.857985173614</v>
      </c>
      <c r="B140" s="20" t="s">
        <v>345</v>
      </c>
      <c r="C140" s="20">
        <v>62.0</v>
      </c>
      <c r="D140" s="20" t="s">
        <v>2297</v>
      </c>
      <c r="E140" s="20" t="s">
        <v>2379</v>
      </c>
    </row>
    <row r="141">
      <c r="A141" s="26">
        <v>44735.85841168981</v>
      </c>
      <c r="B141" s="20" t="s">
        <v>345</v>
      </c>
      <c r="C141" s="20">
        <v>282.0</v>
      </c>
      <c r="D141" s="20" t="s">
        <v>451</v>
      </c>
      <c r="E141" s="20" t="s">
        <v>76</v>
      </c>
    </row>
    <row r="142">
      <c r="A142" s="26">
        <v>44735.85861045139</v>
      </c>
      <c r="B142" s="20" t="s">
        <v>345</v>
      </c>
      <c r="C142" s="20">
        <v>179.0</v>
      </c>
      <c r="D142" s="20" t="s">
        <v>509</v>
      </c>
      <c r="E142" s="20" t="s">
        <v>391</v>
      </c>
    </row>
    <row r="143">
      <c r="A143" s="26">
        <v>44735.85919534722</v>
      </c>
      <c r="B143" s="20" t="s">
        <v>345</v>
      </c>
      <c r="C143" s="20">
        <v>174.0</v>
      </c>
      <c r="D143" s="20" t="s">
        <v>503</v>
      </c>
      <c r="E143" s="20" t="s">
        <v>391</v>
      </c>
    </row>
    <row r="144">
      <c r="A144" s="26">
        <v>44735.859686655094</v>
      </c>
      <c r="B144" s="20" t="s">
        <v>345</v>
      </c>
      <c r="C144" s="20">
        <v>11.0</v>
      </c>
      <c r="D144" s="20" t="s">
        <v>2374</v>
      </c>
      <c r="E144" s="20" t="s">
        <v>2380</v>
      </c>
    </row>
    <row r="145">
      <c r="A145" s="26">
        <v>44735.85996287037</v>
      </c>
      <c r="B145" s="20" t="s">
        <v>345</v>
      </c>
      <c r="C145" s="20">
        <v>18.0</v>
      </c>
      <c r="D145" s="20" t="s">
        <v>2301</v>
      </c>
      <c r="E145" s="20" t="s">
        <v>408</v>
      </c>
    </row>
    <row r="146">
      <c r="A146" s="26">
        <v>44735.86027243055</v>
      </c>
      <c r="B146" s="20" t="s">
        <v>345</v>
      </c>
      <c r="C146" s="20">
        <v>9.0</v>
      </c>
      <c r="D146" s="20" t="s">
        <v>2300</v>
      </c>
      <c r="E146" s="20" t="s">
        <v>117</v>
      </c>
    </row>
    <row r="147">
      <c r="A147" s="26">
        <v>44735.86088212963</v>
      </c>
      <c r="B147" s="20" t="s">
        <v>345</v>
      </c>
      <c r="C147" s="20">
        <v>16.0</v>
      </c>
      <c r="D147" s="20" t="s">
        <v>520</v>
      </c>
      <c r="E147" s="20" t="s">
        <v>2381</v>
      </c>
    </row>
    <row r="148">
      <c r="A148" s="26">
        <v>44735.86237101852</v>
      </c>
      <c r="B148" s="20" t="s">
        <v>345</v>
      </c>
      <c r="C148" s="20">
        <v>81.0</v>
      </c>
      <c r="D148" s="20" t="s">
        <v>2289</v>
      </c>
      <c r="E148" s="20" t="s">
        <v>448</v>
      </c>
    </row>
    <row r="149">
      <c r="A149" s="26">
        <v>44735.863220196756</v>
      </c>
      <c r="B149" s="20" t="s">
        <v>345</v>
      </c>
      <c r="C149" s="20">
        <v>204.0</v>
      </c>
      <c r="D149" s="20" t="s">
        <v>2352</v>
      </c>
      <c r="E149" s="20" t="s">
        <v>239</v>
      </c>
    </row>
    <row r="150">
      <c r="A150" s="26">
        <v>44735.863699849535</v>
      </c>
      <c r="B150" s="20" t="s">
        <v>345</v>
      </c>
      <c r="C150" s="20">
        <v>48.0</v>
      </c>
      <c r="D150" s="20" t="s">
        <v>595</v>
      </c>
      <c r="E150" s="20" t="s">
        <v>239</v>
      </c>
    </row>
    <row r="151">
      <c r="A151" s="26">
        <v>44735.86474497685</v>
      </c>
      <c r="B151" s="20" t="s">
        <v>345</v>
      </c>
      <c r="C151" s="20">
        <v>-545.0</v>
      </c>
      <c r="D151" s="20" t="s">
        <v>2352</v>
      </c>
      <c r="E151" s="20" t="s">
        <v>239</v>
      </c>
    </row>
    <row r="152">
      <c r="A152" s="26">
        <v>44735.865879537036</v>
      </c>
      <c r="B152" s="20" t="s">
        <v>345</v>
      </c>
      <c r="C152" s="20">
        <v>543.0</v>
      </c>
      <c r="D152" s="20" t="s">
        <v>2352</v>
      </c>
      <c r="E152" s="20" t="s">
        <v>239</v>
      </c>
    </row>
    <row r="153">
      <c r="A153" s="26">
        <v>44735.86614731481</v>
      </c>
      <c r="B153" s="20" t="s">
        <v>345</v>
      </c>
      <c r="C153" s="20">
        <v>106.0</v>
      </c>
      <c r="D153" s="20" t="s">
        <v>2358</v>
      </c>
      <c r="E153" s="20" t="s">
        <v>313</v>
      </c>
    </row>
    <row r="154">
      <c r="A154" s="26">
        <v>44735.86712277778</v>
      </c>
      <c r="B154" s="20" t="s">
        <v>345</v>
      </c>
      <c r="C154" s="20">
        <v>199.0</v>
      </c>
      <c r="D154" s="20" t="s">
        <v>2356</v>
      </c>
      <c r="E154" s="20" t="s">
        <v>2382</v>
      </c>
    </row>
    <row r="155">
      <c r="A155" s="26">
        <v>44735.86916564815</v>
      </c>
      <c r="B155" s="20" t="s">
        <v>345</v>
      </c>
      <c r="C155" s="20">
        <v>92.0</v>
      </c>
      <c r="D155" s="20" t="s">
        <v>2353</v>
      </c>
      <c r="E155" s="20" t="s">
        <v>2383</v>
      </c>
    </row>
    <row r="156">
      <c r="A156" s="26">
        <v>44735.86944672454</v>
      </c>
      <c r="B156" s="20" t="s">
        <v>345</v>
      </c>
      <c r="C156" s="20">
        <v>79.0</v>
      </c>
      <c r="D156" s="20" t="s">
        <v>472</v>
      </c>
      <c r="E156" s="20" t="s">
        <v>439</v>
      </c>
    </row>
    <row r="157">
      <c r="A157" s="26">
        <v>44735.86974603009</v>
      </c>
      <c r="B157" s="20" t="s">
        <v>345</v>
      </c>
      <c r="C157" s="20">
        <v>40.0</v>
      </c>
      <c r="D157" s="20" t="s">
        <v>2361</v>
      </c>
      <c r="E157" s="20" t="s">
        <v>283</v>
      </c>
    </row>
    <row r="158">
      <c r="A158" s="26">
        <v>44735.8701296875</v>
      </c>
      <c r="B158" s="20" t="s">
        <v>345</v>
      </c>
      <c r="C158" s="20">
        <v>71.0</v>
      </c>
      <c r="D158" s="20" t="s">
        <v>2296</v>
      </c>
      <c r="E158" s="20" t="s">
        <v>210</v>
      </c>
    </row>
    <row r="159">
      <c r="A159" s="26">
        <v>44736.67586396991</v>
      </c>
      <c r="B159" s="20" t="s">
        <v>345</v>
      </c>
      <c r="C159" s="20">
        <v>1139.0</v>
      </c>
      <c r="D159" s="20" t="s">
        <v>449</v>
      </c>
      <c r="E159" s="20" t="s">
        <v>2345</v>
      </c>
    </row>
    <row r="160">
      <c r="A160" s="26">
        <v>44736.676042754625</v>
      </c>
      <c r="B160" s="20" t="s">
        <v>345</v>
      </c>
      <c r="C160" s="20">
        <v>-31.0</v>
      </c>
      <c r="D160" s="20" t="s">
        <v>451</v>
      </c>
      <c r="E160" s="20" t="s">
        <v>76</v>
      </c>
    </row>
    <row r="161">
      <c r="A161" s="28">
        <v>44737.0</v>
      </c>
      <c r="B161" s="20" t="s">
        <v>345</v>
      </c>
      <c r="C161" s="20">
        <v>-254.0</v>
      </c>
      <c r="D161" s="20" t="s">
        <v>449</v>
      </c>
      <c r="E161" s="20" t="s">
        <v>442</v>
      </c>
    </row>
    <row r="162">
      <c r="A162" s="28">
        <v>44737.0</v>
      </c>
      <c r="B162" s="20" t="s">
        <v>345</v>
      </c>
      <c r="C162" s="20">
        <v>323.0</v>
      </c>
      <c r="D162" s="20" t="s">
        <v>449</v>
      </c>
      <c r="E162" s="20" t="s">
        <v>47</v>
      </c>
    </row>
    <row r="163">
      <c r="A163" s="28">
        <v>44737.0</v>
      </c>
      <c r="B163" s="20" t="s">
        <v>345</v>
      </c>
      <c r="C163" s="20">
        <v>-48.0</v>
      </c>
      <c r="D163" s="20" t="s">
        <v>449</v>
      </c>
      <c r="E163" s="20" t="s">
        <v>441</v>
      </c>
    </row>
    <row r="164">
      <c r="A164" s="28">
        <v>44737.0</v>
      </c>
      <c r="B164" s="20" t="s">
        <v>345</v>
      </c>
      <c r="C164" s="20">
        <v>229.0</v>
      </c>
      <c r="D164" s="20" t="s">
        <v>2384</v>
      </c>
      <c r="E164" s="20" t="s">
        <v>446</v>
      </c>
    </row>
    <row r="165">
      <c r="A165" s="26">
        <v>44737.551375069444</v>
      </c>
      <c r="B165" s="20" t="s">
        <v>92</v>
      </c>
      <c r="C165" s="20">
        <v>-199.0</v>
      </c>
      <c r="D165" s="20" t="s">
        <v>453</v>
      </c>
      <c r="E165" s="20" t="s">
        <v>391</v>
      </c>
    </row>
    <row r="166">
      <c r="A166" s="26">
        <v>44737.55166452547</v>
      </c>
      <c r="B166" s="20" t="s">
        <v>91</v>
      </c>
      <c r="C166" s="20">
        <v>-181.0</v>
      </c>
      <c r="D166" s="20" t="s">
        <v>454</v>
      </c>
      <c r="E166" s="20" t="s">
        <v>391</v>
      </c>
    </row>
    <row r="167">
      <c r="A167" s="26">
        <v>44737.55205559028</v>
      </c>
      <c r="B167" s="20" t="s">
        <v>94</v>
      </c>
      <c r="C167" s="20">
        <v>-372.0</v>
      </c>
      <c r="D167" s="20" t="s">
        <v>455</v>
      </c>
      <c r="E167" s="20" t="s">
        <v>239</v>
      </c>
    </row>
    <row r="168">
      <c r="A168" s="26">
        <v>44737.55257693287</v>
      </c>
      <c r="B168" s="20" t="s">
        <v>91</v>
      </c>
      <c r="C168" s="20">
        <v>-596.0</v>
      </c>
      <c r="D168" s="20" t="s">
        <v>456</v>
      </c>
      <c r="E168" s="20" t="s">
        <v>239</v>
      </c>
    </row>
    <row r="169">
      <c r="A169" s="26">
        <v>44737.55331449074</v>
      </c>
      <c r="B169" s="20" t="s">
        <v>92</v>
      </c>
      <c r="C169" s="20">
        <v>-1305.0</v>
      </c>
      <c r="D169" s="20" t="s">
        <v>458</v>
      </c>
      <c r="E169" s="20" t="s">
        <v>470</v>
      </c>
    </row>
    <row r="170">
      <c r="A170" s="26">
        <v>44737.55367837963</v>
      </c>
      <c r="B170" s="20" t="s">
        <v>2385</v>
      </c>
      <c r="C170" s="20">
        <v>-580.0</v>
      </c>
      <c r="D170" s="20" t="s">
        <v>458</v>
      </c>
      <c r="E170" s="20" t="s">
        <v>76</v>
      </c>
    </row>
    <row r="171">
      <c r="A171" s="26">
        <v>44737.55399487268</v>
      </c>
      <c r="B171" s="20" t="s">
        <v>91</v>
      </c>
      <c r="C171" s="20">
        <v>-296.0</v>
      </c>
      <c r="D171" s="20" t="s">
        <v>459</v>
      </c>
      <c r="E171" s="20" t="s">
        <v>76</v>
      </c>
    </row>
    <row r="172">
      <c r="A172" s="26">
        <v>44737.55428515046</v>
      </c>
      <c r="B172" s="20" t="s">
        <v>91</v>
      </c>
      <c r="C172" s="20">
        <v>-1485.0</v>
      </c>
      <c r="D172" s="20" t="s">
        <v>455</v>
      </c>
      <c r="E172" s="20" t="s">
        <v>2345</v>
      </c>
    </row>
    <row r="173">
      <c r="A173" s="26">
        <v>44737.55460122685</v>
      </c>
      <c r="B173" s="20" t="s">
        <v>91</v>
      </c>
      <c r="C173" s="20">
        <v>-1728.0</v>
      </c>
      <c r="D173" s="20" t="s">
        <v>455</v>
      </c>
      <c r="E173" s="20" t="s">
        <v>2345</v>
      </c>
    </row>
    <row r="174">
      <c r="A174" s="26">
        <v>44737.55510738426</v>
      </c>
      <c r="B174" s="20" t="s">
        <v>91</v>
      </c>
      <c r="C174" s="20">
        <v>-1224.0</v>
      </c>
      <c r="D174" s="20" t="s">
        <v>460</v>
      </c>
      <c r="E174" s="20" t="s">
        <v>58</v>
      </c>
    </row>
    <row r="175">
      <c r="A175" s="26">
        <v>44737.55538115741</v>
      </c>
      <c r="B175" s="20" t="s">
        <v>91</v>
      </c>
      <c r="C175" s="20">
        <v>-244.0</v>
      </c>
      <c r="D175" s="20" t="s">
        <v>461</v>
      </c>
      <c r="E175" s="20" t="s">
        <v>391</v>
      </c>
    </row>
    <row r="176">
      <c r="A176" s="26">
        <v>44737.5557381713</v>
      </c>
      <c r="B176" s="20" t="s">
        <v>91</v>
      </c>
      <c r="C176" s="20">
        <v>-900.0</v>
      </c>
      <c r="D176" s="20" t="s">
        <v>462</v>
      </c>
      <c r="E176" s="20" t="s">
        <v>2344</v>
      </c>
    </row>
    <row r="177">
      <c r="A177" s="26">
        <v>44737.55610212963</v>
      </c>
      <c r="B177" s="20" t="s">
        <v>91</v>
      </c>
      <c r="C177" s="20">
        <v>-788.0</v>
      </c>
      <c r="D177" s="20" t="s">
        <v>455</v>
      </c>
      <c r="E177" s="20" t="s">
        <v>47</v>
      </c>
    </row>
    <row r="178">
      <c r="A178" s="26">
        <v>44737.55642876157</v>
      </c>
      <c r="B178" s="20" t="s">
        <v>91</v>
      </c>
      <c r="C178" s="20">
        <v>-832.0</v>
      </c>
      <c r="D178" s="20" t="s">
        <v>455</v>
      </c>
      <c r="E178" s="20" t="s">
        <v>47</v>
      </c>
    </row>
    <row r="179">
      <c r="A179" s="26">
        <v>44737.556723981485</v>
      </c>
      <c r="B179" s="20" t="s">
        <v>91</v>
      </c>
      <c r="C179" s="20">
        <v>-470.0</v>
      </c>
      <c r="D179" s="20" t="s">
        <v>455</v>
      </c>
      <c r="E179" s="20" t="s">
        <v>2321</v>
      </c>
    </row>
    <row r="180">
      <c r="A180" s="26">
        <v>44737.55897195602</v>
      </c>
      <c r="B180" s="20" t="s">
        <v>91</v>
      </c>
      <c r="C180" s="20">
        <v>-389.0</v>
      </c>
      <c r="D180" s="20" t="s">
        <v>455</v>
      </c>
      <c r="E180" s="20" t="s">
        <v>40</v>
      </c>
    </row>
    <row r="181">
      <c r="A181" s="26">
        <v>44737.5597007176</v>
      </c>
      <c r="B181" s="20" t="s">
        <v>91</v>
      </c>
      <c r="C181" s="20">
        <v>-398.0</v>
      </c>
      <c r="D181" s="20" t="s">
        <v>455</v>
      </c>
      <c r="E181" s="20" t="s">
        <v>40</v>
      </c>
    </row>
    <row r="182">
      <c r="A182" s="28">
        <v>44737.0</v>
      </c>
      <c r="B182" s="20" t="s">
        <v>345</v>
      </c>
      <c r="C182" s="20">
        <v>-305.0</v>
      </c>
      <c r="D182" s="20" t="s">
        <v>456</v>
      </c>
      <c r="E182" s="20" t="s">
        <v>636</v>
      </c>
    </row>
    <row r="183">
      <c r="A183" s="28">
        <v>44737.0</v>
      </c>
      <c r="B183" s="20" t="s">
        <v>345</v>
      </c>
      <c r="C183" s="20">
        <v>-372.0</v>
      </c>
      <c r="D183" s="20" t="s">
        <v>595</v>
      </c>
      <c r="E183" s="20" t="s">
        <v>317</v>
      </c>
    </row>
    <row r="184">
      <c r="A184" s="28">
        <v>44737.0</v>
      </c>
      <c r="B184" s="20" t="s">
        <v>345</v>
      </c>
      <c r="C184" s="20">
        <v>-788.0</v>
      </c>
      <c r="D184" s="20" t="s">
        <v>2386</v>
      </c>
      <c r="E184" s="20" t="s">
        <v>47</v>
      </c>
    </row>
    <row r="185">
      <c r="A185" s="28">
        <v>44737.0</v>
      </c>
      <c r="B185" s="20" t="s">
        <v>345</v>
      </c>
      <c r="C185" s="20">
        <v>-832.0</v>
      </c>
      <c r="D185" s="20" t="s">
        <v>2386</v>
      </c>
      <c r="E185" s="20" t="s">
        <v>47</v>
      </c>
    </row>
    <row r="186">
      <c r="A186" s="28">
        <v>44737.0</v>
      </c>
      <c r="B186" s="20" t="s">
        <v>345</v>
      </c>
      <c r="C186" s="20">
        <v>227.0</v>
      </c>
      <c r="D186" s="20" t="s">
        <v>449</v>
      </c>
      <c r="E186" s="20" t="s">
        <v>76</v>
      </c>
    </row>
    <row r="187">
      <c r="A187" s="28">
        <v>44737.0</v>
      </c>
      <c r="B187" s="20" t="s">
        <v>345</v>
      </c>
      <c r="C187" s="20">
        <v>446.0</v>
      </c>
      <c r="D187" s="20" t="s">
        <v>449</v>
      </c>
      <c r="E187" s="20" t="s">
        <v>58</v>
      </c>
    </row>
    <row r="188">
      <c r="A188" s="28">
        <v>44737.0</v>
      </c>
      <c r="B188" s="20" t="s">
        <v>345</v>
      </c>
      <c r="C188" s="20">
        <v>1278.0</v>
      </c>
      <c r="D188" s="20" t="s">
        <v>449</v>
      </c>
      <c r="E188" s="20" t="s">
        <v>93</v>
      </c>
    </row>
    <row r="189">
      <c r="A189" s="28">
        <v>44737.0</v>
      </c>
      <c r="B189" s="20" t="s">
        <v>345</v>
      </c>
      <c r="C189" s="20">
        <v>262.0</v>
      </c>
      <c r="D189" s="20" t="s">
        <v>449</v>
      </c>
      <c r="E189" s="20" t="s">
        <v>76</v>
      </c>
    </row>
    <row r="190">
      <c r="A190" s="28">
        <v>44737.0</v>
      </c>
      <c r="B190" s="20" t="s">
        <v>345</v>
      </c>
      <c r="C190" s="20">
        <v>428.0</v>
      </c>
      <c r="D190" s="20" t="s">
        <v>449</v>
      </c>
      <c r="E190" s="20" t="s">
        <v>463</v>
      </c>
    </row>
    <row r="191">
      <c r="A191" s="28">
        <v>44737.0</v>
      </c>
      <c r="B191" s="20" t="s">
        <v>345</v>
      </c>
      <c r="C191" s="20">
        <v>251.0</v>
      </c>
      <c r="D191" s="20" t="s">
        <v>449</v>
      </c>
      <c r="E191" s="20" t="s">
        <v>404</v>
      </c>
    </row>
    <row r="192">
      <c r="A192" s="28">
        <v>44738.0</v>
      </c>
      <c r="B192" s="20" t="s">
        <v>345</v>
      </c>
      <c r="C192" s="20">
        <v>-8.0</v>
      </c>
      <c r="D192" s="20" t="s">
        <v>2300</v>
      </c>
      <c r="E192" s="20" t="s">
        <v>2387</v>
      </c>
    </row>
    <row r="193">
      <c r="A193" s="28">
        <v>44738.0</v>
      </c>
      <c r="B193" s="20" t="s">
        <v>345</v>
      </c>
      <c r="C193" s="20">
        <v>-4.0</v>
      </c>
      <c r="D193" s="20" t="s">
        <v>2301</v>
      </c>
      <c r="E193" s="20" t="s">
        <v>2388</v>
      </c>
    </row>
    <row r="194">
      <c r="A194" s="28">
        <v>44738.0</v>
      </c>
      <c r="B194" s="20" t="s">
        <v>345</v>
      </c>
      <c r="C194" s="20">
        <v>-15.0</v>
      </c>
      <c r="D194" s="20" t="s">
        <v>449</v>
      </c>
      <c r="E194" s="20" t="s">
        <v>76</v>
      </c>
    </row>
    <row r="195">
      <c r="A195" s="28">
        <v>44738.0</v>
      </c>
      <c r="B195" s="20" t="s">
        <v>345</v>
      </c>
      <c r="C195" s="20">
        <v>-4.0</v>
      </c>
      <c r="D195" s="20" t="s">
        <v>449</v>
      </c>
      <c r="E195" s="20" t="s">
        <v>43</v>
      </c>
    </row>
    <row r="196">
      <c r="A196" s="28">
        <v>44738.0</v>
      </c>
      <c r="B196" s="20" t="s">
        <v>345</v>
      </c>
      <c r="C196" s="20">
        <v>-12.0</v>
      </c>
      <c r="D196" s="20" t="s">
        <v>449</v>
      </c>
      <c r="E196" s="20" t="s">
        <v>58</v>
      </c>
    </row>
    <row r="197">
      <c r="A197" s="28">
        <v>44738.0</v>
      </c>
      <c r="B197" s="20" t="s">
        <v>345</v>
      </c>
      <c r="C197" s="20">
        <v>-32.0</v>
      </c>
      <c r="D197" s="20" t="s">
        <v>449</v>
      </c>
      <c r="E197" s="20" t="s">
        <v>2185</v>
      </c>
    </row>
    <row r="198">
      <c r="A198" s="28">
        <v>44738.0</v>
      </c>
      <c r="B198" s="20" t="s">
        <v>345</v>
      </c>
      <c r="C198" s="20">
        <v>575.0</v>
      </c>
      <c r="D198" s="20" t="s">
        <v>462</v>
      </c>
      <c r="E198" s="20" t="s">
        <v>320</v>
      </c>
    </row>
    <row r="199">
      <c r="A199" s="28">
        <v>44738.0</v>
      </c>
      <c r="B199" s="20" t="s">
        <v>345</v>
      </c>
      <c r="C199" s="20">
        <v>186.0</v>
      </c>
      <c r="D199" s="20" t="s">
        <v>511</v>
      </c>
      <c r="E199" s="20" t="s">
        <v>490</v>
      </c>
    </row>
    <row r="200">
      <c r="A200" s="28">
        <v>44738.0</v>
      </c>
      <c r="B200" s="20" t="s">
        <v>345</v>
      </c>
      <c r="C200" s="20">
        <v>-227.0</v>
      </c>
      <c r="D200" s="20" t="s">
        <v>449</v>
      </c>
      <c r="E200" s="20" t="s">
        <v>76</v>
      </c>
    </row>
    <row r="201">
      <c r="A201" s="28">
        <v>44738.0</v>
      </c>
      <c r="B201" s="20" t="s">
        <v>345</v>
      </c>
      <c r="C201" s="20">
        <v>-323.0</v>
      </c>
      <c r="D201" s="20" t="s">
        <v>449</v>
      </c>
      <c r="E201" s="20" t="s">
        <v>47</v>
      </c>
    </row>
    <row r="202">
      <c r="A202" s="28">
        <v>44738.0</v>
      </c>
      <c r="B202" s="20" t="s">
        <v>345</v>
      </c>
      <c r="C202" s="20">
        <v>-120.0</v>
      </c>
      <c r="D202" s="20" t="s">
        <v>449</v>
      </c>
      <c r="E202" s="20" t="s">
        <v>38</v>
      </c>
    </row>
    <row r="203">
      <c r="A203" s="28">
        <v>44738.0</v>
      </c>
      <c r="B203" s="20" t="s">
        <v>345</v>
      </c>
      <c r="C203" s="20">
        <v>-444.0</v>
      </c>
      <c r="D203" s="20" t="s">
        <v>449</v>
      </c>
      <c r="E203" s="20" t="s">
        <v>58</v>
      </c>
    </row>
    <row r="204">
      <c r="A204" s="28">
        <v>44738.0</v>
      </c>
      <c r="B204" s="20" t="s">
        <v>345</v>
      </c>
      <c r="C204" s="20">
        <v>-439.0</v>
      </c>
      <c r="D204" s="20" t="s">
        <v>449</v>
      </c>
      <c r="E204" s="20" t="s">
        <v>417</v>
      </c>
    </row>
    <row r="205">
      <c r="A205" s="28">
        <v>44738.0</v>
      </c>
      <c r="B205" s="20" t="s">
        <v>345</v>
      </c>
      <c r="C205" s="20">
        <v>-262.0</v>
      </c>
      <c r="D205" s="20" t="s">
        <v>449</v>
      </c>
      <c r="E205" s="20" t="s">
        <v>76</v>
      </c>
    </row>
    <row r="206">
      <c r="A206" s="28">
        <v>44738.0</v>
      </c>
      <c r="B206" s="20" t="s">
        <v>345</v>
      </c>
      <c r="C206" s="20">
        <v>-527.0</v>
      </c>
      <c r="D206" s="20" t="s">
        <v>449</v>
      </c>
      <c r="E206" s="20" t="s">
        <v>40</v>
      </c>
    </row>
    <row r="207">
      <c r="A207" s="28">
        <v>44738.0</v>
      </c>
      <c r="B207" s="20" t="s">
        <v>345</v>
      </c>
      <c r="C207" s="20">
        <v>-216.0</v>
      </c>
      <c r="D207" s="20" t="s">
        <v>449</v>
      </c>
      <c r="E207" s="20" t="s">
        <v>40</v>
      </c>
    </row>
    <row r="208">
      <c r="A208" s="28">
        <v>44738.0</v>
      </c>
      <c r="B208" s="20" t="s">
        <v>345</v>
      </c>
      <c r="C208" s="20">
        <v>-494.0</v>
      </c>
      <c r="D208" s="20" t="s">
        <v>449</v>
      </c>
      <c r="E208" s="20" t="s">
        <v>40</v>
      </c>
    </row>
    <row r="209">
      <c r="A209" s="28">
        <v>44738.0</v>
      </c>
      <c r="B209" s="20" t="s">
        <v>345</v>
      </c>
      <c r="C209" s="20">
        <v>-42.0</v>
      </c>
      <c r="D209" s="20" t="s">
        <v>449</v>
      </c>
      <c r="E209" s="20" t="s">
        <v>40</v>
      </c>
    </row>
    <row r="210">
      <c r="A210" s="28">
        <v>44738.0</v>
      </c>
      <c r="B210" s="20" t="s">
        <v>345</v>
      </c>
      <c r="C210" s="20">
        <v>-37.0</v>
      </c>
      <c r="D210" s="20" t="s">
        <v>449</v>
      </c>
      <c r="E210" s="20" t="s">
        <v>40</v>
      </c>
    </row>
    <row r="211">
      <c r="A211" s="28">
        <v>44738.0</v>
      </c>
      <c r="B211" s="20" t="s">
        <v>345</v>
      </c>
      <c r="C211" s="20">
        <v>-163.0</v>
      </c>
      <c r="D211" s="20" t="s">
        <v>449</v>
      </c>
      <c r="E211" s="20" t="s">
        <v>465</v>
      </c>
    </row>
    <row r="212">
      <c r="A212" s="28">
        <v>44738.0</v>
      </c>
      <c r="B212" s="20" t="s">
        <v>345</v>
      </c>
      <c r="C212" s="20">
        <v>-86.0</v>
      </c>
      <c r="D212" s="20" t="s">
        <v>449</v>
      </c>
      <c r="E212" s="20" t="s">
        <v>40</v>
      </c>
    </row>
    <row r="213">
      <c r="A213" s="28">
        <v>44738.0</v>
      </c>
      <c r="B213" s="20" t="s">
        <v>345</v>
      </c>
      <c r="C213" s="20">
        <v>-13.0</v>
      </c>
      <c r="D213" s="20" t="s">
        <v>449</v>
      </c>
      <c r="E213" s="20" t="s">
        <v>417</v>
      </c>
    </row>
    <row r="214">
      <c r="A214" s="28">
        <v>44741.0</v>
      </c>
      <c r="B214" s="20" t="s">
        <v>345</v>
      </c>
      <c r="C214" s="20">
        <v>-2.0</v>
      </c>
      <c r="D214" s="20" t="s">
        <v>2296</v>
      </c>
      <c r="E214" s="20" t="s">
        <v>210</v>
      </c>
    </row>
    <row r="215">
      <c r="A215" s="28">
        <v>44741.0</v>
      </c>
      <c r="B215" s="20" t="s">
        <v>345</v>
      </c>
      <c r="C215" s="20">
        <v>13.0</v>
      </c>
      <c r="D215" s="20" t="s">
        <v>520</v>
      </c>
      <c r="E215" s="20" t="s">
        <v>309</v>
      </c>
    </row>
    <row r="216">
      <c r="A216" s="28">
        <v>44741.0</v>
      </c>
      <c r="B216" s="20" t="s">
        <v>345</v>
      </c>
      <c r="C216" s="20">
        <v>38.0</v>
      </c>
      <c r="D216" s="20" t="s">
        <v>2358</v>
      </c>
      <c r="E216" s="20" t="s">
        <v>313</v>
      </c>
    </row>
    <row r="217">
      <c r="A217" s="28">
        <v>44741.0</v>
      </c>
      <c r="B217" s="20" t="s">
        <v>345</v>
      </c>
      <c r="C217" s="20">
        <v>13.0</v>
      </c>
      <c r="D217" s="20" t="s">
        <v>520</v>
      </c>
      <c r="E217" s="20" t="s">
        <v>2389</v>
      </c>
    </row>
    <row r="218">
      <c r="A218" s="28">
        <v>44741.0</v>
      </c>
      <c r="B218" s="20" t="s">
        <v>345</v>
      </c>
      <c r="C218" s="20">
        <v>125.0</v>
      </c>
      <c r="D218" s="20" t="s">
        <v>2390</v>
      </c>
      <c r="E218" s="20" t="s">
        <v>577</v>
      </c>
    </row>
    <row r="219">
      <c r="A219" s="28">
        <v>44741.0</v>
      </c>
      <c r="B219" s="20" t="s">
        <v>345</v>
      </c>
      <c r="C219" s="20">
        <v>1094.0</v>
      </c>
      <c r="D219" s="20" t="s">
        <v>2391</v>
      </c>
      <c r="E219" s="20" t="s">
        <v>404</v>
      </c>
    </row>
    <row r="220">
      <c r="A220" s="28">
        <v>44741.0</v>
      </c>
      <c r="B220" s="20" t="s">
        <v>345</v>
      </c>
      <c r="C220" s="20">
        <v>1061.0</v>
      </c>
      <c r="D220" s="20" t="s">
        <v>2392</v>
      </c>
      <c r="E220" s="20" t="s">
        <v>2393</v>
      </c>
    </row>
    <row r="221">
      <c r="A221" s="28">
        <v>44741.0</v>
      </c>
      <c r="B221" s="20" t="s">
        <v>345</v>
      </c>
      <c r="C221" s="20">
        <v>721.0</v>
      </c>
      <c r="D221" s="20" t="s">
        <v>481</v>
      </c>
      <c r="E221" s="20" t="s">
        <v>58</v>
      </c>
    </row>
    <row r="222">
      <c r="A222" s="26">
        <v>44741.835491307866</v>
      </c>
      <c r="B222" s="20" t="s">
        <v>345</v>
      </c>
      <c r="C222" s="20">
        <v>1253.0</v>
      </c>
      <c r="D222" s="20" t="s">
        <v>460</v>
      </c>
      <c r="E222" s="20" t="s">
        <v>58</v>
      </c>
    </row>
    <row r="223">
      <c r="A223" s="26">
        <v>44741.83588863426</v>
      </c>
      <c r="B223" s="20" t="s">
        <v>345</v>
      </c>
      <c r="C223" s="20">
        <v>-198.0</v>
      </c>
      <c r="D223" s="20" t="s">
        <v>472</v>
      </c>
      <c r="E223" s="20" t="s">
        <v>439</v>
      </c>
    </row>
    <row r="224">
      <c r="A224" s="26">
        <v>44741.836110000004</v>
      </c>
      <c r="B224" s="20" t="s">
        <v>345</v>
      </c>
      <c r="C224" s="20">
        <v>198.0</v>
      </c>
      <c r="D224" s="20" t="s">
        <v>2394</v>
      </c>
      <c r="E224" s="20" t="s">
        <v>2395</v>
      </c>
    </row>
    <row r="225">
      <c r="A225" s="26">
        <v>44741.836487673616</v>
      </c>
      <c r="B225" s="20" t="s">
        <v>345</v>
      </c>
      <c r="C225" s="20">
        <v>1210.0</v>
      </c>
      <c r="D225" s="20" t="s">
        <v>472</v>
      </c>
      <c r="E225" s="20" t="s">
        <v>58</v>
      </c>
    </row>
    <row r="226">
      <c r="A226" s="26">
        <v>44741.83686069444</v>
      </c>
      <c r="B226" s="20" t="s">
        <v>345</v>
      </c>
      <c r="C226" s="20">
        <v>322.0</v>
      </c>
      <c r="D226" s="20" t="s">
        <v>461</v>
      </c>
      <c r="E226" s="20" t="s">
        <v>391</v>
      </c>
    </row>
    <row r="227">
      <c r="A227" s="26">
        <v>44741.83706427083</v>
      </c>
      <c r="B227" s="20" t="s">
        <v>345</v>
      </c>
      <c r="C227" s="20">
        <v>315.0</v>
      </c>
      <c r="D227" s="20" t="s">
        <v>459</v>
      </c>
      <c r="E227" s="20" t="s">
        <v>76</v>
      </c>
    </row>
    <row r="228">
      <c r="A228" s="28">
        <v>44742.0</v>
      </c>
      <c r="B228" s="20" t="s">
        <v>345</v>
      </c>
      <c r="C228" s="20">
        <v>25.0</v>
      </c>
      <c r="D228" s="20" t="s">
        <v>2374</v>
      </c>
      <c r="E228" s="20" t="s">
        <v>2380</v>
      </c>
    </row>
    <row r="229">
      <c r="A229" s="28">
        <v>44742.0</v>
      </c>
      <c r="B229" s="20" t="s">
        <v>345</v>
      </c>
      <c r="C229" s="20">
        <v>97.0</v>
      </c>
      <c r="D229" s="20" t="s">
        <v>2289</v>
      </c>
      <c r="E229" s="20" t="s">
        <v>448</v>
      </c>
    </row>
    <row r="230">
      <c r="A230" s="28">
        <v>44742.0</v>
      </c>
      <c r="B230" s="20" t="s">
        <v>345</v>
      </c>
      <c r="C230" s="20">
        <v>158.0</v>
      </c>
      <c r="D230" s="20" t="s">
        <v>475</v>
      </c>
      <c r="E230" s="20" t="s">
        <v>2396</v>
      </c>
    </row>
    <row r="231">
      <c r="A231" s="28">
        <v>44742.0</v>
      </c>
      <c r="B231" s="20" t="s">
        <v>345</v>
      </c>
      <c r="C231" s="20">
        <v>298.0</v>
      </c>
      <c r="D231" s="20" t="s">
        <v>454</v>
      </c>
      <c r="E231" s="20" t="s">
        <v>2397</v>
      </c>
    </row>
    <row r="232">
      <c r="A232" s="28">
        <v>44742.0</v>
      </c>
      <c r="B232" s="20" t="s">
        <v>345</v>
      </c>
      <c r="C232" s="20">
        <v>115.0</v>
      </c>
      <c r="D232" s="20" t="s">
        <v>595</v>
      </c>
      <c r="E232" s="20" t="s">
        <v>2398</v>
      </c>
    </row>
    <row r="233">
      <c r="A233" s="28">
        <v>44742.0</v>
      </c>
      <c r="B233" s="20" t="s">
        <v>345</v>
      </c>
      <c r="C233" s="20">
        <v>299.0</v>
      </c>
      <c r="D233" s="20" t="s">
        <v>2302</v>
      </c>
      <c r="E233" s="20" t="s">
        <v>2399</v>
      </c>
    </row>
    <row r="234">
      <c r="A234" s="28">
        <v>44742.0</v>
      </c>
      <c r="B234" s="20" t="s">
        <v>345</v>
      </c>
      <c r="C234" s="20">
        <v>62.0</v>
      </c>
      <c r="D234" s="20" t="s">
        <v>456</v>
      </c>
      <c r="E234" s="20" t="s">
        <v>2399</v>
      </c>
    </row>
    <row r="235">
      <c r="A235" s="28">
        <v>44742.0</v>
      </c>
      <c r="B235" s="20" t="s">
        <v>345</v>
      </c>
      <c r="C235" s="20">
        <v>193.0</v>
      </c>
      <c r="D235" s="20" t="s">
        <v>453</v>
      </c>
      <c r="E235" s="20" t="s">
        <v>391</v>
      </c>
    </row>
    <row r="236">
      <c r="A236" s="28">
        <v>44742.0</v>
      </c>
      <c r="B236" s="20" t="s">
        <v>345</v>
      </c>
      <c r="C236" s="20">
        <v>221.0</v>
      </c>
      <c r="D236" s="20" t="s">
        <v>469</v>
      </c>
      <c r="E236" s="20" t="s">
        <v>391</v>
      </c>
    </row>
    <row r="237">
      <c r="A237" s="28">
        <v>44742.0</v>
      </c>
      <c r="B237" s="20" t="s">
        <v>345</v>
      </c>
      <c r="C237" s="20">
        <v>55.0</v>
      </c>
      <c r="D237" s="20" t="s">
        <v>502</v>
      </c>
      <c r="E237" s="20" t="s">
        <v>391</v>
      </c>
    </row>
    <row r="238">
      <c r="A238" s="28">
        <v>44742.0</v>
      </c>
      <c r="B238" s="20" t="s">
        <v>345</v>
      </c>
      <c r="C238" s="20">
        <v>400.0</v>
      </c>
      <c r="D238" s="20" t="s">
        <v>2303</v>
      </c>
      <c r="E238" s="20" t="s">
        <v>2400</v>
      </c>
    </row>
    <row r="239">
      <c r="A239" s="28">
        <v>44742.0</v>
      </c>
      <c r="B239" s="20" t="s">
        <v>345</v>
      </c>
      <c r="C239" s="20">
        <v>-35.0</v>
      </c>
      <c r="D239" s="20" t="s">
        <v>2303</v>
      </c>
      <c r="E239" s="20" t="s">
        <v>2400</v>
      </c>
    </row>
    <row r="240">
      <c r="A240" s="28">
        <v>44744.0</v>
      </c>
      <c r="B240" s="20" t="s">
        <v>345</v>
      </c>
      <c r="C240" s="20">
        <v>-221.0</v>
      </c>
      <c r="D240" s="20" t="s">
        <v>469</v>
      </c>
      <c r="E240" s="20" t="s">
        <v>490</v>
      </c>
    </row>
    <row r="241">
      <c r="A241" s="28">
        <v>44744.0</v>
      </c>
      <c r="B241" s="20" t="s">
        <v>345</v>
      </c>
      <c r="C241" s="20">
        <v>-1379.0</v>
      </c>
      <c r="D241" s="20" t="s">
        <v>471</v>
      </c>
      <c r="E241" s="20" t="s">
        <v>404</v>
      </c>
    </row>
    <row r="242">
      <c r="A242" s="28">
        <v>44744.0</v>
      </c>
      <c r="B242" s="20" t="s">
        <v>345</v>
      </c>
      <c r="C242" s="20">
        <v>-1210.0</v>
      </c>
      <c r="D242" s="20" t="s">
        <v>472</v>
      </c>
      <c r="E242" s="20" t="s">
        <v>58</v>
      </c>
    </row>
    <row r="243">
      <c r="A243" s="28">
        <v>44744.0</v>
      </c>
      <c r="B243" s="20" t="s">
        <v>345</v>
      </c>
      <c r="C243" s="20">
        <v>-1666.0</v>
      </c>
      <c r="D243" s="20" t="s">
        <v>473</v>
      </c>
      <c r="E243" s="20" t="s">
        <v>93</v>
      </c>
    </row>
    <row r="244">
      <c r="A244" s="28">
        <v>44744.0</v>
      </c>
      <c r="B244" s="20" t="s">
        <v>345</v>
      </c>
      <c r="C244" s="20">
        <v>-1238.0</v>
      </c>
      <c r="D244" s="20" t="s">
        <v>449</v>
      </c>
      <c r="E244" s="20" t="s">
        <v>93</v>
      </c>
    </row>
    <row r="245">
      <c r="A245" s="28">
        <v>44744.0</v>
      </c>
      <c r="B245" s="20" t="s">
        <v>345</v>
      </c>
      <c r="C245" s="20">
        <v>-164.0</v>
      </c>
      <c r="D245" s="20" t="s">
        <v>449</v>
      </c>
      <c r="E245" s="20" t="s">
        <v>490</v>
      </c>
    </row>
    <row r="246">
      <c r="A246" s="28">
        <v>44744.0</v>
      </c>
      <c r="B246" s="20" t="s">
        <v>345</v>
      </c>
      <c r="C246" s="20">
        <v>-600.0</v>
      </c>
      <c r="D246" s="20" t="s">
        <v>478</v>
      </c>
      <c r="E246" s="20" t="s">
        <v>76</v>
      </c>
    </row>
    <row r="247">
      <c r="A247" s="28">
        <v>44744.0</v>
      </c>
      <c r="B247" s="20" t="s">
        <v>345</v>
      </c>
      <c r="C247" s="20">
        <v>-371.0</v>
      </c>
      <c r="D247" s="20" t="s">
        <v>477</v>
      </c>
      <c r="E247" s="20" t="s">
        <v>476</v>
      </c>
    </row>
    <row r="248">
      <c r="A248" s="28">
        <v>44744.0</v>
      </c>
      <c r="B248" s="20" t="s">
        <v>345</v>
      </c>
      <c r="C248" s="20">
        <v>-502.0</v>
      </c>
      <c r="D248" s="20" t="s">
        <v>475</v>
      </c>
      <c r="E248" s="20" t="s">
        <v>2396</v>
      </c>
    </row>
    <row r="249">
      <c r="A249" s="28">
        <v>44744.0</v>
      </c>
      <c r="B249" s="20" t="s">
        <v>345</v>
      </c>
      <c r="C249" s="20">
        <v>-866.0</v>
      </c>
      <c r="D249" s="20" t="s">
        <v>449</v>
      </c>
      <c r="E249" s="20" t="s">
        <v>40</v>
      </c>
    </row>
    <row r="250">
      <c r="A250" s="28">
        <v>44744.0</v>
      </c>
      <c r="B250" s="20" t="s">
        <v>345</v>
      </c>
      <c r="C250" s="20">
        <v>-639.0</v>
      </c>
      <c r="D250" s="20" t="s">
        <v>449</v>
      </c>
      <c r="E250" s="20" t="s">
        <v>47</v>
      </c>
    </row>
    <row r="251">
      <c r="A251" s="28">
        <v>44744.0</v>
      </c>
      <c r="B251" s="20" t="s">
        <v>345</v>
      </c>
      <c r="C251" s="20">
        <v>-197.0</v>
      </c>
      <c r="D251" s="20" t="s">
        <v>449</v>
      </c>
      <c r="E251" s="20" t="s">
        <v>38</v>
      </c>
    </row>
    <row r="252">
      <c r="A252" s="28">
        <v>44744.0</v>
      </c>
      <c r="B252" s="20" t="s">
        <v>345</v>
      </c>
      <c r="C252" s="20">
        <v>-853.0</v>
      </c>
      <c r="D252" s="20" t="s">
        <v>449</v>
      </c>
      <c r="E252" s="20" t="s">
        <v>40</v>
      </c>
    </row>
    <row r="253">
      <c r="A253" s="28">
        <v>44744.0</v>
      </c>
      <c r="B253" s="20" t="s">
        <v>345</v>
      </c>
      <c r="C253" s="20">
        <v>-710.0</v>
      </c>
      <c r="D253" s="20" t="s">
        <v>449</v>
      </c>
      <c r="E253" s="20" t="s">
        <v>38</v>
      </c>
    </row>
    <row r="254">
      <c r="A254" s="28">
        <v>44744.0</v>
      </c>
      <c r="B254" s="20" t="s">
        <v>345</v>
      </c>
      <c r="C254" s="20">
        <v>-660.0</v>
      </c>
      <c r="D254" s="20" t="s">
        <v>449</v>
      </c>
      <c r="E254" s="20" t="s">
        <v>47</v>
      </c>
    </row>
    <row r="255">
      <c r="A255" s="28">
        <v>44744.0</v>
      </c>
      <c r="B255" s="20" t="s">
        <v>345</v>
      </c>
      <c r="C255" s="20">
        <v>-1157.0</v>
      </c>
      <c r="D255" s="20" t="s">
        <v>449</v>
      </c>
      <c r="E255" s="20" t="s">
        <v>47</v>
      </c>
    </row>
    <row r="256">
      <c r="A256" s="28">
        <v>44744.0</v>
      </c>
      <c r="B256" s="20" t="s">
        <v>345</v>
      </c>
      <c r="C256" s="20">
        <v>-230.0</v>
      </c>
      <c r="D256" s="20" t="s">
        <v>479</v>
      </c>
      <c r="E256" s="20" t="s">
        <v>490</v>
      </c>
    </row>
    <row r="257">
      <c r="A257" s="28">
        <v>44744.0</v>
      </c>
      <c r="B257" s="20" t="s">
        <v>345</v>
      </c>
      <c r="C257" s="20">
        <v>-237.0</v>
      </c>
      <c r="D257" s="20" t="s">
        <v>480</v>
      </c>
      <c r="E257" s="20" t="s">
        <v>490</v>
      </c>
    </row>
    <row r="258">
      <c r="A258" s="28">
        <v>44744.0</v>
      </c>
      <c r="B258" s="20" t="s">
        <v>345</v>
      </c>
      <c r="C258" s="20">
        <v>-721.0</v>
      </c>
      <c r="D258" s="20" t="s">
        <v>481</v>
      </c>
      <c r="E258" s="20" t="s">
        <v>58</v>
      </c>
    </row>
    <row r="259">
      <c r="A259" s="28">
        <v>44744.0</v>
      </c>
      <c r="B259" s="20" t="s">
        <v>345</v>
      </c>
      <c r="C259" s="20">
        <v>-872.0</v>
      </c>
      <c r="D259" s="20" t="s">
        <v>449</v>
      </c>
      <c r="E259" s="20" t="s">
        <v>47</v>
      </c>
    </row>
    <row r="260">
      <c r="A260" s="28">
        <v>44744.0</v>
      </c>
      <c r="B260" s="20" t="s">
        <v>345</v>
      </c>
      <c r="C260" s="20">
        <v>-542.0</v>
      </c>
      <c r="D260" s="20" t="s">
        <v>449</v>
      </c>
      <c r="E260" s="20" t="s">
        <v>40</v>
      </c>
    </row>
    <row r="261">
      <c r="A261" s="28">
        <v>44745.0</v>
      </c>
      <c r="B261" s="20" t="s">
        <v>345</v>
      </c>
      <c r="C261" s="20">
        <v>-365.0</v>
      </c>
      <c r="D261" s="20" t="s">
        <v>449</v>
      </c>
      <c r="E261" s="20" t="s">
        <v>40</v>
      </c>
    </row>
    <row r="262">
      <c r="A262" s="28">
        <v>44745.0</v>
      </c>
      <c r="B262" s="20" t="s">
        <v>345</v>
      </c>
      <c r="C262" s="20">
        <v>-277.0</v>
      </c>
      <c r="D262" s="20" t="s">
        <v>449</v>
      </c>
      <c r="E262" s="20" t="s">
        <v>2401</v>
      </c>
    </row>
    <row r="263">
      <c r="A263" s="28">
        <v>44745.0</v>
      </c>
      <c r="B263" s="20" t="s">
        <v>345</v>
      </c>
      <c r="C263" s="20">
        <v>-73.0</v>
      </c>
      <c r="D263" s="20" t="s">
        <v>449</v>
      </c>
      <c r="E263" s="20" t="s">
        <v>76</v>
      </c>
    </row>
    <row r="264">
      <c r="A264" s="28">
        <v>44745.0</v>
      </c>
      <c r="B264" s="20" t="s">
        <v>345</v>
      </c>
      <c r="C264" s="20">
        <v>-68.0</v>
      </c>
      <c r="D264" s="20" t="s">
        <v>449</v>
      </c>
      <c r="E264" s="20" t="s">
        <v>2344</v>
      </c>
    </row>
    <row r="265">
      <c r="A265" s="28">
        <v>44745.0</v>
      </c>
      <c r="B265" s="20" t="s">
        <v>345</v>
      </c>
      <c r="C265" s="20">
        <v>-278.0</v>
      </c>
      <c r="D265" s="20" t="s">
        <v>449</v>
      </c>
      <c r="E265" s="20" t="s">
        <v>417</v>
      </c>
    </row>
    <row r="266">
      <c r="A266" s="28">
        <v>44745.0</v>
      </c>
      <c r="B266" s="20" t="s">
        <v>345</v>
      </c>
      <c r="C266" s="20">
        <v>-307.0</v>
      </c>
      <c r="D266" s="20" t="s">
        <v>449</v>
      </c>
      <c r="E266" s="20" t="s">
        <v>490</v>
      </c>
    </row>
    <row r="267">
      <c r="A267" s="28">
        <v>44745.0</v>
      </c>
      <c r="B267" s="20" t="s">
        <v>345</v>
      </c>
      <c r="C267" s="20">
        <v>-285.0</v>
      </c>
      <c r="D267" s="20" t="s">
        <v>449</v>
      </c>
      <c r="E267" s="20" t="s">
        <v>417</v>
      </c>
    </row>
    <row r="268">
      <c r="A268" s="28">
        <v>44745.0</v>
      </c>
      <c r="B268" s="20" t="s">
        <v>345</v>
      </c>
      <c r="C268" s="20">
        <v>-15.0</v>
      </c>
      <c r="D268" s="20" t="s">
        <v>449</v>
      </c>
      <c r="E268" s="20" t="s">
        <v>95</v>
      </c>
    </row>
    <row r="269">
      <c r="A269" s="28">
        <v>44745.0</v>
      </c>
      <c r="B269" s="20" t="s">
        <v>345</v>
      </c>
      <c r="C269" s="20">
        <v>-35.0</v>
      </c>
      <c r="D269" s="20" t="s">
        <v>449</v>
      </c>
      <c r="E269" s="20" t="s">
        <v>239</v>
      </c>
    </row>
    <row r="270">
      <c r="A270" s="28">
        <v>44745.0</v>
      </c>
      <c r="B270" s="20" t="s">
        <v>345</v>
      </c>
      <c r="C270" s="20">
        <v>-202.0</v>
      </c>
      <c r="D270" s="20" t="s">
        <v>449</v>
      </c>
      <c r="E270" s="20" t="s">
        <v>417</v>
      </c>
    </row>
    <row r="271">
      <c r="A271" s="28">
        <v>44745.0</v>
      </c>
      <c r="B271" s="20" t="s">
        <v>345</v>
      </c>
      <c r="C271" s="20">
        <v>-44.0</v>
      </c>
      <c r="D271" s="20" t="s">
        <v>483</v>
      </c>
      <c r="E271" s="20" t="s">
        <v>476</v>
      </c>
    </row>
    <row r="272">
      <c r="A272" s="28">
        <v>44745.0</v>
      </c>
      <c r="B272" s="20" t="s">
        <v>345</v>
      </c>
      <c r="C272" s="20">
        <v>389.0</v>
      </c>
      <c r="D272" s="20" t="s">
        <v>479</v>
      </c>
      <c r="E272" s="20" t="s">
        <v>476</v>
      </c>
    </row>
    <row r="273">
      <c r="A273" s="28">
        <v>44745.0</v>
      </c>
      <c r="B273" s="20" t="s">
        <v>345</v>
      </c>
      <c r="C273" s="20">
        <v>764.0</v>
      </c>
      <c r="D273" s="20" t="s">
        <v>480</v>
      </c>
      <c r="E273" s="20" t="s">
        <v>58</v>
      </c>
    </row>
    <row r="274">
      <c r="A274" s="28">
        <v>44745.0</v>
      </c>
      <c r="B274" s="20" t="s">
        <v>345</v>
      </c>
      <c r="C274" s="20">
        <v>285.0</v>
      </c>
      <c r="D274" s="20" t="s">
        <v>474</v>
      </c>
      <c r="E274" s="20" t="s">
        <v>2397</v>
      </c>
    </row>
    <row r="275">
      <c r="A275" s="28">
        <v>44745.0</v>
      </c>
      <c r="B275" s="20" t="s">
        <v>345</v>
      </c>
      <c r="C275" s="20">
        <v>204.0</v>
      </c>
      <c r="D275" s="20" t="s">
        <v>481</v>
      </c>
      <c r="E275" s="20" t="s">
        <v>490</v>
      </c>
    </row>
    <row r="276">
      <c r="A276" s="28">
        <v>44745.0</v>
      </c>
      <c r="B276" s="20" t="s">
        <v>345</v>
      </c>
      <c r="C276" s="20">
        <v>549.0</v>
      </c>
      <c r="D276" s="20" t="s">
        <v>692</v>
      </c>
      <c r="E276" s="20" t="s">
        <v>58</v>
      </c>
    </row>
  </sheetData>
  <autoFilter ref="$A$1:$K$164"/>
  <drawing r:id="rId1"/>
</worksheet>
</file>