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christiankinnell/Desktop/"/>
    </mc:Choice>
  </mc:AlternateContent>
  <xr:revisionPtr revIDLastSave="0" documentId="13_ncr:1_{64C41AF0-FC3C-514A-A348-7A97340DA75F}" xr6:coauthVersionLast="47" xr6:coauthVersionMax="47" xr10:uidLastSave="{00000000-0000-0000-0000-000000000000}"/>
  <bookViews>
    <workbookView xWindow="5580" yWindow="500" windowWidth="29860" windowHeight="18960" xr2:uid="{00000000-000D-0000-FFFF-FFFF00000000}"/>
  </bookViews>
  <sheets>
    <sheet name="Detailed Measures" sheetId="1" r:id="rId1"/>
    <sheet name="Cost Parameters" sheetId="2" r:id="rId2"/>
    <sheet name="Scenario Totals" sheetId="4" r:id="rId3"/>
    <sheet name="Payback Duration" sheetId="6" r:id="rId4"/>
    <sheet name="Scenario 2 Phasing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7" l="1"/>
  <c r="G14" i="7"/>
  <c r="G13" i="7"/>
  <c r="G12" i="7"/>
  <c r="G11" i="7"/>
  <c r="G10" i="7"/>
  <c r="G9" i="7"/>
  <c r="E8" i="7"/>
  <c r="E7" i="7"/>
  <c r="E6" i="7"/>
  <c r="G7" i="7" l="1"/>
  <c r="G6" i="7"/>
  <c r="G8" i="7"/>
  <c r="G16" i="7" l="1"/>
  <c r="G17" i="7" s="1"/>
  <c r="G19" i="7" l="1"/>
  <c r="G18" i="7"/>
  <c r="G20" i="7" l="1"/>
  <c r="D3" i="6" l="1"/>
  <c r="D7" i="6" l="1"/>
  <c r="E7" i="6" s="1"/>
  <c r="D2" i="6"/>
  <c r="E2" i="6" s="1"/>
  <c r="E3" i="6"/>
  <c r="D4" i="6"/>
  <c r="E4" i="6" s="1"/>
  <c r="D5" i="6"/>
  <c r="E5" i="6"/>
  <c r="D6" i="6"/>
  <c r="E6" i="6"/>
  <c r="E9" i="1" l="1"/>
  <c r="E8" i="1"/>
  <c r="O37" i="1" l="1"/>
  <c r="O38" i="1"/>
  <c r="N37" i="1"/>
  <c r="N38" i="1"/>
  <c r="M37" i="1"/>
  <c r="M38" i="1"/>
  <c r="L37" i="1"/>
  <c r="L38" i="1"/>
  <c r="K37" i="1"/>
  <c r="K38" i="1"/>
  <c r="O32" i="1"/>
  <c r="O33" i="1"/>
  <c r="O34" i="1"/>
  <c r="O35" i="1"/>
  <c r="O36" i="1"/>
  <c r="N32" i="1"/>
  <c r="N33" i="1"/>
  <c r="N34" i="1"/>
  <c r="N35" i="1"/>
  <c r="N36" i="1"/>
  <c r="M32" i="1"/>
  <c r="M33" i="1"/>
  <c r="M34" i="1"/>
  <c r="M35" i="1"/>
  <c r="M36" i="1"/>
  <c r="L32" i="1"/>
  <c r="L33" i="1"/>
  <c r="L34" i="1"/>
  <c r="L35" i="1"/>
  <c r="L36" i="1"/>
  <c r="K32" i="1"/>
  <c r="K33" i="1"/>
  <c r="K34" i="1"/>
  <c r="K35" i="1"/>
  <c r="K36" i="1"/>
  <c r="O28" i="1"/>
  <c r="O29" i="1"/>
  <c r="O30" i="1"/>
  <c r="O31" i="1"/>
  <c r="N28" i="1"/>
  <c r="N29" i="1"/>
  <c r="N30" i="1"/>
  <c r="N31" i="1"/>
  <c r="M28" i="1"/>
  <c r="M29" i="1"/>
  <c r="M30" i="1"/>
  <c r="M31" i="1"/>
  <c r="L28" i="1"/>
  <c r="L29" i="1"/>
  <c r="L30" i="1"/>
  <c r="L31" i="1"/>
  <c r="K28" i="1"/>
  <c r="K29" i="1"/>
  <c r="K30" i="1"/>
  <c r="K31" i="1"/>
  <c r="O27" i="1"/>
  <c r="N27" i="1"/>
  <c r="M27" i="1"/>
  <c r="L27" i="1"/>
  <c r="K27" i="1"/>
  <c r="L26" i="1"/>
  <c r="L25" i="1"/>
  <c r="N25" i="1"/>
  <c r="N26" i="1"/>
  <c r="K26" i="1"/>
  <c r="M26" i="1"/>
  <c r="O26" i="1"/>
  <c r="K25" i="1"/>
  <c r="M25" i="1"/>
  <c r="O25" i="1"/>
  <c r="E7" i="1"/>
  <c r="E6" i="1"/>
  <c r="O24" i="1" l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E2" i="4" l="1"/>
  <c r="F2" i="4"/>
  <c r="N39" i="1"/>
  <c r="N42" i="1" s="1"/>
  <c r="B2" i="4"/>
  <c r="K39" i="1"/>
  <c r="K42" i="1" s="1"/>
  <c r="O39" i="1"/>
  <c r="O42" i="1" s="1"/>
  <c r="C2" i="4"/>
  <c r="C3" i="4" s="1"/>
  <c r="L39" i="1"/>
  <c r="L42" i="1" s="1"/>
  <c r="D2" i="4"/>
  <c r="D3" i="4" s="1"/>
  <c r="M39" i="1"/>
  <c r="M42" i="1" s="1"/>
  <c r="D4" i="4" l="1"/>
  <c r="K40" i="1"/>
  <c r="K41" i="1"/>
  <c r="O41" i="1"/>
  <c r="F4" i="4" s="1"/>
  <c r="F5" i="4"/>
  <c r="O40" i="1"/>
  <c r="F3" i="4" s="1"/>
  <c r="L40" i="1"/>
  <c r="L41" i="1"/>
  <c r="N41" i="1"/>
  <c r="N40" i="1"/>
  <c r="M40" i="1"/>
  <c r="M41" i="1"/>
  <c r="C4" i="4"/>
  <c r="C5" i="4"/>
  <c r="D5" i="4"/>
  <c r="B3" i="4"/>
  <c r="B5" i="4"/>
  <c r="B4" i="4"/>
  <c r="E4" i="4"/>
  <c r="E5" i="4"/>
  <c r="E3" i="4"/>
  <c r="M43" i="1" l="1"/>
  <c r="F4" i="6" s="1"/>
  <c r="H4" i="6"/>
  <c r="G4" i="6"/>
  <c r="N43" i="1"/>
  <c r="F5" i="6" s="1"/>
  <c r="D6" i="4"/>
  <c r="K43" i="1"/>
  <c r="F2" i="6" s="1"/>
  <c r="L43" i="1"/>
  <c r="F3" i="6" s="1"/>
  <c r="O43" i="1"/>
  <c r="F6" i="6" s="1"/>
  <c r="C6" i="4"/>
  <c r="B6" i="4"/>
  <c r="E6" i="4"/>
  <c r="F6" i="4"/>
  <c r="H6" i="6" l="1"/>
  <c r="G6" i="6"/>
  <c r="H2" i="6"/>
  <c r="G2" i="6"/>
  <c r="H5" i="6"/>
  <c r="G5" i="6"/>
  <c r="H3" i="6"/>
  <c r="G3" i="6"/>
</calcChain>
</file>

<file path=xl/sharedStrings.xml><?xml version="1.0" encoding="utf-8"?>
<sst xmlns="http://schemas.openxmlformats.org/spreadsheetml/2006/main" count="254" uniqueCount="175">
  <si>
    <t>Measure</t>
  </si>
  <si>
    <t>Category</t>
  </si>
  <si>
    <t>Base Cost (€)</t>
  </si>
  <si>
    <t>S1 inc</t>
  </si>
  <si>
    <t>S2 inc</t>
  </si>
  <si>
    <t>S3 inc</t>
  </si>
  <si>
    <t>S4 inc</t>
  </si>
  <si>
    <t>S5 inc</t>
  </si>
  <si>
    <t>S1 (€)</t>
  </si>
  <si>
    <t>S2 (€)</t>
  </si>
  <si>
    <t>S3 (€)</t>
  </si>
  <si>
    <t>S4 (€)</t>
  </si>
  <si>
    <t>S5 (€)</t>
  </si>
  <si>
    <t>Energy Efficiency</t>
  </si>
  <si>
    <t>Thermal imaging + patch insulation</t>
  </si>
  <si>
    <t>Air-source heat pumps (2×670 kW)</t>
  </si>
  <si>
    <t>Electrification</t>
  </si>
  <si>
    <t>Server room 100 kW 4-pipe HP</t>
  </si>
  <si>
    <t>Condensing boilers (2×300 kW)</t>
  </si>
  <si>
    <t>VAV boxes + controls</t>
  </si>
  <si>
    <t>CO₂ sensors (30–40 pcs)</t>
  </si>
  <si>
    <t>Daylight + motion sensors</t>
  </si>
  <si>
    <t>Advanced BMS upgrade</t>
  </si>
  <si>
    <t>Standard BMS upgrade</t>
  </si>
  <si>
    <t>Sub-metering</t>
  </si>
  <si>
    <t>Shading (700 m² façade)</t>
  </si>
  <si>
    <t>Roof insulation +10–12 cm PIR</t>
  </si>
  <si>
    <t>Window films (1,000 m² glass)</t>
  </si>
  <si>
    <t>Rooftop PV (120 kWp)</t>
  </si>
  <si>
    <t>Photovoltaic</t>
  </si>
  <si>
    <t>Solar thermal DHW (25 m²)</t>
  </si>
  <si>
    <t>Parameter</t>
  </si>
  <si>
    <t>Value</t>
  </si>
  <si>
    <t>Notes</t>
  </si>
  <si>
    <t>GLA (m²)</t>
  </si>
  <si>
    <t>Used for €/kWh calc</t>
  </si>
  <si>
    <t>Profit + Indirect (%)</t>
  </si>
  <si>
    <t>Applied to Hard Costs</t>
  </si>
  <si>
    <t>Soft Costs (%)</t>
  </si>
  <si>
    <t>Contingency (%)</t>
  </si>
  <si>
    <t>S1</t>
  </si>
  <si>
    <t>S2</t>
  </si>
  <si>
    <t>S3</t>
  </si>
  <si>
    <t>S4</t>
  </si>
  <si>
    <t>S5</t>
  </si>
  <si>
    <t>Hard Costs</t>
  </si>
  <si>
    <t>Profit + Indirect</t>
  </si>
  <si>
    <t>Soft Costs</t>
  </si>
  <si>
    <t>Contingency</t>
  </si>
  <si>
    <t>Grand Total</t>
  </si>
  <si>
    <t>No.</t>
  </si>
  <si>
    <t>Façade sealing + blower door testing</t>
  </si>
  <si>
    <t>P x H</t>
  </si>
  <si>
    <t xml:space="preserve">110 x 43 </t>
  </si>
  <si>
    <t>2 unități (€)Cazan în condensare 300 kW€25,000 – €40,000€50,000 – €80,000Kit de cascadă + accesorii€5,000 – €10,000€5,000 – €10,000Instalare și punere în funcțiune€10,000 – €20,000€10,000 – €20,000 Total estimativ — €65,000 – €110,000</t>
  </si>
  <si>
    <t>Recuperator rotativ / contracurent HR€8,000 – €15,000AHU nouă completă (39.000 m³/h)€35,000 – €60,000Automatizare &amp; control BMS€5,000 – €10,000Demontare &amp; instalare AHU€10,000 – €20,000 Total estimativ €58,000 – €105,000; Retrofit approx.€ 30,000</t>
  </si>
  <si>
    <t>Window sensors (estimated 100 pcs)</t>
  </si>
  <si>
    <t xml:space="preserve">Corp LED (40W, 4000K, 120 lm/W)€25 – €45€21,875 – €45,000Demontare fluorescent + montaj€10 – €20€8,750 – €20,000Controlere / senzori (opțional)€5 – €10€4,375 – €10,000 Total estimativ - €35,000 – €75,000 </t>
  </si>
  <si>
    <t>LED retrofit (estimated for 5,000m2)</t>
  </si>
  <si>
    <t>Server BMS nou (hardware + software)€15,000 – €30,000Pachet de analiză energetică (analytics)€10,000 – €25,000Controlere și interfețe pentru echipamente€20,000 – €40,000Integrare contoare (energie, apă, gaz)€5,000 – €10,000Licențe software + cloud (dacă e cazul)€3,000 – €8,000/anManoperă, programare, testare€15,000 – €30,000 Total estimativ €68,000 – €143,000</t>
  </si>
  <si>
    <t>Install VSD (variable speed drive) on AHU fans.</t>
  </si>
  <si>
    <t>Plant optimization software for load sequencing and efficiency.</t>
  </si>
  <si>
    <r>
      <t>Variable-speed pumps</t>
    </r>
    <r>
      <rPr>
        <sz val="11"/>
        <color theme="1"/>
        <rFont val="Calibri"/>
        <family val="2"/>
        <scheme val="minor"/>
      </rPr>
      <t xml:space="preserve"> in heating and cooling circuits with demand-based control</t>
    </r>
  </si>
  <si>
    <r>
      <t>Integrate boilers with heat pumps</t>
    </r>
    <r>
      <rPr>
        <sz val="11"/>
        <color theme="1"/>
        <rFont val="Calibri"/>
        <family val="2"/>
        <scheme val="minor"/>
      </rPr>
      <t xml:space="preserve"> for hybrid operation (heat pump for base load, boilers for peaks).</t>
    </r>
  </si>
  <si>
    <t>Add free cooling / economizer cycles when climate permits.</t>
  </si>
  <si>
    <t>BMS-integrated lighting control for scheduling and dimming.</t>
  </si>
  <si>
    <t>Task lighting to reduce overall ambient lighting levels.</t>
  </si>
  <si>
    <t>Automated fault detection in BMS to catch equipment inefficiencies early.</t>
  </si>
  <si>
    <t>Zone-level climate control for different office areas to match occupancy patterns.</t>
  </si>
  <si>
    <t>Integration with weather forecasts for proactive heating/cooling adjustments.</t>
  </si>
  <si>
    <t>Load shedding strategies in BMS (e.g., dimming lights, reducing non-critical HVAC loads during peak hours).</t>
  </si>
  <si>
    <t>Predictive maintenance based on equipment runtime and performance trends.</t>
  </si>
  <si>
    <t>Perimeter(m)</t>
  </si>
  <si>
    <t>Used for façade area</t>
  </si>
  <si>
    <t>Height(m)</t>
  </si>
  <si>
    <t>TOTAL I</t>
  </si>
  <si>
    <t>Soft Costs (10%)</t>
  </si>
  <si>
    <t>GRAND TOTAL</t>
  </si>
  <si>
    <t>Scenario No.</t>
  </si>
  <si>
    <t>Scenario</t>
  </si>
  <si>
    <t>2 unități670 kW-€240,000 – €360,000, Instalare profesională: €20,000 – €50,000; Structură de susținere pe acoperiș; Sisteme de control și integrare BMS; + 10,000Eur Crane</t>
  </si>
  <si>
    <t>ComponentăPreț estimativ (€)Chiller 100 kW (4-pipe HP)€45,000 – €70,000Dry cooler / economizer€10,000 – €20,000Controlere &amp; automatizare€5,000 – €10,000Instalare &amp; punere în funcțiune€10,000 – €20,000 Total estimativ €70,000 – €120,000, + 5,000 Eur Crane</t>
  </si>
  <si>
    <t>AHU replacement (1–2 units)</t>
  </si>
  <si>
    <t xml:space="preserve">10 unități (€)VAV box (standard, cu reheat)€600 – €1,200€6,000 – €12,000Senzor presiune statică (duct) €80 – €150, €800 – €1,500Controler VAV (digital/pneumatic)€150 – €300 €1,500 – €3,000 Total estimativ — €8,300 – €16,500 </t>
  </si>
  <si>
    <t>30–40 unități (€)Senzor CO₂ (cu Modbus/BACnet)€120 – €250 per item, €3,600 – €10,000 cumulated; Controlere VAV compatibile €150 – €300 per item, €4,500 – €12,000 cumulated; Integrare în sistem OA/VAV€2,000 – €5,000 item,  €2,000 – €5,000 cumutated; Total estimativ — €10,100 – €27,000</t>
  </si>
  <si>
    <t>100 unități (€)Contact magnetic (cu fir, tip NC/NO)€5 – €15 item , €500 – €1,500 cumulated; Cablu, accesorii, conectori€2 – €5 item, €200 – €500 cumulated; Control logic / interfață BMS€50 – €150 item, €5,000 – €15,000 cumulated; Manoperă montaj și testare sistem€20 – €40 item, €2,000 – €4,000 cumulated; Total estimativ cu montaj — €7,700 – €21,000</t>
  </si>
  <si>
    <t>Senzori daylight (fațadă)€80 – €150 item, €320 – €600 cumulated; Senzori coridor (microwave/PIR)€40 – €80item, €800 – €2,400 cumulated; Senzori toaletă (PIR/IP65)€40 – €70, €800 – €1,400; Controlere / interfață BMS€50 – €150, €2,000 – €4,000; Manoperă montaj și testare€30 – €50/senzor, €2,100 – €3,500;  Total estimat - €6,020 – €11,900</t>
  </si>
  <si>
    <t xml:space="preserve">Provisional Sum </t>
  </si>
  <si>
    <t>Contor electric trifazat (AHU fan)4€250 – €500, €1,000 – €2,000; Contoare pompe CHW/HHW (grupuri separate)6–8€250 – €500, €1,500 – €4,000; Contoare chiriași (încălzire/răcire)10–15€, 300 – €600, €3,000 – €9,000; Contoare iluminat zonal 8–12€, 200 – €400, €1,600 – €4,800; Subcontoare gaz (cazane vs. chiriași)2–3€, 400 – €800, €800 – €2,400; Panou de integrare + cablare + montaj——€5,000 – €10,000;  Total estimativ - €12,900 – €32,200</t>
  </si>
  <si>
    <t>Jaluzele venețiene motorizate €250 – €400, €175,000 – €280,000;  Lamele fixe (fins) €150 – €250, €105,000 – €175,00;</t>
  </si>
  <si>
    <t>1500 m² (€)Panouri PIR (10–12 cm grosime)€25 – €40, €37,500 – €60,000; Adeziv, fixare mecanică, etanșare€5 – €10, €7,500 – €15,000; Manoperă montaj profesional€10 – €20, €15,000 – €30,000;  Total estimativ - €60,000 – €105,000</t>
  </si>
  <si>
    <t>1000 m² (€) Folie solară profesională €60 – €120, €60,000 – €120,000;</t>
  </si>
  <si>
    <t xml:space="preserve">Provisional Sum (without metallic supporting structures if required) </t>
  </si>
  <si>
    <t>VSD (pentru motoare 5–15 kW)6–10, €600 – €1,200, €3,600 – €12,000; Senzor presiune statică (conductă)6–10, €80 – €150, €480 – €1,500; Controler logică reset presiune (DDC/BMS)1 sistem €2,000 – €5,000, €2,000 – €5,000; Manoperă + cablare + integrare——€4,000 – €8,000;  Total estimativ - €10,080 – €26,500</t>
  </si>
  <si>
    <t>Software modul BMS + licență fault analytics €10,000 – €25,000; Controlere I/O pentru pompe, ventilatoare etc.€8,000 – €15,000; Senzori suplimentari (ΔT, ΔP, poziție valve) €5,000 – €10,000; Programare reguli de detecție defecțiuni€3,000 – €6,000; Integrare în BMS existent / cloud€5,000 – €10,000; Manoperă, testare, punere în funcțiune€5,000 – €10,000; Total estimativ complet €36,000 – €76,000</t>
  </si>
  <si>
    <t>VSD-uri pentru pompe HHW/CHW (5–15 kW)6–10, €600 – €1,200, €3,600 – €12,000; Senzori ΔP pe coloane (Modbus/BACnet)6–10, €150 – €300, €900 – €3,000; Controlere / integrare în BMS1 sistem €2,000 – €5,000, €2,000 – €5,000; Manoperă, cablare, testare——€4,000 – €8,000; Total estimativ -  €10,500 – €28,000</t>
  </si>
  <si>
    <t>Pompe de căldură aer-apă (base load) €20,000 – €50,000/unit €40,000 – €100,000 (2 unități);  Cazane în condensare (peak load) €25,000 – €40,000/unit, €50,000 – €80,000 (2 unități); Separator hidraulic + accesorii €3,000 – €6,000, €3,000 – €6,000;  Controler bivalent inteligent (BMS) €5,000 – €10,000, €5,000 – €10,000; Senzori, vane, cablare, integrare —€10,000 – €20,000; Manoperă, testare, punere în funcțiune —€15,000 – €25,000; Total estimativ - €123,000 – €241,000;</t>
  </si>
  <si>
    <t>Modul de freecooling integrat (hardware)€15,000 – €30,000; Automatizare și control logic (BMS) €5,000 – €10,000S; Senzori suplimentari (temperatură, debit) €2,000 – €4,000; Manoperă, cablare, testare €5,000 – €10,000; Total estimativ complet €27,000 – €54,000;</t>
  </si>
  <si>
    <t>Senzor PIR / ultrasonic (standard) €40 – €120, €2,800 – €13,800; Controler / interfață BMS €50 – €150, €3,500 – €8,000; Cablare + montaj + testare€30 – €60 / senzor, €2,100 – €6,900; Total estimativ - €8,400 – €28,700;</t>
  </si>
  <si>
    <t>Software BMS lighting module (scheduling/scenes) €10,000 – €20,000; Controlere DALI/KNX per etaj €5,000 – €10,000 / etaj; Senzori de lumină + prezență (pentru scenarii)€40 – €120 / senzorInterfață cu sistem de acces (API/licență), €3,000 – €6,000; Programare scenarii + logica ocupare €5,000 – €10,000; Manoperă, cablare, testare €10,000 – €20,000; Total estimativ - €60,000 – €140,000;</t>
  </si>
  <si>
    <t>Lămpi de birou (1 per stație de lucru)~600–1000, €25 – €69, €15,000 – €69,000; Ajustare iluminat ambiental LED (dimming)——€5,000 – €10,000; Reconfigurare BMS / control iluminat——€10,000 – €20,000; Total estimativ - €30,000 – €99,000;</t>
  </si>
  <si>
    <t>Licență software AI-assisted (Honeywell Forge etc.)€20,000 – €40,000; Controlere și interfețe I/O pentru echipamente€15,000 – €30,000; Senzori suplimentari (ocupare, temperatură, ΔT, ΔP) €8,000 – €15,000; Integrare cu BMS existent / cloud €10,000 – €20,000; Programare logică dinamică + curbe HHW/CHW€5,000 – €10,000; Manoperă, testare, punere în funcțiune€10,000 – €20,000; Total - €68,000 – €135,000;</t>
  </si>
  <si>
    <t>Licență software FDD (ex. Honeywell Forge, Facilio, Schneider EcoStruxure) €20,000 – €40,000; Controlere și interfețe I/O suplimentare €10,000 – €20,000; Senzori suplimentari (ΔP, temperatură, debit etc.) €5,000 – €10,000; Programare regulilor FDD + tuning algoritmi €8,000 – €15,000; Integrare în BMS existent €5,000 – €10,000; Manoperă, testare, punere în funcțiune €5,000 – €10,000; Total estimativ - €53,000 – €105,000;</t>
  </si>
  <si>
    <t>Licență software AI-assisted (Honeywell Forge, Siemens Desigo, Johnson CPO) €25,000 – €50,000; Controlere zonale (VAV/FCU) + interfețe BMS, €20,000 – €40,000; Senzori de temperatură, CO₂, prezență €10,000 – €20,000; Programare logică zonală + scenarii per etaj/wing €5,000 – €10,000; Integrare cu sistem de acces / ocupare reală €5,000 – €10,000; Manoperă, cablare, testare €10,000 – €20,000; Total estimativ complet €75,000 – €150,000;</t>
  </si>
  <si>
    <t>Modul software BMS pentru scene și shedding €10,000 – €25,000; Controlere suplimentare pentru pompe/lumină €8,000 – €15,000; Interfață cu sistemul de iluminat (DALI/KNX) €5,000 – €10,000; Programare logică de scenarii și priorități €5,000 – €10,000; Integrare cu senzorii de sarcină / peak alerts €3,000 – €6,000; Manoperă, testare, punere în funcțiune €5,000 – €10,000; Total estimativ complet €36,000 – €76,00;</t>
  </si>
  <si>
    <t>Licență software AI-assisted (ex. Honeywell Forge, Siemens Desigo CC, Johnson CPO ) €20,000 – €40,000; Modul de integrare meteo + API forecast €5,000 – €10,000; Controlere suplimentare / interfețe I/O €10,000 – €20,000; Programare logică pre-heat/pre-cool + economiser €5,000 – €10,000; Senzori suplimentari (temperatură, CO₂, debit, poziție vane) €5,000 – €10,000; Manoperă, testare, punere în funcțiune €5,000 – €10,000; Total estimativ - €50,000 – €100,000;</t>
  </si>
  <si>
    <t>Licență software FDD + modul de mentenanță predictivă €20,000 – €40,000; Controlere și interfețe I/O suplimentare €10,000 – €20,000; Senzori suplimentari (ΔP, ΔT, runtime, stare echipament) €5,000 – €10,000; Integrare cu BMS și sistem de ticketing/CMMS €5,000 – €10,000; Programare logică de declanșare automată €5,000 – €10,000; Manoperă, testare, punere în funcțiune €5,000 – €10,000; Total estimativ - €50,000 – €100,000;</t>
  </si>
  <si>
    <t>Contingency (15%)</t>
  </si>
  <si>
    <t xml:space="preserve">Average price electricity and gas for project: 2/3 x 0.3 + 1/3 x 0.08 = 0.23 EUR/kWh </t>
  </si>
  <si>
    <t>Average Price/kWh actual - Electricity 0.3 EUR - Gas 0.08</t>
  </si>
  <si>
    <t>Scenario 5</t>
  </si>
  <si>
    <t>Scenario 4</t>
  </si>
  <si>
    <t>Scenario 3</t>
  </si>
  <si>
    <t>Scenario 2</t>
  </si>
  <si>
    <t>Scenario 1</t>
  </si>
  <si>
    <t>Baseline(actual)</t>
  </si>
  <si>
    <t>payback duration [yr]</t>
  </si>
  <si>
    <t>Scenario cost [EUR]</t>
  </si>
  <si>
    <t>energy savings cost/yr [EUR]</t>
  </si>
  <si>
    <t>yearly energy savings compared to current consumption[kWh]</t>
  </si>
  <si>
    <t xml:space="preserve"> yearly gas and electricity consumption [kWh]</t>
  </si>
  <si>
    <t>Nr. Crt.</t>
  </si>
  <si>
    <t xml:space="preserve">Provision </t>
  </si>
  <si>
    <t>ROI [%]</t>
  </si>
  <si>
    <t>Whole-building test + targeted smoke/infrared thermal scans scans; seal façade joints, door gaskets, shaft penetrations.</t>
  </si>
  <si>
    <t>Night infrared thermal survey of façades, roof, and ground-floor slab; punch-list of defects; patch insulation at parapets, slab edges, and window perimeters.</t>
  </si>
  <si>
    <t>Replace the 100 kW server chiller with same capacity  4-pipe HP + dry cooler/economizer, EER = 3.5, COP = 3</t>
  </si>
  <si>
    <r>
      <t>For offices:</t>
    </r>
    <r>
      <rPr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2×670 kW air-to-water units (modular) on the roof/courtyard; EER=3.5,COP 3,</t>
    </r>
  </si>
  <si>
    <t>Retrofit rotary or counter-flow plate HR achieving η≥80%; if existing casings limit, replace AHUs serving offices, assume 1 AHU with the same airflow capacity as the previous (39000m3)</t>
  </si>
  <si>
    <r>
      <t>1 VAV box per floor →</t>
    </r>
    <r>
      <rPr>
        <sz val="8"/>
        <rFont val="Calibri"/>
        <family val="2"/>
        <scheme val="minor"/>
      </rPr>
      <t xml:space="preserve"> 10</t>
    </r>
    <r>
      <rPr>
        <sz val="8"/>
        <color theme="1"/>
        <rFont val="Calibri"/>
        <family val="2"/>
        <scheme val="minor"/>
      </rPr>
      <t xml:space="preserve"> boxes total; add duct static-pressure sensors and controller.</t>
    </r>
  </si>
  <si>
    <t>1 CO₂ sensor per zone or per ~250 m² → 30–40 sensors; integrate into OA/VAV control.</t>
  </si>
  <si>
    <t>Fit VSDs sized to each fan motor; add static-pressure reset logic.</t>
  </si>
  <si>
    <t>1 magnetic contact per operable window; interlock FCU/AHU VAV close.</t>
  </si>
  <si>
    <t>Software module +input/output to all major pumps/fans/chillers/boilers; include fault-rules (valve leakage, low temperature difference ΔT, high pressure difference ΔP).</t>
  </si>
  <si>
    <t>VSDs on primary/secondary HHW &amp; CHW pumps; add ΔP sensors on risers</t>
  </si>
  <si>
    <t>Air-to-water heat pumps  base-load + condensing boilers for peaks (see #3 for HP type). Hydraulic separator + smart bivalence control</t>
  </si>
  <si>
    <t>Apply to W/S/E façades (estimate 1000 m² of glass in total); g-value &lt;0.45, visible transmittance ≥50%.</t>
  </si>
  <si>
    <t>Motorized venetian blinds or fixed fins on W/S façades (700m2)</t>
  </si>
  <si>
    <t>Remaining fluorescent lamps→ LED; target ≤7–8 W/m² office light density</t>
  </si>
  <si>
    <t xml:space="preserve">1 daylight sensor per façade zone(4total), 20–30 sensors in corridors, 20 sensors for toilets </t>
  </si>
  <si>
    <t>1 sensor per small room, 2–3 per large open-plan</t>
  </si>
  <si>
    <t>in BMS: Time-schedules + scenes per floor; tie to access logs for real occupancy.</t>
  </si>
  <si>
    <t>Upgrade BMS server + analytics pack; connect all AHUs, pumps, chillers/HPs, boilers, meters.</t>
  </si>
  <si>
    <t>Weather-based setback: night/weekend 15–16 °C on vacant floors; HHW curve; CHW reset at low load. Ex. AI assisted software Honeywell Forge</t>
  </si>
  <si>
    <t>BMS capability for library for filter ΔP, valve leakage, coil fouling, sensor drift, HR bypass; needs ~2–4 weeks of trend to tune</t>
  </si>
  <si>
    <t>Use equipment runtime, starts, pressure difference (ΔP), and temperature difference (ΔT) to auto-create maintenance work orders; integrate with BMS</t>
  </si>
  <si>
    <t>Usable roof 500 m² → 120 kWp (240 panels); string inverter(s) with export-limit if needed</t>
  </si>
  <si>
    <t>Add +10–12 cm PIR (λ≈0.022) to reach U≤0.18 W/m²K; roof area ~1500 m²</t>
  </si>
  <si>
    <t xml:space="preserve">Victoria City Center </t>
  </si>
  <si>
    <t xml:space="preserve">Draft </t>
  </si>
  <si>
    <t>Sep 2025</t>
  </si>
  <si>
    <t>Modular cascade 2×300 kW condensing boilers (final size after calculating peak heat with optimizations)</t>
  </si>
  <si>
    <t>Separate electric meters on: AHU fan, CHW/HHW pump groups, tenant heating and cooling, lighting; Gas sub meter for boilers vs. tenants</t>
  </si>
  <si>
    <t>Enable integrated free cooling on new chiller/HP(see #4 for HP type).</t>
  </si>
  <si>
    <t>Occupancy sensors in offices, meeting rooms (estimate 70-115).</t>
  </si>
  <si>
    <t>Provide desk lamps for tenants; reduce LED ambient set point from 500→300–350 lx.</t>
  </si>
  <si>
    <r>
      <t>Dynamic set point temperature control</t>
    </r>
    <r>
      <rPr>
        <sz val="11"/>
        <color theme="1"/>
        <rFont val="Calibri"/>
        <family val="2"/>
        <scheme val="minor"/>
      </rPr>
      <t xml:space="preserve"> based on occupancy, outdoor temperature, and time of day.</t>
    </r>
  </si>
  <si>
    <t>BMS software to split building by floor/wing, VAV/FCU groups per zone, independent schedules and set points.  Ex. AI assisted software Honeywell Forge</t>
  </si>
  <si>
    <t>BMS plug-in using 24–48 h forecast for pre-heat/pre-cool and proactive economizer.  Ex. AI assisted software Honeywell Forge</t>
  </si>
  <si>
    <t>BMS scenes: dim lights −20%, relax set points ±1–2 C, delay non-critical pumps during peaks.</t>
  </si>
  <si>
    <t>Profit + Indirect (20%)</t>
  </si>
  <si>
    <t xml:space="preserve">Scenario 2 Phasing </t>
  </si>
  <si>
    <t>Phase 1</t>
  </si>
  <si>
    <t xml:space="preserve">LED retrofit </t>
  </si>
  <si>
    <t>Variable-speed pumps in heating and cooling circuits with demand-based control</t>
  </si>
  <si>
    <t>Integrate boilers with heat pumps for hybrid operation (heat pump for base load, boilers for peaks).</t>
  </si>
  <si>
    <t xml:space="preserve">Ongoing as tenant space becomes available for such actions </t>
  </si>
  <si>
    <t>Phase 2</t>
  </si>
  <si>
    <t>Phase 3</t>
  </si>
  <si>
    <t xml:space="preserve">Implement - 3 months </t>
  </si>
  <si>
    <t>Undertake initial Cladding Assesement - 3 months</t>
  </si>
  <si>
    <t>Replace when chiller is close to expected lifespan.  - 6 months</t>
  </si>
  <si>
    <t>Implement 1 year</t>
  </si>
  <si>
    <t>Replace / Integrate as equipment lifespan expires - 6 to 9 months</t>
  </si>
  <si>
    <t>Linked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</si>
</sst>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" fontId="1" fillId="0" borderId="4" xfId="0" applyNumberFormat="1" applyFont="1" applyBorder="1" applyAlignment="1">
      <alignment horizontal="center" vertical="top"/>
    </xf>
    <xf numFmtId="4" fontId="1" fillId="0" borderId="5" xfId="0" applyNumberFormat="1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3" fontId="0" fillId="0" borderId="2" xfId="0" applyNumberFormat="1" applyBorder="1"/>
    <xf numFmtId="0" fontId="1" fillId="0" borderId="3" xfId="0" applyFont="1" applyBorder="1" applyAlignment="1">
      <alignment horizontal="center" vertical="top"/>
    </xf>
    <xf numFmtId="0" fontId="0" fillId="0" borderId="8" xfId="0" applyBorder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3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4" fontId="0" fillId="0" borderId="9" xfId="0" applyNumberFormat="1" applyBorder="1" applyAlignment="1">
      <alignment vertical="top"/>
    </xf>
    <xf numFmtId="4" fontId="2" fillId="0" borderId="9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3" fontId="0" fillId="0" borderId="1" xfId="0" applyNumberFormat="1" applyBorder="1"/>
    <xf numFmtId="3" fontId="0" fillId="0" borderId="8" xfId="0" applyNumberForma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3" fontId="0" fillId="0" borderId="2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3" fontId="0" fillId="0" borderId="6" xfId="0" applyNumberFormat="1" applyBorder="1" applyAlignment="1">
      <alignment vertical="top"/>
    </xf>
    <xf numFmtId="3" fontId="2" fillId="0" borderId="9" xfId="0" applyNumberFormat="1" applyFont="1" applyBorder="1" applyAlignment="1">
      <alignment vertical="top"/>
    </xf>
    <xf numFmtId="3" fontId="2" fillId="0" borderId="5" xfId="0" applyNumberFormat="1" applyFont="1" applyBorder="1" applyAlignment="1">
      <alignment vertical="top"/>
    </xf>
    <xf numFmtId="3" fontId="2" fillId="0" borderId="10" xfId="0" applyNumberFormat="1" applyFont="1" applyBorder="1" applyAlignment="1">
      <alignment vertical="top"/>
    </xf>
    <xf numFmtId="2" fontId="0" fillId="0" borderId="1" xfId="0" applyNumberFormat="1" applyBorder="1"/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0" xfId="0" applyFont="1" applyAlignment="1">
      <alignment vertical="top"/>
    </xf>
    <xf numFmtId="3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0" fontId="0" fillId="0" borderId="1" xfId="0" applyNumberFormat="1" applyBorder="1"/>
    <xf numFmtId="0" fontId="0" fillId="0" borderId="0" xfId="0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17" fontId="0" fillId="0" borderId="0" xfId="0" quotePrefix="1" applyNumberFormat="1" applyAlignment="1">
      <alignment vertical="top"/>
    </xf>
    <xf numFmtId="0" fontId="10" fillId="0" borderId="0" xfId="0" applyFont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'Payback Duration'!$G$1</c:f>
              <c:strCache>
                <c:ptCount val="1"/>
                <c:pt idx="0">
                  <c:v>payback duration [yr]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'Payback Duration'!$G$2:$G$6</c:f>
              <c:numCache>
                <c:formatCode>0.00</c:formatCode>
                <c:ptCount val="5"/>
                <c:pt idx="0">
                  <c:v>11.226427404789675</c:v>
                </c:pt>
                <c:pt idx="1">
                  <c:v>8.7287118822845056</c:v>
                </c:pt>
                <c:pt idx="2">
                  <c:v>9.4808324007925879</c:v>
                </c:pt>
                <c:pt idx="3">
                  <c:v>12.626908104889665</c:v>
                </c:pt>
                <c:pt idx="4">
                  <c:v>11.935777040105483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2-8A46-9558-EBF1F8AD3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24376464"/>
        <c:axId val="124375288"/>
      </c:barChart>
      <c:lineChart>
        <c:grouping val="standard"/>
        <c:varyColors val="0"/>
        <c:ser>
          <c:idx val="0"/>
          <c:order val="1"/>
          <c:tx>
            <c:strRef>
              <c:f>'Payback Duration'!$H$1</c:f>
              <c:strCache>
                <c:ptCount val="1"/>
                <c:pt idx="0">
                  <c:v>ROI 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'Payback Duration'!$H$2:$H$6</c:f>
              <c:numCache>
                <c:formatCode>0.00%</c:formatCode>
                <c:ptCount val="5"/>
                <c:pt idx="0">
                  <c:v>8.9075532575337124E-2</c:v>
                </c:pt>
                <c:pt idx="1">
                  <c:v>0.11456444129282875</c:v>
                </c:pt>
                <c:pt idx="2">
                  <c:v>0.10547597064540461</c:v>
                </c:pt>
                <c:pt idx="3">
                  <c:v>7.9195951351919494E-2</c:v>
                </c:pt>
                <c:pt idx="4">
                  <c:v>8.378172586836144E-2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2-8A46-9558-EBF1F8AD3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729360"/>
        <c:axId val="121730144"/>
      </c:lineChart>
      <c:valAx>
        <c:axId val="1217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9360"/>
        <c:crosses val="autoZero"/>
        <c:crossBetween val="between"/>
      </c:valAx>
      <c:catAx>
        <c:axId val="12172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30144"/>
        <c:crosses val="autoZero"/>
        <c:auto val="1"/>
        <c:lblAlgn val="ctr"/>
        <c:lblOffset val="100"/>
        <c:noMultiLvlLbl val="0"/>
      </c:catAx>
      <c:valAx>
        <c:axId val="12437528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6464"/>
        <c:crosses val="max"/>
        <c:crossBetween val="between"/>
      </c:valAx>
      <c:catAx>
        <c:axId val="124376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4375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14286</xdr:colOff>
      <xdr:row>8</xdr:row>
      <xdr:rowOff>190499</xdr:rowOff>
    </xdr:from>
    <xdr:to>
      <xdr:col>5</xdr:col>
      <xdr:colOff>923924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25" zoomScale="75" workbookViewId="0">
      <selection activeCell="B7" sqref="B7"/>
    </sheetView>
  </sheetViews>
  <sheetFormatPr baseColWidth="10" defaultColWidth="9.1640625" defaultRowHeight="15" x14ac:dyDescent="0.2"/>
  <cols>
    <col min="1" max="1" width="4.1640625" style="13" customWidth="1"/>
    <col min="2" max="2" width="34.1640625" style="13" customWidth="1"/>
    <col min="3" max="3" width="34.1640625" style="43" customWidth="1"/>
    <col min="4" max="4" width="13.5" style="47" customWidth="1"/>
    <col min="5" max="5" width="12.33203125" style="14" bestFit="1" customWidth="1"/>
    <col min="6" max="9" width="6" style="13" bestFit="1" customWidth="1"/>
    <col min="10" max="10" width="6" style="13" customWidth="1"/>
    <col min="11" max="14" width="11.6640625" style="14" bestFit="1" customWidth="1"/>
    <col min="15" max="15" width="11.6640625" style="14" customWidth="1"/>
    <col min="16" max="16" width="9.1640625" style="13"/>
    <col min="17" max="17" width="8.83203125" style="13" customWidth="1"/>
    <col min="18" max="16384" width="9.1640625" style="13"/>
  </cols>
  <sheetData>
    <row r="1" spans="1:23" x14ac:dyDescent="0.2">
      <c r="A1" s="56" t="s">
        <v>148</v>
      </c>
    </row>
    <row r="2" spans="1:23" x14ac:dyDescent="0.2">
      <c r="A2" s="55" t="s">
        <v>150</v>
      </c>
    </row>
    <row r="3" spans="1:23" x14ac:dyDescent="0.2">
      <c r="A3" s="13" t="s">
        <v>149</v>
      </c>
    </row>
    <row r="4" spans="1:23" ht="16" thickBot="1" x14ac:dyDescent="0.25"/>
    <row r="5" spans="1:23" ht="17" thickBot="1" x14ac:dyDescent="0.25">
      <c r="A5" s="15" t="s">
        <v>50</v>
      </c>
      <c r="B5" s="3" t="s">
        <v>0</v>
      </c>
      <c r="C5" s="52"/>
      <c r="D5" s="48" t="s">
        <v>1</v>
      </c>
      <c r="E5" s="5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6" t="s">
        <v>12</v>
      </c>
    </row>
    <row r="6" spans="1:23" ht="36" x14ac:dyDescent="0.2">
      <c r="A6" s="16">
        <v>1</v>
      </c>
      <c r="B6" s="17" t="s">
        <v>51</v>
      </c>
      <c r="C6" s="54" t="s">
        <v>124</v>
      </c>
      <c r="D6" s="16" t="s">
        <v>13</v>
      </c>
      <c r="E6" s="34">
        <f>12*S6</f>
        <v>56760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34">
        <f t="shared" ref="K6:K38" si="0">E6*F6</f>
        <v>56760</v>
      </c>
      <c r="L6" s="34">
        <f t="shared" ref="L6:L24" si="1">E6*G6</f>
        <v>56760</v>
      </c>
      <c r="M6" s="34">
        <f t="shared" ref="M6:M38" si="2">E6*H6</f>
        <v>56760</v>
      </c>
      <c r="N6" s="34">
        <f t="shared" ref="N6:N24" si="3">E6*I6</f>
        <v>56760</v>
      </c>
      <c r="O6" s="34">
        <f t="shared" ref="O6:O38" si="4">E6*J6</f>
        <v>56760</v>
      </c>
      <c r="Q6" s="43" t="s">
        <v>52</v>
      </c>
      <c r="R6" s="43" t="s">
        <v>53</v>
      </c>
      <c r="S6" s="44">
        <v>4730</v>
      </c>
      <c r="T6" s="43" t="s">
        <v>122</v>
      </c>
      <c r="U6" s="45"/>
    </row>
    <row r="7" spans="1:23" ht="36" x14ac:dyDescent="0.2">
      <c r="A7" s="20">
        <v>2</v>
      </c>
      <c r="B7" s="21" t="s">
        <v>14</v>
      </c>
      <c r="C7" s="54" t="s">
        <v>125</v>
      </c>
      <c r="D7" s="20" t="s">
        <v>13</v>
      </c>
      <c r="E7" s="35">
        <f>9*S6</f>
        <v>42570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35">
        <f t="shared" si="0"/>
        <v>42570</v>
      </c>
      <c r="L7" s="35">
        <f t="shared" si="1"/>
        <v>42570</v>
      </c>
      <c r="M7" s="35">
        <f t="shared" si="2"/>
        <v>42570</v>
      </c>
      <c r="N7" s="35">
        <f t="shared" si="3"/>
        <v>42570</v>
      </c>
      <c r="O7" s="35">
        <f t="shared" si="4"/>
        <v>42570</v>
      </c>
      <c r="Q7" s="43"/>
      <c r="R7" s="43"/>
      <c r="S7" s="43"/>
      <c r="T7" s="43" t="s">
        <v>122</v>
      </c>
      <c r="U7" s="45"/>
    </row>
    <row r="8" spans="1:23" ht="34.5" customHeight="1" x14ac:dyDescent="0.2">
      <c r="A8" s="16">
        <v>3</v>
      </c>
      <c r="B8" s="21" t="s">
        <v>15</v>
      </c>
      <c r="C8" s="54" t="s">
        <v>127</v>
      </c>
      <c r="D8" s="20" t="s">
        <v>16</v>
      </c>
      <c r="E8" s="35">
        <f>495000+10000</f>
        <v>505000</v>
      </c>
      <c r="F8" s="21">
        <v>1</v>
      </c>
      <c r="G8" s="21">
        <v>0</v>
      </c>
      <c r="H8" s="21">
        <v>0</v>
      </c>
      <c r="I8" s="21">
        <v>0</v>
      </c>
      <c r="J8" s="21">
        <v>1</v>
      </c>
      <c r="K8" s="35">
        <f t="shared" si="0"/>
        <v>505000</v>
      </c>
      <c r="L8" s="35">
        <f t="shared" si="1"/>
        <v>0</v>
      </c>
      <c r="M8" s="35">
        <f t="shared" si="2"/>
        <v>0</v>
      </c>
      <c r="N8" s="35">
        <f t="shared" si="3"/>
        <v>0</v>
      </c>
      <c r="O8" s="35">
        <f t="shared" si="4"/>
        <v>505000</v>
      </c>
      <c r="Q8" s="62" t="s">
        <v>80</v>
      </c>
      <c r="R8" s="62"/>
      <c r="S8" s="62"/>
      <c r="T8" s="62"/>
      <c r="U8" s="62"/>
      <c r="V8" s="62"/>
    </row>
    <row r="9" spans="1:23" ht="51" customHeight="1" x14ac:dyDescent="0.2">
      <c r="A9" s="20">
        <v>4</v>
      </c>
      <c r="B9" s="21" t="s">
        <v>17</v>
      </c>
      <c r="C9" s="54" t="s">
        <v>126</v>
      </c>
      <c r="D9" s="20" t="s">
        <v>16</v>
      </c>
      <c r="E9" s="35">
        <f>95000+5000</f>
        <v>100000</v>
      </c>
      <c r="F9" s="21">
        <v>1</v>
      </c>
      <c r="G9" s="21">
        <v>1</v>
      </c>
      <c r="H9" s="21">
        <v>0</v>
      </c>
      <c r="I9" s="21">
        <v>0</v>
      </c>
      <c r="J9" s="21">
        <v>1</v>
      </c>
      <c r="K9" s="35">
        <f t="shared" si="0"/>
        <v>100000</v>
      </c>
      <c r="L9" s="35">
        <f t="shared" si="1"/>
        <v>100000</v>
      </c>
      <c r="M9" s="35">
        <f t="shared" si="2"/>
        <v>0</v>
      </c>
      <c r="N9" s="35">
        <f t="shared" si="3"/>
        <v>0</v>
      </c>
      <c r="O9" s="35">
        <f t="shared" si="4"/>
        <v>100000</v>
      </c>
      <c r="Q9" s="62" t="s">
        <v>81</v>
      </c>
      <c r="R9" s="62"/>
      <c r="S9" s="62"/>
      <c r="T9" s="62"/>
      <c r="U9" s="62"/>
      <c r="V9" s="62"/>
    </row>
    <row r="10" spans="1:23" ht="45.75" customHeight="1" x14ac:dyDescent="0.2">
      <c r="A10" s="16">
        <v>5</v>
      </c>
      <c r="B10" s="21" t="s">
        <v>18</v>
      </c>
      <c r="C10" s="54" t="s">
        <v>151</v>
      </c>
      <c r="D10" s="20" t="s">
        <v>13</v>
      </c>
      <c r="E10" s="35">
        <v>87500</v>
      </c>
      <c r="F10" s="21">
        <v>0</v>
      </c>
      <c r="G10" s="21">
        <v>0</v>
      </c>
      <c r="H10" s="21">
        <v>0</v>
      </c>
      <c r="I10" s="21">
        <v>1</v>
      </c>
      <c r="J10" s="21">
        <v>1</v>
      </c>
      <c r="K10" s="35">
        <f t="shared" si="0"/>
        <v>0</v>
      </c>
      <c r="L10" s="35">
        <f t="shared" si="1"/>
        <v>0</v>
      </c>
      <c r="M10" s="35">
        <f t="shared" si="2"/>
        <v>0</v>
      </c>
      <c r="N10" s="35">
        <f t="shared" si="3"/>
        <v>87500</v>
      </c>
      <c r="O10" s="35">
        <f t="shared" si="4"/>
        <v>87500</v>
      </c>
      <c r="Q10" s="62" t="s">
        <v>54</v>
      </c>
      <c r="R10" s="62"/>
      <c r="S10" s="62"/>
      <c r="T10" s="62"/>
      <c r="U10" s="62"/>
      <c r="V10" s="62"/>
    </row>
    <row r="11" spans="1:23" ht="51" customHeight="1" x14ac:dyDescent="0.2">
      <c r="A11" s="20">
        <v>6</v>
      </c>
      <c r="B11" s="21" t="s">
        <v>82</v>
      </c>
      <c r="C11" s="54" t="s">
        <v>128</v>
      </c>
      <c r="D11" s="20" t="s">
        <v>13</v>
      </c>
      <c r="E11" s="35">
        <v>81500</v>
      </c>
      <c r="F11" s="21">
        <v>0</v>
      </c>
      <c r="G11" s="21">
        <v>0</v>
      </c>
      <c r="H11" s="21">
        <v>1</v>
      </c>
      <c r="I11" s="21">
        <v>0</v>
      </c>
      <c r="J11" s="21">
        <v>1</v>
      </c>
      <c r="K11" s="35">
        <f t="shared" si="0"/>
        <v>0</v>
      </c>
      <c r="L11" s="35">
        <f t="shared" si="1"/>
        <v>0</v>
      </c>
      <c r="M11" s="35">
        <f t="shared" si="2"/>
        <v>81500</v>
      </c>
      <c r="N11" s="35">
        <f t="shared" si="3"/>
        <v>0</v>
      </c>
      <c r="O11" s="35">
        <f t="shared" si="4"/>
        <v>81500</v>
      </c>
      <c r="Q11" s="62" t="s">
        <v>55</v>
      </c>
      <c r="R11" s="62"/>
      <c r="S11" s="62"/>
      <c r="T11" s="62"/>
      <c r="U11" s="62"/>
      <c r="V11" s="62"/>
    </row>
    <row r="12" spans="1:23" ht="50.25" customHeight="1" x14ac:dyDescent="0.2">
      <c r="A12" s="16">
        <v>7</v>
      </c>
      <c r="B12" s="21" t="s">
        <v>19</v>
      </c>
      <c r="C12" s="54" t="s">
        <v>129</v>
      </c>
      <c r="D12" s="20" t="s">
        <v>13</v>
      </c>
      <c r="E12" s="35">
        <v>12400</v>
      </c>
      <c r="F12" s="21">
        <v>0</v>
      </c>
      <c r="G12" s="21">
        <v>0</v>
      </c>
      <c r="H12" s="21">
        <v>1</v>
      </c>
      <c r="I12" s="21">
        <v>0</v>
      </c>
      <c r="J12" s="21">
        <v>0</v>
      </c>
      <c r="K12" s="35">
        <f t="shared" si="0"/>
        <v>0</v>
      </c>
      <c r="L12" s="35">
        <f t="shared" si="1"/>
        <v>0</v>
      </c>
      <c r="M12" s="35">
        <f t="shared" si="2"/>
        <v>12400</v>
      </c>
      <c r="N12" s="35">
        <f t="shared" si="3"/>
        <v>0</v>
      </c>
      <c r="O12" s="35">
        <f t="shared" si="4"/>
        <v>0</v>
      </c>
      <c r="Q12" s="62" t="s">
        <v>83</v>
      </c>
      <c r="R12" s="62"/>
      <c r="S12" s="62"/>
      <c r="T12" s="62"/>
      <c r="U12" s="62"/>
      <c r="V12" s="62"/>
    </row>
    <row r="13" spans="1:23" ht="48.75" customHeight="1" x14ac:dyDescent="0.2">
      <c r="A13" s="20">
        <v>8</v>
      </c>
      <c r="B13" s="21" t="s">
        <v>20</v>
      </c>
      <c r="C13" s="54" t="s">
        <v>130</v>
      </c>
      <c r="D13" s="20" t="s">
        <v>13</v>
      </c>
      <c r="E13" s="35">
        <v>18550</v>
      </c>
      <c r="F13" s="21">
        <v>0</v>
      </c>
      <c r="G13" s="21">
        <v>0</v>
      </c>
      <c r="H13" s="21">
        <v>1</v>
      </c>
      <c r="I13" s="21">
        <v>0</v>
      </c>
      <c r="J13" s="21">
        <v>0</v>
      </c>
      <c r="K13" s="35">
        <f t="shared" si="0"/>
        <v>0</v>
      </c>
      <c r="L13" s="35">
        <f t="shared" si="1"/>
        <v>0</v>
      </c>
      <c r="M13" s="35">
        <f t="shared" si="2"/>
        <v>18550</v>
      </c>
      <c r="N13" s="35">
        <f t="shared" si="3"/>
        <v>0</v>
      </c>
      <c r="O13" s="35">
        <f t="shared" si="4"/>
        <v>0</v>
      </c>
      <c r="Q13" s="62" t="s">
        <v>84</v>
      </c>
      <c r="R13" s="62"/>
      <c r="S13" s="62"/>
      <c r="T13" s="62"/>
      <c r="U13" s="62"/>
      <c r="V13" s="62"/>
    </row>
    <row r="14" spans="1:23" ht="60.75" customHeight="1" x14ac:dyDescent="0.2">
      <c r="A14" s="16">
        <v>9</v>
      </c>
      <c r="B14" s="21" t="s">
        <v>56</v>
      </c>
      <c r="C14" s="54" t="s">
        <v>132</v>
      </c>
      <c r="D14" s="20" t="s">
        <v>13</v>
      </c>
      <c r="E14" s="35">
        <v>14350</v>
      </c>
      <c r="F14" s="21">
        <v>1</v>
      </c>
      <c r="G14" s="21">
        <v>0</v>
      </c>
      <c r="H14" s="21">
        <v>1</v>
      </c>
      <c r="I14" s="21">
        <v>0</v>
      </c>
      <c r="J14" s="21">
        <v>1</v>
      </c>
      <c r="K14" s="35">
        <f t="shared" si="0"/>
        <v>14350</v>
      </c>
      <c r="L14" s="35">
        <f t="shared" si="1"/>
        <v>0</v>
      </c>
      <c r="M14" s="35">
        <f t="shared" si="2"/>
        <v>14350</v>
      </c>
      <c r="N14" s="35">
        <f t="shared" si="3"/>
        <v>0</v>
      </c>
      <c r="O14" s="35">
        <f t="shared" si="4"/>
        <v>14350</v>
      </c>
      <c r="Q14" s="62" t="s">
        <v>85</v>
      </c>
      <c r="R14" s="62"/>
      <c r="S14" s="62"/>
      <c r="T14" s="62"/>
      <c r="U14" s="62"/>
      <c r="V14" s="62"/>
    </row>
    <row r="15" spans="1:23" ht="37.5" customHeight="1" x14ac:dyDescent="0.2">
      <c r="A15" s="20">
        <v>10</v>
      </c>
      <c r="B15" s="21" t="s">
        <v>58</v>
      </c>
      <c r="C15" s="54" t="s">
        <v>138</v>
      </c>
      <c r="D15" s="20" t="s">
        <v>13</v>
      </c>
      <c r="E15" s="35">
        <v>55000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K15" s="35">
        <f t="shared" si="0"/>
        <v>55000</v>
      </c>
      <c r="L15" s="35">
        <f t="shared" si="1"/>
        <v>55000</v>
      </c>
      <c r="M15" s="35">
        <f t="shared" si="2"/>
        <v>55000</v>
      </c>
      <c r="N15" s="35">
        <f t="shared" si="3"/>
        <v>55000</v>
      </c>
      <c r="O15" s="35">
        <f t="shared" si="4"/>
        <v>55000</v>
      </c>
      <c r="Q15" s="62" t="s">
        <v>57</v>
      </c>
      <c r="R15" s="62"/>
      <c r="S15" s="62"/>
      <c r="T15" s="62"/>
      <c r="U15" s="62"/>
      <c r="V15" s="62"/>
      <c r="W15" s="19"/>
    </row>
    <row r="16" spans="1:23" ht="63.75" customHeight="1" x14ac:dyDescent="0.2">
      <c r="A16" s="16">
        <v>11</v>
      </c>
      <c r="B16" s="21" t="s">
        <v>21</v>
      </c>
      <c r="C16" s="54" t="s">
        <v>139</v>
      </c>
      <c r="D16" s="20" t="s">
        <v>13</v>
      </c>
      <c r="E16" s="35">
        <v>8960</v>
      </c>
      <c r="F16" s="21">
        <v>1</v>
      </c>
      <c r="G16" s="21">
        <v>0</v>
      </c>
      <c r="H16" s="21">
        <v>1</v>
      </c>
      <c r="I16" s="21">
        <v>0</v>
      </c>
      <c r="J16" s="21">
        <v>1</v>
      </c>
      <c r="K16" s="35">
        <f t="shared" si="0"/>
        <v>8960</v>
      </c>
      <c r="L16" s="35">
        <f t="shared" si="1"/>
        <v>0</v>
      </c>
      <c r="M16" s="35">
        <f t="shared" si="2"/>
        <v>8960</v>
      </c>
      <c r="N16" s="35">
        <f t="shared" si="3"/>
        <v>0</v>
      </c>
      <c r="O16" s="35">
        <f t="shared" si="4"/>
        <v>8960</v>
      </c>
      <c r="Q16" s="62" t="s">
        <v>86</v>
      </c>
      <c r="R16" s="62"/>
      <c r="S16" s="62"/>
      <c r="T16" s="62"/>
      <c r="U16" s="62"/>
      <c r="V16" s="62"/>
    </row>
    <row r="17" spans="1:23" ht="61.5" customHeight="1" x14ac:dyDescent="0.2">
      <c r="A17" s="20">
        <v>12</v>
      </c>
      <c r="B17" s="21" t="s">
        <v>22</v>
      </c>
      <c r="C17" s="54" t="s">
        <v>142</v>
      </c>
      <c r="D17" s="20" t="s">
        <v>13</v>
      </c>
      <c r="E17" s="35">
        <v>105500</v>
      </c>
      <c r="F17" s="21">
        <v>1</v>
      </c>
      <c r="G17" s="21">
        <v>1</v>
      </c>
      <c r="H17" s="21">
        <v>1</v>
      </c>
      <c r="I17" s="21">
        <v>1</v>
      </c>
      <c r="J17" s="21">
        <v>1</v>
      </c>
      <c r="K17" s="35">
        <f t="shared" si="0"/>
        <v>105500</v>
      </c>
      <c r="L17" s="35">
        <f t="shared" si="1"/>
        <v>105500</v>
      </c>
      <c r="M17" s="35">
        <f t="shared" si="2"/>
        <v>105500</v>
      </c>
      <c r="N17" s="35">
        <f t="shared" si="3"/>
        <v>105500</v>
      </c>
      <c r="O17" s="35">
        <f t="shared" si="4"/>
        <v>105500</v>
      </c>
      <c r="Q17" s="62" t="s">
        <v>59</v>
      </c>
      <c r="R17" s="62"/>
      <c r="S17" s="62"/>
      <c r="T17" s="62"/>
      <c r="U17" s="62"/>
      <c r="V17" s="62"/>
      <c r="W17" s="19"/>
    </row>
    <row r="18" spans="1:23" ht="32" x14ac:dyDescent="0.2">
      <c r="A18" s="16">
        <v>13</v>
      </c>
      <c r="B18" s="21" t="s">
        <v>23</v>
      </c>
      <c r="C18" s="54"/>
      <c r="D18" s="20" t="s">
        <v>13</v>
      </c>
      <c r="E18" s="35">
        <v>60000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35">
        <f t="shared" si="0"/>
        <v>0</v>
      </c>
      <c r="L18" s="35">
        <f t="shared" si="1"/>
        <v>0</v>
      </c>
      <c r="M18" s="35">
        <f t="shared" si="2"/>
        <v>0</v>
      </c>
      <c r="N18" s="35">
        <f t="shared" si="3"/>
        <v>0</v>
      </c>
      <c r="O18" s="35">
        <f t="shared" si="4"/>
        <v>0</v>
      </c>
      <c r="Q18" s="62" t="s">
        <v>87</v>
      </c>
      <c r="R18" s="62"/>
      <c r="S18" s="62"/>
      <c r="T18" s="62"/>
      <c r="U18" s="62"/>
      <c r="V18" s="62"/>
    </row>
    <row r="19" spans="1:23" ht="70.5" customHeight="1" x14ac:dyDescent="0.2">
      <c r="A19" s="20">
        <v>14</v>
      </c>
      <c r="B19" s="21" t="s">
        <v>24</v>
      </c>
      <c r="C19" s="54" t="s">
        <v>152</v>
      </c>
      <c r="D19" s="20" t="s">
        <v>13</v>
      </c>
      <c r="E19" s="35">
        <v>22550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K19" s="35">
        <f t="shared" si="0"/>
        <v>22550</v>
      </c>
      <c r="L19" s="35">
        <f t="shared" si="1"/>
        <v>22550</v>
      </c>
      <c r="M19" s="35">
        <f t="shared" si="2"/>
        <v>22550</v>
      </c>
      <c r="N19" s="35">
        <f t="shared" si="3"/>
        <v>22550</v>
      </c>
      <c r="O19" s="35">
        <f t="shared" si="4"/>
        <v>22550</v>
      </c>
      <c r="Q19" s="62" t="s">
        <v>88</v>
      </c>
      <c r="R19" s="62"/>
      <c r="S19" s="62"/>
      <c r="T19" s="62"/>
      <c r="U19" s="62"/>
      <c r="V19" s="62"/>
    </row>
    <row r="20" spans="1:23" ht="26.25" customHeight="1" x14ac:dyDescent="0.2">
      <c r="A20" s="16">
        <v>15</v>
      </c>
      <c r="B20" s="21" t="s">
        <v>25</v>
      </c>
      <c r="C20" s="54" t="s">
        <v>137</v>
      </c>
      <c r="D20" s="20" t="s">
        <v>13</v>
      </c>
      <c r="E20" s="35">
        <v>227500</v>
      </c>
      <c r="F20" s="21">
        <v>0</v>
      </c>
      <c r="G20" s="21">
        <v>0</v>
      </c>
      <c r="H20" s="21">
        <v>0</v>
      </c>
      <c r="I20" s="21">
        <v>1</v>
      </c>
      <c r="J20" s="21">
        <v>0</v>
      </c>
      <c r="K20" s="35">
        <f t="shared" si="0"/>
        <v>0</v>
      </c>
      <c r="L20" s="35">
        <f t="shared" si="1"/>
        <v>0</v>
      </c>
      <c r="M20" s="35">
        <f t="shared" si="2"/>
        <v>0</v>
      </c>
      <c r="N20" s="35">
        <f t="shared" si="3"/>
        <v>227500</v>
      </c>
      <c r="O20" s="35">
        <f t="shared" si="4"/>
        <v>0</v>
      </c>
      <c r="Q20" s="62" t="s">
        <v>89</v>
      </c>
      <c r="R20" s="62"/>
      <c r="S20" s="62"/>
      <c r="T20" s="62"/>
      <c r="U20" s="62"/>
      <c r="V20" s="62"/>
    </row>
    <row r="21" spans="1:23" ht="47.25" customHeight="1" x14ac:dyDescent="0.2">
      <c r="A21" s="20">
        <v>16</v>
      </c>
      <c r="B21" s="21" t="s">
        <v>26</v>
      </c>
      <c r="C21" s="54" t="s">
        <v>147</v>
      </c>
      <c r="D21" s="20" t="s">
        <v>13</v>
      </c>
      <c r="E21" s="35">
        <v>82500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35">
        <f t="shared" si="0"/>
        <v>0</v>
      </c>
      <c r="L21" s="35">
        <f t="shared" si="1"/>
        <v>0</v>
      </c>
      <c r="M21" s="35">
        <f t="shared" si="2"/>
        <v>0</v>
      </c>
      <c r="N21" s="35">
        <f t="shared" si="3"/>
        <v>0</v>
      </c>
      <c r="O21" s="35">
        <f t="shared" si="4"/>
        <v>0</v>
      </c>
      <c r="Q21" s="62" t="s">
        <v>90</v>
      </c>
      <c r="R21" s="62"/>
      <c r="S21" s="62"/>
      <c r="T21" s="62"/>
      <c r="U21" s="62"/>
      <c r="V21" s="62"/>
    </row>
    <row r="22" spans="1:23" ht="32" x14ac:dyDescent="0.2">
      <c r="A22" s="16">
        <v>17</v>
      </c>
      <c r="B22" s="21" t="s">
        <v>27</v>
      </c>
      <c r="C22" s="54" t="s">
        <v>136</v>
      </c>
      <c r="D22" s="20" t="s">
        <v>13</v>
      </c>
      <c r="E22" s="35">
        <v>90000</v>
      </c>
      <c r="F22" s="21">
        <v>0</v>
      </c>
      <c r="G22" s="21">
        <v>0</v>
      </c>
      <c r="H22" s="21">
        <v>0</v>
      </c>
      <c r="I22" s="21">
        <v>1</v>
      </c>
      <c r="J22" s="21">
        <v>0</v>
      </c>
      <c r="K22" s="35">
        <f t="shared" si="0"/>
        <v>0</v>
      </c>
      <c r="L22" s="35">
        <f t="shared" si="1"/>
        <v>0</v>
      </c>
      <c r="M22" s="35">
        <f t="shared" si="2"/>
        <v>0</v>
      </c>
      <c r="N22" s="35">
        <f t="shared" si="3"/>
        <v>90000</v>
      </c>
      <c r="O22" s="35">
        <f t="shared" si="4"/>
        <v>0</v>
      </c>
      <c r="Q22" s="62" t="s">
        <v>91</v>
      </c>
      <c r="R22" s="62"/>
      <c r="S22" s="62"/>
      <c r="T22" s="62"/>
      <c r="U22" s="62"/>
      <c r="V22" s="62"/>
    </row>
    <row r="23" spans="1:23" ht="24" x14ac:dyDescent="0.2">
      <c r="A23" s="20">
        <v>18</v>
      </c>
      <c r="B23" s="21" t="s">
        <v>28</v>
      </c>
      <c r="C23" s="54" t="s">
        <v>146</v>
      </c>
      <c r="D23" s="20" t="s">
        <v>29</v>
      </c>
      <c r="E23" s="35">
        <v>96000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35">
        <f t="shared" si="0"/>
        <v>0</v>
      </c>
      <c r="L23" s="35">
        <f t="shared" si="1"/>
        <v>0</v>
      </c>
      <c r="M23" s="35">
        <f t="shared" si="2"/>
        <v>0</v>
      </c>
      <c r="N23" s="35">
        <f t="shared" si="3"/>
        <v>0</v>
      </c>
      <c r="O23" s="35">
        <f t="shared" si="4"/>
        <v>0</v>
      </c>
      <c r="Q23" s="62" t="s">
        <v>92</v>
      </c>
      <c r="R23" s="62"/>
      <c r="S23" s="62"/>
      <c r="T23" s="62"/>
      <c r="U23" s="62"/>
      <c r="V23" s="62"/>
    </row>
    <row r="24" spans="1:23" ht="15" customHeight="1" x14ac:dyDescent="0.2">
      <c r="A24" s="16">
        <v>19</v>
      </c>
      <c r="B24" s="21" t="s">
        <v>30</v>
      </c>
      <c r="C24" s="54" t="s">
        <v>146</v>
      </c>
      <c r="D24" s="20" t="s">
        <v>29</v>
      </c>
      <c r="E24" s="35">
        <v>16500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35">
        <f t="shared" si="0"/>
        <v>0</v>
      </c>
      <c r="L24" s="35">
        <f t="shared" si="1"/>
        <v>0</v>
      </c>
      <c r="M24" s="35">
        <f t="shared" si="2"/>
        <v>0</v>
      </c>
      <c r="N24" s="35">
        <f t="shared" si="3"/>
        <v>0</v>
      </c>
      <c r="O24" s="35">
        <f t="shared" si="4"/>
        <v>0</v>
      </c>
      <c r="Q24" s="62" t="s">
        <v>92</v>
      </c>
      <c r="R24" s="62"/>
      <c r="S24" s="62"/>
      <c r="T24" s="62"/>
      <c r="U24" s="62"/>
      <c r="V24" s="62"/>
    </row>
    <row r="25" spans="1:23" ht="57" customHeight="1" x14ac:dyDescent="0.2">
      <c r="A25" s="20">
        <v>20</v>
      </c>
      <c r="B25" s="23" t="s">
        <v>60</v>
      </c>
      <c r="C25" s="54" t="s">
        <v>131</v>
      </c>
      <c r="D25" s="20" t="s">
        <v>13</v>
      </c>
      <c r="E25" s="35">
        <v>18650</v>
      </c>
      <c r="F25" s="21">
        <v>1</v>
      </c>
      <c r="G25" s="21">
        <v>0</v>
      </c>
      <c r="H25" s="21">
        <v>1</v>
      </c>
      <c r="I25" s="21">
        <v>0</v>
      </c>
      <c r="J25" s="21">
        <v>1</v>
      </c>
      <c r="K25" s="35">
        <f t="shared" si="0"/>
        <v>18650</v>
      </c>
      <c r="L25" s="35">
        <f>E25*G25</f>
        <v>0</v>
      </c>
      <c r="M25" s="35">
        <f t="shared" si="2"/>
        <v>18650</v>
      </c>
      <c r="N25" s="35">
        <f>E25*I25</f>
        <v>0</v>
      </c>
      <c r="O25" s="35">
        <f t="shared" si="4"/>
        <v>18650</v>
      </c>
      <c r="Q25" s="62" t="s">
        <v>93</v>
      </c>
      <c r="R25" s="62"/>
      <c r="S25" s="62"/>
      <c r="T25" s="62"/>
      <c r="U25" s="62"/>
      <c r="V25" s="62"/>
    </row>
    <row r="26" spans="1:23" ht="72" customHeight="1" x14ac:dyDescent="0.2">
      <c r="A26" s="16">
        <v>21</v>
      </c>
      <c r="B26" s="23" t="s">
        <v>61</v>
      </c>
      <c r="C26" s="54" t="s">
        <v>133</v>
      </c>
      <c r="D26" s="20" t="s">
        <v>13</v>
      </c>
      <c r="E26" s="35">
        <v>56000</v>
      </c>
      <c r="F26" s="21">
        <v>1</v>
      </c>
      <c r="G26" s="21">
        <v>0</v>
      </c>
      <c r="H26" s="21">
        <v>1</v>
      </c>
      <c r="I26" s="21">
        <v>1</v>
      </c>
      <c r="J26" s="21">
        <v>1</v>
      </c>
      <c r="K26" s="35">
        <f t="shared" si="0"/>
        <v>56000</v>
      </c>
      <c r="L26" s="35">
        <f>E26*G26</f>
        <v>0</v>
      </c>
      <c r="M26" s="35">
        <f t="shared" si="2"/>
        <v>56000</v>
      </c>
      <c r="N26" s="35">
        <f>E26*I26</f>
        <v>56000</v>
      </c>
      <c r="O26" s="35">
        <f t="shared" si="4"/>
        <v>56000</v>
      </c>
      <c r="Q26" s="62" t="s">
        <v>94</v>
      </c>
      <c r="R26" s="62"/>
      <c r="S26" s="62"/>
      <c r="T26" s="62"/>
      <c r="U26" s="62"/>
      <c r="V26" s="62"/>
    </row>
    <row r="27" spans="1:23" ht="60.75" customHeight="1" x14ac:dyDescent="0.2">
      <c r="A27" s="20">
        <v>22</v>
      </c>
      <c r="B27" s="23" t="s">
        <v>62</v>
      </c>
      <c r="C27" s="54" t="s">
        <v>134</v>
      </c>
      <c r="D27" s="20" t="s">
        <v>13</v>
      </c>
      <c r="E27" s="35">
        <v>19250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K27" s="35">
        <f t="shared" si="0"/>
        <v>19250</v>
      </c>
      <c r="L27" s="35">
        <f>E27*G27</f>
        <v>19250</v>
      </c>
      <c r="M27" s="35">
        <f t="shared" si="2"/>
        <v>19250</v>
      </c>
      <c r="N27" s="35">
        <f>E27*I27</f>
        <v>19250</v>
      </c>
      <c r="O27" s="35">
        <f t="shared" si="4"/>
        <v>19250</v>
      </c>
      <c r="Q27" s="62" t="s">
        <v>95</v>
      </c>
      <c r="R27" s="62"/>
      <c r="S27" s="62"/>
      <c r="T27" s="62"/>
      <c r="U27" s="62"/>
      <c r="V27" s="62"/>
    </row>
    <row r="28" spans="1:23" ht="82.5" customHeight="1" x14ac:dyDescent="0.2">
      <c r="A28" s="16">
        <v>23</v>
      </c>
      <c r="B28" s="23" t="s">
        <v>63</v>
      </c>
      <c r="C28" s="54" t="s">
        <v>135</v>
      </c>
      <c r="D28" s="20" t="s">
        <v>13</v>
      </c>
      <c r="E28" s="35">
        <v>182000</v>
      </c>
      <c r="F28" s="21">
        <v>1</v>
      </c>
      <c r="G28" s="21">
        <v>1</v>
      </c>
      <c r="H28" s="21">
        <v>0</v>
      </c>
      <c r="I28" s="21">
        <v>0</v>
      </c>
      <c r="J28" s="21">
        <v>1</v>
      </c>
      <c r="K28" s="35">
        <f t="shared" si="0"/>
        <v>182000</v>
      </c>
      <c r="L28" s="35">
        <f t="shared" ref="L28:L38" si="5">E28*G28</f>
        <v>182000</v>
      </c>
      <c r="M28" s="35">
        <f t="shared" si="2"/>
        <v>0</v>
      </c>
      <c r="N28" s="35">
        <f t="shared" ref="N28:N38" si="6">E28*I28</f>
        <v>0</v>
      </c>
      <c r="O28" s="35">
        <f t="shared" si="4"/>
        <v>182000</v>
      </c>
      <c r="Q28" s="62" t="s">
        <v>96</v>
      </c>
      <c r="R28" s="62"/>
      <c r="S28" s="62"/>
      <c r="T28" s="62"/>
      <c r="U28" s="62"/>
      <c r="V28" s="62"/>
    </row>
    <row r="29" spans="1:23" ht="49.5" customHeight="1" x14ac:dyDescent="0.2">
      <c r="A29" s="20">
        <v>24</v>
      </c>
      <c r="B29" s="20" t="s">
        <v>64</v>
      </c>
      <c r="C29" s="54" t="s">
        <v>153</v>
      </c>
      <c r="D29" s="20" t="s">
        <v>13</v>
      </c>
      <c r="E29" s="35">
        <v>40500</v>
      </c>
      <c r="F29" s="21">
        <v>1</v>
      </c>
      <c r="G29" s="21">
        <v>0</v>
      </c>
      <c r="H29" s="21">
        <v>0</v>
      </c>
      <c r="I29" s="21">
        <v>1</v>
      </c>
      <c r="J29" s="21">
        <v>1</v>
      </c>
      <c r="K29" s="35">
        <f t="shared" si="0"/>
        <v>40500</v>
      </c>
      <c r="L29" s="35">
        <f t="shared" si="5"/>
        <v>0</v>
      </c>
      <c r="M29" s="35">
        <f t="shared" si="2"/>
        <v>0</v>
      </c>
      <c r="N29" s="35">
        <f t="shared" si="6"/>
        <v>40500</v>
      </c>
      <c r="O29" s="35">
        <f t="shared" si="4"/>
        <v>40500</v>
      </c>
      <c r="Q29" s="62" t="s">
        <v>97</v>
      </c>
      <c r="R29" s="62"/>
      <c r="S29" s="62"/>
      <c r="T29" s="62"/>
      <c r="U29" s="62"/>
      <c r="V29" s="62"/>
    </row>
    <row r="30" spans="1:23" ht="40.5" customHeight="1" x14ac:dyDescent="0.2">
      <c r="A30" s="16">
        <v>25</v>
      </c>
      <c r="B30" s="20" t="s">
        <v>154</v>
      </c>
      <c r="C30" s="54" t="s">
        <v>140</v>
      </c>
      <c r="D30" s="20" t="s">
        <v>13</v>
      </c>
      <c r="E30" s="35">
        <v>18550</v>
      </c>
      <c r="F30" s="21">
        <v>0</v>
      </c>
      <c r="G30" s="21">
        <v>0</v>
      </c>
      <c r="H30" s="21">
        <v>1</v>
      </c>
      <c r="I30" s="21">
        <v>0</v>
      </c>
      <c r="J30" s="21">
        <v>1</v>
      </c>
      <c r="K30" s="35">
        <f t="shared" si="0"/>
        <v>0</v>
      </c>
      <c r="L30" s="35">
        <f t="shared" si="5"/>
        <v>0</v>
      </c>
      <c r="M30" s="35">
        <f t="shared" si="2"/>
        <v>18550</v>
      </c>
      <c r="N30" s="35">
        <f t="shared" si="6"/>
        <v>0</v>
      </c>
      <c r="O30" s="35">
        <f t="shared" si="4"/>
        <v>18550</v>
      </c>
      <c r="Q30" s="62" t="s">
        <v>98</v>
      </c>
      <c r="R30" s="62"/>
      <c r="S30" s="62"/>
      <c r="T30" s="62"/>
      <c r="U30" s="62"/>
      <c r="V30" s="62"/>
    </row>
    <row r="31" spans="1:23" ht="71.25" customHeight="1" x14ac:dyDescent="0.2">
      <c r="A31" s="20">
        <v>26</v>
      </c>
      <c r="B31" s="20" t="s">
        <v>65</v>
      </c>
      <c r="C31" s="54" t="s">
        <v>141</v>
      </c>
      <c r="D31" s="20" t="s">
        <v>13</v>
      </c>
      <c r="E31" s="35">
        <v>100000</v>
      </c>
      <c r="F31" s="21">
        <v>0</v>
      </c>
      <c r="G31" s="21">
        <v>0</v>
      </c>
      <c r="H31" s="21">
        <v>0</v>
      </c>
      <c r="I31" s="21">
        <v>0</v>
      </c>
      <c r="J31" s="21">
        <v>1</v>
      </c>
      <c r="K31" s="35">
        <f t="shared" si="0"/>
        <v>0</v>
      </c>
      <c r="L31" s="35">
        <f t="shared" si="5"/>
        <v>0</v>
      </c>
      <c r="M31" s="35">
        <f t="shared" si="2"/>
        <v>0</v>
      </c>
      <c r="N31" s="35">
        <f t="shared" si="6"/>
        <v>0</v>
      </c>
      <c r="O31" s="35">
        <f t="shared" si="4"/>
        <v>100000</v>
      </c>
      <c r="Q31" s="62" t="s">
        <v>99</v>
      </c>
      <c r="R31" s="62"/>
      <c r="S31" s="62"/>
      <c r="T31" s="62"/>
      <c r="U31" s="62"/>
      <c r="V31" s="62"/>
    </row>
    <row r="32" spans="1:23" ht="48.75" customHeight="1" x14ac:dyDescent="0.2">
      <c r="A32" s="16">
        <v>27</v>
      </c>
      <c r="B32" s="20" t="s">
        <v>66</v>
      </c>
      <c r="C32" s="54" t="s">
        <v>155</v>
      </c>
      <c r="D32" s="20" t="s">
        <v>13</v>
      </c>
      <c r="E32" s="35">
        <v>65000</v>
      </c>
      <c r="F32" s="21">
        <v>0</v>
      </c>
      <c r="G32" s="21">
        <v>0</v>
      </c>
      <c r="H32" s="21">
        <v>1</v>
      </c>
      <c r="I32" s="21">
        <v>1</v>
      </c>
      <c r="J32" s="21">
        <v>0</v>
      </c>
      <c r="K32" s="35">
        <f t="shared" si="0"/>
        <v>0</v>
      </c>
      <c r="L32" s="35">
        <f t="shared" si="5"/>
        <v>0</v>
      </c>
      <c r="M32" s="35">
        <f t="shared" si="2"/>
        <v>65000</v>
      </c>
      <c r="N32" s="35">
        <f t="shared" si="6"/>
        <v>65000</v>
      </c>
      <c r="O32" s="35">
        <f t="shared" si="4"/>
        <v>0</v>
      </c>
      <c r="Q32" s="62" t="s">
        <v>100</v>
      </c>
      <c r="R32" s="62"/>
      <c r="S32" s="62"/>
      <c r="T32" s="62"/>
      <c r="U32" s="62"/>
      <c r="V32" s="62"/>
    </row>
    <row r="33" spans="1:22" ht="69.75" customHeight="1" x14ac:dyDescent="0.2">
      <c r="A33" s="20">
        <v>28</v>
      </c>
      <c r="B33" s="23" t="s">
        <v>156</v>
      </c>
      <c r="C33" s="54" t="s">
        <v>143</v>
      </c>
      <c r="D33" s="20" t="s">
        <v>13</v>
      </c>
      <c r="E33" s="35">
        <v>101500</v>
      </c>
      <c r="F33" s="21">
        <v>1</v>
      </c>
      <c r="G33" s="21">
        <v>0</v>
      </c>
      <c r="H33" s="21">
        <v>1</v>
      </c>
      <c r="I33" s="21">
        <v>0</v>
      </c>
      <c r="J33" s="21">
        <v>1</v>
      </c>
      <c r="K33" s="35">
        <f t="shared" si="0"/>
        <v>101500</v>
      </c>
      <c r="L33" s="35">
        <f t="shared" si="5"/>
        <v>0</v>
      </c>
      <c r="M33" s="35">
        <f t="shared" si="2"/>
        <v>101500</v>
      </c>
      <c r="N33" s="35">
        <f t="shared" si="6"/>
        <v>0</v>
      </c>
      <c r="O33" s="35">
        <f t="shared" si="4"/>
        <v>101500</v>
      </c>
      <c r="Q33" s="62" t="s">
        <v>101</v>
      </c>
      <c r="R33" s="62"/>
      <c r="S33" s="62"/>
      <c r="T33" s="62"/>
      <c r="U33" s="62"/>
      <c r="V33" s="62"/>
    </row>
    <row r="34" spans="1:22" ht="72" customHeight="1" x14ac:dyDescent="0.2">
      <c r="A34" s="16">
        <v>29</v>
      </c>
      <c r="B34" s="20" t="s">
        <v>67</v>
      </c>
      <c r="C34" s="54" t="s">
        <v>144</v>
      </c>
      <c r="D34" s="20" t="s">
        <v>13</v>
      </c>
      <c r="E34" s="35">
        <v>79000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K34" s="35">
        <f t="shared" si="0"/>
        <v>79000</v>
      </c>
      <c r="L34" s="35">
        <f t="shared" si="5"/>
        <v>79000</v>
      </c>
      <c r="M34" s="35">
        <f t="shared" si="2"/>
        <v>79000</v>
      </c>
      <c r="N34" s="35">
        <f t="shared" si="6"/>
        <v>79000</v>
      </c>
      <c r="O34" s="35">
        <f t="shared" si="4"/>
        <v>79000</v>
      </c>
      <c r="Q34" s="62" t="s">
        <v>102</v>
      </c>
      <c r="R34" s="62"/>
      <c r="S34" s="62"/>
      <c r="T34" s="62"/>
      <c r="U34" s="62"/>
      <c r="V34" s="62"/>
    </row>
    <row r="35" spans="1:22" ht="82.5" customHeight="1" x14ac:dyDescent="0.2">
      <c r="A35" s="20">
        <v>30</v>
      </c>
      <c r="B35" s="20" t="s">
        <v>68</v>
      </c>
      <c r="C35" s="54" t="s">
        <v>157</v>
      </c>
      <c r="D35" s="20" t="s">
        <v>13</v>
      </c>
      <c r="E35" s="35">
        <v>112500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K35" s="35">
        <f t="shared" si="0"/>
        <v>112500</v>
      </c>
      <c r="L35" s="35">
        <f t="shared" si="5"/>
        <v>112500</v>
      </c>
      <c r="M35" s="35">
        <f t="shared" si="2"/>
        <v>112500</v>
      </c>
      <c r="N35" s="35">
        <f t="shared" si="6"/>
        <v>112500</v>
      </c>
      <c r="O35" s="35">
        <f t="shared" si="4"/>
        <v>112500</v>
      </c>
      <c r="Q35" s="62" t="s">
        <v>103</v>
      </c>
      <c r="R35" s="62"/>
      <c r="S35" s="62"/>
      <c r="T35" s="62"/>
      <c r="U35" s="62"/>
      <c r="V35" s="62"/>
    </row>
    <row r="36" spans="1:22" ht="83.25" customHeight="1" x14ac:dyDescent="0.2">
      <c r="A36" s="16">
        <v>31</v>
      </c>
      <c r="B36" s="20" t="s">
        <v>69</v>
      </c>
      <c r="C36" s="54" t="s">
        <v>158</v>
      </c>
      <c r="D36" s="20" t="s">
        <v>13</v>
      </c>
      <c r="E36" s="35">
        <v>75000</v>
      </c>
      <c r="F36" s="21">
        <v>1</v>
      </c>
      <c r="G36" s="21">
        <v>0</v>
      </c>
      <c r="H36" s="21">
        <v>1</v>
      </c>
      <c r="I36" s="21">
        <v>0</v>
      </c>
      <c r="J36" s="21">
        <v>1</v>
      </c>
      <c r="K36" s="35">
        <f t="shared" si="0"/>
        <v>75000</v>
      </c>
      <c r="L36" s="35">
        <f t="shared" si="5"/>
        <v>0</v>
      </c>
      <c r="M36" s="35">
        <f t="shared" si="2"/>
        <v>75000</v>
      </c>
      <c r="N36" s="35">
        <f t="shared" si="6"/>
        <v>0</v>
      </c>
      <c r="O36" s="35">
        <f t="shared" si="4"/>
        <v>75000</v>
      </c>
      <c r="Q36" s="62" t="s">
        <v>105</v>
      </c>
      <c r="R36" s="62"/>
      <c r="S36" s="62"/>
      <c r="T36" s="62"/>
      <c r="U36" s="62"/>
      <c r="V36" s="62"/>
    </row>
    <row r="37" spans="1:22" ht="71.25" customHeight="1" x14ac:dyDescent="0.2">
      <c r="A37" s="20">
        <v>32</v>
      </c>
      <c r="B37" s="20" t="s">
        <v>70</v>
      </c>
      <c r="C37" s="54" t="s">
        <v>159</v>
      </c>
      <c r="D37" s="20" t="s">
        <v>13</v>
      </c>
      <c r="E37" s="35">
        <v>56000</v>
      </c>
      <c r="F37" s="21">
        <v>1</v>
      </c>
      <c r="G37" s="21">
        <v>0</v>
      </c>
      <c r="H37" s="21">
        <v>1</v>
      </c>
      <c r="I37" s="21">
        <v>0</v>
      </c>
      <c r="J37" s="21">
        <v>1</v>
      </c>
      <c r="K37" s="35">
        <f t="shared" si="0"/>
        <v>56000</v>
      </c>
      <c r="L37" s="35">
        <f t="shared" si="5"/>
        <v>0</v>
      </c>
      <c r="M37" s="35">
        <f t="shared" si="2"/>
        <v>56000</v>
      </c>
      <c r="N37" s="35">
        <f t="shared" si="6"/>
        <v>0</v>
      </c>
      <c r="O37" s="35">
        <f t="shared" si="4"/>
        <v>56000</v>
      </c>
      <c r="Q37" s="62" t="s">
        <v>104</v>
      </c>
      <c r="R37" s="62"/>
      <c r="S37" s="62"/>
      <c r="T37" s="62"/>
      <c r="U37" s="62"/>
      <c r="V37" s="62"/>
    </row>
    <row r="38" spans="1:22" ht="72.75" customHeight="1" thickBot="1" x14ac:dyDescent="0.25">
      <c r="A38" s="16">
        <v>33</v>
      </c>
      <c r="B38" s="20" t="s">
        <v>71</v>
      </c>
      <c r="C38" s="54" t="s">
        <v>145</v>
      </c>
      <c r="D38" s="49" t="s">
        <v>13</v>
      </c>
      <c r="E38" s="36">
        <v>78000</v>
      </c>
      <c r="F38" s="22">
        <v>1</v>
      </c>
      <c r="G38" s="22">
        <v>0</v>
      </c>
      <c r="H38" s="22">
        <v>1</v>
      </c>
      <c r="I38" s="22">
        <v>0</v>
      </c>
      <c r="J38" s="22">
        <v>1</v>
      </c>
      <c r="K38" s="36">
        <f t="shared" si="0"/>
        <v>78000</v>
      </c>
      <c r="L38" s="18">
        <f t="shared" si="5"/>
        <v>0</v>
      </c>
      <c r="M38" s="36">
        <f t="shared" si="2"/>
        <v>78000</v>
      </c>
      <c r="N38" s="36">
        <f t="shared" si="6"/>
        <v>0</v>
      </c>
      <c r="O38" s="36">
        <f t="shared" si="4"/>
        <v>78000</v>
      </c>
      <c r="Q38" s="62" t="s">
        <v>106</v>
      </c>
      <c r="R38" s="62"/>
      <c r="S38" s="62"/>
      <c r="T38" s="62"/>
      <c r="U38" s="62"/>
      <c r="V38" s="62"/>
    </row>
    <row r="39" spans="1:22" ht="16" thickBot="1" x14ac:dyDescent="0.25">
      <c r="A39" s="20">
        <v>34</v>
      </c>
      <c r="B39" s="28" t="s">
        <v>75</v>
      </c>
      <c r="C39" s="53"/>
      <c r="D39" s="50"/>
      <c r="E39" s="26"/>
      <c r="F39" s="25"/>
      <c r="G39" s="25"/>
      <c r="H39" s="25"/>
      <c r="I39" s="25"/>
      <c r="J39" s="25"/>
      <c r="K39" s="37">
        <f>SUM(K6:K38)</f>
        <v>1729090</v>
      </c>
      <c r="L39" s="37">
        <f>SUM(L6:L38)</f>
        <v>775130</v>
      </c>
      <c r="M39" s="37">
        <f>SUM(M6:M38)</f>
        <v>1097590</v>
      </c>
      <c r="N39" s="37">
        <f>SUM(N6:N38)</f>
        <v>1059630</v>
      </c>
      <c r="O39" s="38">
        <f>SUM(O6:O38)</f>
        <v>2016640</v>
      </c>
    </row>
    <row r="40" spans="1:22" ht="16" thickBot="1" x14ac:dyDescent="0.25">
      <c r="A40" s="16">
        <v>35</v>
      </c>
      <c r="B40" s="28" t="s">
        <v>160</v>
      </c>
      <c r="C40" s="53"/>
      <c r="D40" s="50"/>
      <c r="E40" s="26"/>
      <c r="F40" s="25"/>
      <c r="G40" s="25"/>
      <c r="H40" s="25"/>
      <c r="I40" s="25"/>
      <c r="J40" s="25"/>
      <c r="K40" s="37">
        <f>K39*0.2</f>
        <v>345818</v>
      </c>
      <c r="L40" s="37">
        <f>L39*0.2</f>
        <v>155026</v>
      </c>
      <c r="M40" s="37">
        <f>M39*0.2</f>
        <v>219518</v>
      </c>
      <c r="N40" s="37">
        <f>N39*0.2</f>
        <v>211926</v>
      </c>
      <c r="O40" s="39">
        <f>O39*0.2</f>
        <v>403328</v>
      </c>
    </row>
    <row r="41" spans="1:22" ht="16" thickBot="1" x14ac:dyDescent="0.25">
      <c r="A41" s="20">
        <v>36</v>
      </c>
      <c r="B41" s="28" t="s">
        <v>76</v>
      </c>
      <c r="C41" s="53"/>
      <c r="D41" s="50"/>
      <c r="E41" s="26"/>
      <c r="F41" s="25"/>
      <c r="G41" s="25"/>
      <c r="H41" s="25"/>
      <c r="I41" s="25"/>
      <c r="J41" s="25"/>
      <c r="K41" s="37">
        <f>K39*0.1</f>
        <v>172909</v>
      </c>
      <c r="L41" s="37">
        <f>L39*0.1</f>
        <v>77513</v>
      </c>
      <c r="M41" s="37">
        <f>M39*0.1</f>
        <v>109759</v>
      </c>
      <c r="N41" s="37">
        <f>N39*0.1</f>
        <v>105963</v>
      </c>
      <c r="O41" s="39">
        <f>O39*0.1</f>
        <v>201664</v>
      </c>
    </row>
    <row r="42" spans="1:22" ht="16" thickBot="1" x14ac:dyDescent="0.25">
      <c r="A42" s="16">
        <v>37</v>
      </c>
      <c r="B42" s="28" t="s">
        <v>107</v>
      </c>
      <c r="C42" s="53"/>
      <c r="D42" s="51"/>
      <c r="E42" s="27"/>
      <c r="F42" s="29"/>
      <c r="G42" s="29"/>
      <c r="H42" s="29"/>
      <c r="I42" s="29"/>
      <c r="J42" s="29"/>
      <c r="K42" s="37">
        <f>K39*0.15</f>
        <v>259363.5</v>
      </c>
      <c r="L42" s="37">
        <f t="shared" ref="L42:O42" si="7">L39*0.15</f>
        <v>116269.5</v>
      </c>
      <c r="M42" s="37">
        <f t="shared" si="7"/>
        <v>164638.5</v>
      </c>
      <c r="N42" s="37">
        <f t="shared" si="7"/>
        <v>158944.5</v>
      </c>
      <c r="O42" s="39">
        <f t="shared" si="7"/>
        <v>302496</v>
      </c>
    </row>
    <row r="43" spans="1:22" ht="16" thickBot="1" x14ac:dyDescent="0.25">
      <c r="A43" s="20">
        <v>38</v>
      </c>
      <c r="B43" s="28" t="s">
        <v>77</v>
      </c>
      <c r="C43" s="53"/>
      <c r="D43" s="51"/>
      <c r="E43" s="27"/>
      <c r="F43" s="29"/>
      <c r="G43" s="29"/>
      <c r="H43" s="29"/>
      <c r="I43" s="29"/>
      <c r="J43" s="29"/>
      <c r="K43" s="37">
        <f>SUM(K39:K42)</f>
        <v>2507180.5</v>
      </c>
      <c r="L43" s="37">
        <f>SUM(L39:L42)</f>
        <v>1123938.5</v>
      </c>
      <c r="M43" s="37">
        <f>SUM(M39:M42)</f>
        <v>1591505.5</v>
      </c>
      <c r="N43" s="37">
        <f>SUM(N39:N42)</f>
        <v>1536463.5</v>
      </c>
      <c r="O43" s="39">
        <f>SUM(O39:O42)</f>
        <v>2924128</v>
      </c>
    </row>
  </sheetData>
  <mergeCells count="31">
    <mergeCell ref="Q36:V36"/>
    <mergeCell ref="Q37:V37"/>
    <mergeCell ref="Q38:V38"/>
    <mergeCell ref="Q21:V21"/>
    <mergeCell ref="Q22:V22"/>
    <mergeCell ref="Q25:V25"/>
    <mergeCell ref="Q32:V32"/>
    <mergeCell ref="Q23:V23"/>
    <mergeCell ref="Q24:V24"/>
    <mergeCell ref="Q26:V26"/>
    <mergeCell ref="Q27:V27"/>
    <mergeCell ref="Q28:V28"/>
    <mergeCell ref="Q29:V29"/>
    <mergeCell ref="Q30:V30"/>
    <mergeCell ref="Q31:V31"/>
    <mergeCell ref="Q33:V33"/>
    <mergeCell ref="Q34:V34"/>
    <mergeCell ref="Q35:V35"/>
    <mergeCell ref="Q20:V20"/>
    <mergeCell ref="Q8:V8"/>
    <mergeCell ref="Q9:V9"/>
    <mergeCell ref="Q10:V10"/>
    <mergeCell ref="Q11:V11"/>
    <mergeCell ref="Q12:V12"/>
    <mergeCell ref="Q13:V13"/>
    <mergeCell ref="Q14:V14"/>
    <mergeCell ref="Q15:V15"/>
    <mergeCell ref="Q16:V16"/>
    <mergeCell ref="Q17:V17"/>
    <mergeCell ref="Q19:V19"/>
    <mergeCell ref="Q18:V18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8.5" bestFit="1" customWidth="1"/>
    <col min="2" max="2" width="6.5" bestFit="1" customWidth="1"/>
    <col min="3" max="3" width="20.33203125" bestFit="1" customWidth="1"/>
  </cols>
  <sheetData>
    <row r="1" spans="1:3" ht="16" thickBot="1" x14ac:dyDescent="0.25">
      <c r="A1" s="11" t="s">
        <v>31</v>
      </c>
      <c r="B1" s="3" t="s">
        <v>32</v>
      </c>
      <c r="C1" s="4" t="s">
        <v>33</v>
      </c>
    </row>
    <row r="2" spans="1:3" x14ac:dyDescent="0.2">
      <c r="A2" s="2" t="s">
        <v>34</v>
      </c>
      <c r="B2" s="10">
        <v>11599</v>
      </c>
      <c r="C2" s="2" t="s">
        <v>35</v>
      </c>
    </row>
    <row r="3" spans="1:3" x14ac:dyDescent="0.2">
      <c r="A3" s="1" t="s">
        <v>72</v>
      </c>
      <c r="B3" s="1">
        <v>110</v>
      </c>
      <c r="C3" s="1" t="s">
        <v>73</v>
      </c>
    </row>
    <row r="4" spans="1:3" x14ac:dyDescent="0.2">
      <c r="A4" s="1" t="s">
        <v>74</v>
      </c>
      <c r="B4" s="1">
        <v>43</v>
      </c>
      <c r="C4" s="1" t="s">
        <v>73</v>
      </c>
    </row>
    <row r="5" spans="1:3" x14ac:dyDescent="0.2">
      <c r="A5" s="1" t="s">
        <v>36</v>
      </c>
      <c r="B5" s="1">
        <v>0.2</v>
      </c>
      <c r="C5" s="1" t="s">
        <v>37</v>
      </c>
    </row>
    <row r="6" spans="1:3" x14ac:dyDescent="0.2">
      <c r="A6" s="1" t="s">
        <v>38</v>
      </c>
      <c r="B6" s="1">
        <v>0.1</v>
      </c>
      <c r="C6" s="1" t="s">
        <v>37</v>
      </c>
    </row>
    <row r="7" spans="1:3" x14ac:dyDescent="0.2">
      <c r="A7" s="1" t="s">
        <v>39</v>
      </c>
      <c r="B7" s="1">
        <v>0.15</v>
      </c>
      <c r="C7" s="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4.83203125" bestFit="1" customWidth="1"/>
    <col min="2" max="6" width="11.6640625" bestFit="1" customWidth="1"/>
  </cols>
  <sheetData>
    <row r="1" spans="1:6" ht="16" thickBot="1" x14ac:dyDescent="0.25">
      <c r="A1" s="7" t="s">
        <v>78</v>
      </c>
      <c r="B1" s="8" t="s">
        <v>40</v>
      </c>
      <c r="C1" s="8" t="s">
        <v>41</v>
      </c>
      <c r="D1" s="8" t="s">
        <v>42</v>
      </c>
      <c r="E1" s="8" t="s">
        <v>43</v>
      </c>
      <c r="F1" s="9" t="s">
        <v>44</v>
      </c>
    </row>
    <row r="2" spans="1:6" x14ac:dyDescent="0.2">
      <c r="A2" s="2" t="s">
        <v>45</v>
      </c>
      <c r="B2" s="10">
        <f>SUM('Detailed Measures'!K6:K38)</f>
        <v>1729090</v>
      </c>
      <c r="C2" s="10">
        <f>SUM('Detailed Measures'!L6:L38)</f>
        <v>775130</v>
      </c>
      <c r="D2" s="10">
        <f>SUM('Detailed Measures'!M6:M38)</f>
        <v>1097590</v>
      </c>
      <c r="E2" s="10">
        <f>SUM('Detailed Measures'!N6:N38)</f>
        <v>1059630</v>
      </c>
      <c r="F2" s="10">
        <f>SUM('Detailed Measures'!O6:O38)</f>
        <v>2016640</v>
      </c>
    </row>
    <row r="3" spans="1:6" x14ac:dyDescent="0.2">
      <c r="A3" s="1" t="s">
        <v>46</v>
      </c>
      <c r="B3" s="30">
        <f>'Cost Parameters'!B5*B2</f>
        <v>345818</v>
      </c>
      <c r="C3" s="30">
        <f>'Cost Parameters'!B5*C2</f>
        <v>155026</v>
      </c>
      <c r="D3" s="30">
        <f>'Scenario Totals'!D2*'Cost Parameters'!B5</f>
        <v>219518</v>
      </c>
      <c r="E3" s="30">
        <f>'Cost Parameters'!B5*E2</f>
        <v>211926</v>
      </c>
      <c r="F3" s="30">
        <f>'Detailed Measures'!O40</f>
        <v>403328</v>
      </c>
    </row>
    <row r="4" spans="1:6" x14ac:dyDescent="0.2">
      <c r="A4" s="1" t="s">
        <v>47</v>
      </c>
      <c r="B4" s="30">
        <f>'Cost Parameters'!B6*B2</f>
        <v>172909</v>
      </c>
      <c r="C4" s="30">
        <f>'Cost Parameters'!B6*C2</f>
        <v>77513</v>
      </c>
      <c r="D4" s="30">
        <f>'Cost Parameters'!B6*D2</f>
        <v>109759</v>
      </c>
      <c r="E4" s="30">
        <f>'Cost Parameters'!B6*E2</f>
        <v>105963</v>
      </c>
      <c r="F4" s="30">
        <f>'Detailed Measures'!O41</f>
        <v>201664</v>
      </c>
    </row>
    <row r="5" spans="1:6" ht="16" thickBot="1" x14ac:dyDescent="0.25">
      <c r="A5" s="12" t="s">
        <v>48</v>
      </c>
      <c r="B5" s="31">
        <f>'Cost Parameters'!B7*B2</f>
        <v>259363.5</v>
      </c>
      <c r="C5" s="31">
        <f>'Cost Parameters'!B7*C2</f>
        <v>116269.5</v>
      </c>
      <c r="D5" s="31">
        <f>'Cost Parameters'!B7*D2</f>
        <v>164638.5</v>
      </c>
      <c r="E5" s="31">
        <f>'Cost Parameters'!B7*E2</f>
        <v>158944.5</v>
      </c>
      <c r="F5" s="31">
        <f>'Detailed Measures'!O42</f>
        <v>302496</v>
      </c>
    </row>
    <row r="6" spans="1:6" ht="16" thickBot="1" x14ac:dyDescent="0.25">
      <c r="A6" s="7" t="s">
        <v>49</v>
      </c>
      <c r="B6" s="32">
        <f>SUM(B2:B5)</f>
        <v>2507180.5</v>
      </c>
      <c r="C6" s="32">
        <f>SUM(C2:C5)</f>
        <v>1123938.5</v>
      </c>
      <c r="D6" s="32">
        <f>SUM(D2:D5)</f>
        <v>1591505.5</v>
      </c>
      <c r="E6" s="32">
        <f>SUM(E2:E5)</f>
        <v>1536463.5</v>
      </c>
      <c r="F6" s="33">
        <f>SUM(F2:F5)</f>
        <v>2924128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7.33203125" customWidth="1"/>
    <col min="2" max="2" width="15.5" bestFit="1" customWidth="1"/>
    <col min="3" max="4" width="20.6640625" customWidth="1"/>
    <col min="5" max="5" width="15.6640625" customWidth="1"/>
    <col min="6" max="6" width="14.6640625" customWidth="1"/>
    <col min="7" max="8" width="12.1640625" bestFit="1" customWidth="1"/>
  </cols>
  <sheetData>
    <row r="1" spans="1:8" ht="49" thickBot="1" x14ac:dyDescent="0.25">
      <c r="A1" s="7" t="s">
        <v>121</v>
      </c>
      <c r="B1" s="8" t="s">
        <v>79</v>
      </c>
      <c r="C1" s="42" t="s">
        <v>120</v>
      </c>
      <c r="D1" s="42" t="s">
        <v>119</v>
      </c>
      <c r="E1" s="42" t="s">
        <v>118</v>
      </c>
      <c r="F1" s="42" t="s">
        <v>117</v>
      </c>
      <c r="G1" s="41" t="s">
        <v>116</v>
      </c>
      <c r="H1" s="41" t="s">
        <v>123</v>
      </c>
    </row>
    <row r="2" spans="1:8" x14ac:dyDescent="0.2">
      <c r="A2" s="1">
        <v>1</v>
      </c>
      <c r="B2" s="1" t="s">
        <v>114</v>
      </c>
      <c r="C2" s="30">
        <v>866553.71</v>
      </c>
      <c r="D2" s="30">
        <f>C7-C2</f>
        <v>970993.21</v>
      </c>
      <c r="E2" s="30">
        <f>D2*F9</f>
        <v>223328.43830000001</v>
      </c>
      <c r="F2" s="30">
        <f>'Detailed Measures'!K43</f>
        <v>2507180.5</v>
      </c>
      <c r="G2" s="40">
        <f>F2/E2</f>
        <v>11.226427404789675</v>
      </c>
      <c r="H2" s="46">
        <f>E2/F2</f>
        <v>8.9075532575337124E-2</v>
      </c>
    </row>
    <row r="3" spans="1:8" x14ac:dyDescent="0.2">
      <c r="A3" s="1">
        <v>2</v>
      </c>
      <c r="B3" s="1" t="s">
        <v>113</v>
      </c>
      <c r="C3" s="30">
        <v>1277706.1099999999</v>
      </c>
      <c r="D3" s="30">
        <f>C7-C3</f>
        <v>559840.81000000006</v>
      </c>
      <c r="E3" s="30">
        <f>D3*F9</f>
        <v>128763.38630000001</v>
      </c>
      <c r="F3" s="30">
        <f>'Detailed Measures'!L43</f>
        <v>1123938.5</v>
      </c>
      <c r="G3" s="40">
        <f>F3/E3</f>
        <v>8.7287118822845056</v>
      </c>
      <c r="H3" s="46">
        <f t="shared" ref="H3:H6" si="0">E3/F3</f>
        <v>0.11456444129282875</v>
      </c>
    </row>
    <row r="4" spans="1:8" x14ac:dyDescent="0.2">
      <c r="A4" s="1">
        <v>3</v>
      </c>
      <c r="B4" s="1" t="s">
        <v>112</v>
      </c>
      <c r="C4" s="30">
        <v>1107696.54</v>
      </c>
      <c r="D4" s="30">
        <f>C7-C4</f>
        <v>729850.37999999989</v>
      </c>
      <c r="E4" s="30">
        <f>D4*F9</f>
        <v>167865.58739999999</v>
      </c>
      <c r="F4" s="30">
        <f>'Detailed Measures'!M43</f>
        <v>1591505.5</v>
      </c>
      <c r="G4" s="40">
        <f>F4/E4</f>
        <v>9.4808324007925879</v>
      </c>
      <c r="H4" s="46">
        <f t="shared" si="0"/>
        <v>0.10547597064540461</v>
      </c>
    </row>
    <row r="5" spans="1:8" x14ac:dyDescent="0.2">
      <c r="A5" s="1">
        <v>4</v>
      </c>
      <c r="B5" s="1" t="s">
        <v>111</v>
      </c>
      <c r="C5" s="30">
        <v>1308496.1000000001</v>
      </c>
      <c r="D5" s="30">
        <f>C7-C5</f>
        <v>529050.81999999983</v>
      </c>
      <c r="E5" s="30">
        <f>D5*F9</f>
        <v>121681.68859999996</v>
      </c>
      <c r="F5" s="30">
        <f>'Detailed Measures'!N43</f>
        <v>1536463.5</v>
      </c>
      <c r="G5" s="40">
        <f>F5/E5</f>
        <v>12.626908104889665</v>
      </c>
      <c r="H5" s="46">
        <f t="shared" si="0"/>
        <v>7.9195951351919494E-2</v>
      </c>
    </row>
    <row r="6" spans="1:8" x14ac:dyDescent="0.2">
      <c r="A6" s="1">
        <v>5</v>
      </c>
      <c r="B6" s="1" t="s">
        <v>110</v>
      </c>
      <c r="C6" s="30">
        <v>772379.57000000007</v>
      </c>
      <c r="D6" s="30">
        <f>C7-C6</f>
        <v>1065167.3499999999</v>
      </c>
      <c r="E6" s="30">
        <f>D6*F9</f>
        <v>244988.49049999999</v>
      </c>
      <c r="F6" s="30">
        <f>'Detailed Measures'!O43</f>
        <v>2924128</v>
      </c>
      <c r="G6" s="40">
        <f>F6/E6</f>
        <v>11.935777040105483</v>
      </c>
      <c r="H6" s="46">
        <f t="shared" si="0"/>
        <v>8.378172586836144E-2</v>
      </c>
    </row>
    <row r="7" spans="1:8" x14ac:dyDescent="0.2">
      <c r="A7" s="2">
        <v>6</v>
      </c>
      <c r="B7" s="2" t="s">
        <v>115</v>
      </c>
      <c r="C7" s="10">
        <v>1837546.92</v>
      </c>
      <c r="D7" s="10">
        <f>C7-C7</f>
        <v>0</v>
      </c>
      <c r="E7" s="10">
        <f>D7*F9</f>
        <v>0</v>
      </c>
      <c r="F7" s="10"/>
      <c r="G7" s="2"/>
      <c r="H7" s="2"/>
    </row>
    <row r="8" spans="1:8" x14ac:dyDescent="0.2">
      <c r="A8" t="s">
        <v>109</v>
      </c>
    </row>
    <row r="9" spans="1:8" x14ac:dyDescent="0.2">
      <c r="A9" t="s">
        <v>108</v>
      </c>
      <c r="F9">
        <v>0.23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activeCell="K17" sqref="K17"/>
    </sheetView>
  </sheetViews>
  <sheetFormatPr baseColWidth="10" defaultColWidth="9.1640625" defaultRowHeight="15" x14ac:dyDescent="0.2"/>
  <cols>
    <col min="1" max="1" width="4.1640625" style="13" customWidth="1"/>
    <col min="2" max="2" width="34.1640625" style="13" customWidth="1"/>
    <col min="3" max="3" width="34.1640625" style="43" customWidth="1"/>
    <col min="4" max="4" width="13.5" style="47" customWidth="1"/>
    <col min="5" max="5" width="12.33203125" style="14" bestFit="1" customWidth="1"/>
    <col min="6" max="6" width="6" style="13" bestFit="1" customWidth="1"/>
    <col min="7" max="7" width="11.6640625" style="14" bestFit="1" customWidth="1"/>
    <col min="8" max="8" width="4.83203125" style="13" hidden="1" customWidth="1"/>
    <col min="9" max="9" width="19.33203125" style="13" customWidth="1"/>
    <col min="10" max="10" width="26.6640625" style="13" customWidth="1"/>
    <col min="11" max="11" width="27.5" style="13" customWidth="1"/>
    <col min="12" max="16384" width="9.1640625" style="13"/>
  </cols>
  <sheetData>
    <row r="1" spans="1:11" x14ac:dyDescent="0.2">
      <c r="A1" s="56" t="s">
        <v>148</v>
      </c>
    </row>
    <row r="2" spans="1:11" x14ac:dyDescent="0.2">
      <c r="A2" s="55" t="s">
        <v>150</v>
      </c>
    </row>
    <row r="3" spans="1:11" x14ac:dyDescent="0.2">
      <c r="A3" s="13" t="s">
        <v>149</v>
      </c>
    </row>
    <row r="4" spans="1:11" ht="16" thickBot="1" x14ac:dyDescent="0.25">
      <c r="A4" s="13" t="s">
        <v>161</v>
      </c>
    </row>
    <row r="5" spans="1:11" ht="17" thickBot="1" x14ac:dyDescent="0.25">
      <c r="A5" s="15" t="s">
        <v>50</v>
      </c>
      <c r="B5" s="3" t="s">
        <v>0</v>
      </c>
      <c r="C5" s="52"/>
      <c r="D5" s="48" t="s">
        <v>1</v>
      </c>
      <c r="E5" s="5" t="s">
        <v>2</v>
      </c>
      <c r="F5" s="3" t="s">
        <v>4</v>
      </c>
      <c r="G5" s="5" t="s">
        <v>9</v>
      </c>
      <c r="I5" s="5" t="s">
        <v>162</v>
      </c>
      <c r="J5" s="5" t="s">
        <v>167</v>
      </c>
      <c r="K5" s="5" t="s">
        <v>168</v>
      </c>
    </row>
    <row r="6" spans="1:11" ht="36" x14ac:dyDescent="0.2">
      <c r="A6" s="16">
        <v>1</v>
      </c>
      <c r="B6" s="17" t="s">
        <v>51</v>
      </c>
      <c r="C6" s="54" t="s">
        <v>124</v>
      </c>
      <c r="D6" s="16" t="s">
        <v>13</v>
      </c>
      <c r="E6" s="34">
        <f>12*H6</f>
        <v>56760</v>
      </c>
      <c r="F6" s="17">
        <v>1</v>
      </c>
      <c r="G6" s="34">
        <f t="shared" ref="G6:G15" si="0">E6*F6</f>
        <v>56760</v>
      </c>
      <c r="H6" s="44">
        <v>4730</v>
      </c>
      <c r="I6" s="63" t="s">
        <v>170</v>
      </c>
      <c r="J6" s="65"/>
      <c r="K6" s="67"/>
    </row>
    <row r="7" spans="1:11" ht="36" x14ac:dyDescent="0.2">
      <c r="A7" s="20">
        <v>2</v>
      </c>
      <c r="B7" s="21" t="s">
        <v>14</v>
      </c>
      <c r="C7" s="54" t="s">
        <v>125</v>
      </c>
      <c r="D7" s="20" t="s">
        <v>13</v>
      </c>
      <c r="E7" s="35">
        <f>9*H6</f>
        <v>42570</v>
      </c>
      <c r="F7" s="21">
        <v>1</v>
      </c>
      <c r="G7" s="35">
        <f t="shared" si="0"/>
        <v>42570</v>
      </c>
      <c r="I7" s="63"/>
      <c r="J7" s="66"/>
      <c r="K7" s="68"/>
    </row>
    <row r="8" spans="1:11" ht="24" x14ac:dyDescent="0.2">
      <c r="A8" s="20">
        <v>4</v>
      </c>
      <c r="B8" s="21" t="s">
        <v>17</v>
      </c>
      <c r="C8" s="54" t="s">
        <v>126</v>
      </c>
      <c r="D8" s="20" t="s">
        <v>16</v>
      </c>
      <c r="E8" s="35">
        <f>95000+5000</f>
        <v>100000</v>
      </c>
      <c r="F8" s="21">
        <v>1</v>
      </c>
      <c r="G8" s="35">
        <f t="shared" si="0"/>
        <v>100000</v>
      </c>
      <c r="I8" s="57"/>
      <c r="J8" s="21"/>
      <c r="K8" s="58" t="s">
        <v>171</v>
      </c>
    </row>
    <row r="9" spans="1:11" ht="33.75" customHeight="1" x14ac:dyDescent="0.2">
      <c r="A9" s="20">
        <v>10</v>
      </c>
      <c r="B9" s="21" t="s">
        <v>163</v>
      </c>
      <c r="C9" s="54" t="s">
        <v>138</v>
      </c>
      <c r="D9" s="20" t="s">
        <v>13</v>
      </c>
      <c r="E9" s="35">
        <v>55000</v>
      </c>
      <c r="F9" s="21">
        <v>1</v>
      </c>
      <c r="G9" s="35">
        <f t="shared" si="0"/>
        <v>55000</v>
      </c>
      <c r="I9" s="64" t="s">
        <v>166</v>
      </c>
      <c r="J9" s="64"/>
      <c r="K9" s="64"/>
    </row>
    <row r="10" spans="1:11" ht="32" x14ac:dyDescent="0.2">
      <c r="A10" s="20">
        <v>12</v>
      </c>
      <c r="B10" s="21" t="s">
        <v>22</v>
      </c>
      <c r="C10" s="54" t="s">
        <v>142</v>
      </c>
      <c r="D10" s="20" t="s">
        <v>13</v>
      </c>
      <c r="E10" s="35">
        <v>105500</v>
      </c>
      <c r="F10" s="21">
        <v>1</v>
      </c>
      <c r="G10" s="35">
        <f t="shared" si="0"/>
        <v>105500</v>
      </c>
      <c r="I10" s="57"/>
      <c r="J10" s="59"/>
      <c r="K10" s="58" t="s">
        <v>172</v>
      </c>
    </row>
    <row r="11" spans="1:11" ht="36" x14ac:dyDescent="0.2">
      <c r="A11" s="20">
        <v>14</v>
      </c>
      <c r="B11" s="21" t="s">
        <v>24</v>
      </c>
      <c r="C11" s="54" t="s">
        <v>152</v>
      </c>
      <c r="D11" s="20" t="s">
        <v>13</v>
      </c>
      <c r="E11" s="35">
        <v>22550</v>
      </c>
      <c r="F11" s="21">
        <v>1</v>
      </c>
      <c r="G11" s="35">
        <f t="shared" si="0"/>
        <v>22550</v>
      </c>
      <c r="I11" s="57"/>
      <c r="J11" s="21" t="s">
        <v>169</v>
      </c>
      <c r="K11" s="58"/>
    </row>
    <row r="12" spans="1:11" ht="48" x14ac:dyDescent="0.2">
      <c r="A12" s="20">
        <v>22</v>
      </c>
      <c r="B12" s="20" t="s">
        <v>164</v>
      </c>
      <c r="C12" s="54" t="s">
        <v>134</v>
      </c>
      <c r="D12" s="20" t="s">
        <v>13</v>
      </c>
      <c r="E12" s="35">
        <v>19250</v>
      </c>
      <c r="F12" s="21">
        <v>1</v>
      </c>
      <c r="G12" s="35">
        <f t="shared" si="0"/>
        <v>19250</v>
      </c>
      <c r="I12" s="57"/>
      <c r="J12" s="21"/>
      <c r="K12" s="58" t="s">
        <v>174</v>
      </c>
    </row>
    <row r="13" spans="1:11" ht="48" x14ac:dyDescent="0.2">
      <c r="A13" s="16">
        <v>23</v>
      </c>
      <c r="B13" s="20" t="s">
        <v>165</v>
      </c>
      <c r="C13" s="54" t="s">
        <v>135</v>
      </c>
      <c r="D13" s="20" t="s">
        <v>13</v>
      </c>
      <c r="E13" s="35">
        <v>182000</v>
      </c>
      <c r="F13" s="21">
        <v>1</v>
      </c>
      <c r="G13" s="35">
        <f t="shared" si="0"/>
        <v>182000</v>
      </c>
      <c r="I13" s="57"/>
      <c r="J13" s="21"/>
      <c r="K13" s="58" t="s">
        <v>173</v>
      </c>
    </row>
    <row r="14" spans="1:11" ht="36" x14ac:dyDescent="0.2">
      <c r="A14" s="16">
        <v>29</v>
      </c>
      <c r="B14" s="20" t="s">
        <v>67</v>
      </c>
      <c r="C14" s="54" t="s">
        <v>144</v>
      </c>
      <c r="D14" s="20" t="s">
        <v>13</v>
      </c>
      <c r="E14" s="35">
        <v>79000</v>
      </c>
      <c r="F14" s="21">
        <v>1</v>
      </c>
      <c r="G14" s="35">
        <f t="shared" si="0"/>
        <v>79000</v>
      </c>
      <c r="I14" s="57"/>
      <c r="J14" s="21"/>
      <c r="K14" s="58" t="s">
        <v>174</v>
      </c>
    </row>
    <row r="15" spans="1:11" ht="37" thickBot="1" x14ac:dyDescent="0.25">
      <c r="A15" s="20">
        <v>30</v>
      </c>
      <c r="B15" s="20" t="s">
        <v>68</v>
      </c>
      <c r="C15" s="54" t="s">
        <v>157</v>
      </c>
      <c r="D15" s="20" t="s">
        <v>13</v>
      </c>
      <c r="E15" s="35">
        <v>112500</v>
      </c>
      <c r="F15" s="21">
        <v>1</v>
      </c>
      <c r="G15" s="35">
        <f t="shared" si="0"/>
        <v>112500</v>
      </c>
      <c r="I15" s="60"/>
      <c r="J15" s="24"/>
      <c r="K15" s="61" t="s">
        <v>174</v>
      </c>
    </row>
    <row r="16" spans="1:11" ht="16" thickBot="1" x14ac:dyDescent="0.25">
      <c r="A16" s="20">
        <v>34</v>
      </c>
      <c r="B16" s="28" t="s">
        <v>75</v>
      </c>
      <c r="C16" s="53"/>
      <c r="D16" s="50"/>
      <c r="E16" s="26"/>
      <c r="F16" s="25"/>
      <c r="G16" s="37">
        <f>SUM(G6:G15)</f>
        <v>775130</v>
      </c>
    </row>
    <row r="17" spans="1:7" ht="16" thickBot="1" x14ac:dyDescent="0.25">
      <c r="A17" s="16">
        <v>35</v>
      </c>
      <c r="B17" s="28" t="s">
        <v>160</v>
      </c>
      <c r="C17" s="53"/>
      <c r="D17" s="50"/>
      <c r="E17" s="26"/>
      <c r="F17" s="25"/>
      <c r="G17" s="37">
        <f>G16*0.2</f>
        <v>155026</v>
      </c>
    </row>
    <row r="18" spans="1:7" ht="16" thickBot="1" x14ac:dyDescent="0.25">
      <c r="A18" s="20">
        <v>36</v>
      </c>
      <c r="B18" s="28" t="s">
        <v>76</v>
      </c>
      <c r="C18" s="53"/>
      <c r="D18" s="50"/>
      <c r="E18" s="26"/>
      <c r="F18" s="25"/>
      <c r="G18" s="37">
        <f>G16*0.1</f>
        <v>77513</v>
      </c>
    </row>
    <row r="19" spans="1:7" ht="16" thickBot="1" x14ac:dyDescent="0.25">
      <c r="A19" s="16">
        <v>37</v>
      </c>
      <c r="B19" s="28" t="s">
        <v>107</v>
      </c>
      <c r="C19" s="53"/>
      <c r="D19" s="51"/>
      <c r="E19" s="27"/>
      <c r="F19" s="29"/>
      <c r="G19" s="37">
        <f t="shared" ref="G19" si="1">G16*0.15</f>
        <v>116269.5</v>
      </c>
    </row>
    <row r="20" spans="1:7" ht="16" thickBot="1" x14ac:dyDescent="0.25">
      <c r="A20" s="20">
        <v>38</v>
      </c>
      <c r="B20" s="28" t="s">
        <v>77</v>
      </c>
      <c r="C20" s="53"/>
      <c r="D20" s="51"/>
      <c r="E20" s="27"/>
      <c r="F20" s="29"/>
      <c r="G20" s="37">
        <f>SUM(G16:G19)</f>
        <v>1123938.5</v>
      </c>
    </row>
  </sheetData>
  <mergeCells count="4">
    <mergeCell ref="I6:I7"/>
    <mergeCell ref="I9:K9"/>
    <mergeCell ref="J6:J7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Measures</vt:lpstr>
      <vt:lpstr>Cost Parameters</vt:lpstr>
      <vt:lpstr>Scenario Totals</vt:lpstr>
      <vt:lpstr>Payback Duration</vt:lpstr>
      <vt:lpstr>Scenario 2 Phasing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marian.statache@rehospitals.eu</dc:creator>
  <cp:lastModifiedBy>Christian Kinnell</cp:lastModifiedBy>
  <dcterms:created xsi:type="dcterms:W3CDTF">2025-09-01T11:19:50Z</dcterms:created>
  <dcterms:modified xsi:type="dcterms:W3CDTF">2025-09-08T16:45:12Z</dcterms:modified>
</cp:coreProperties>
</file>