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.sharepoint.com/sites/Projetoinventrio/Documentos Compartilhados/General/INVENTÁRIO/"/>
    </mc:Choice>
  </mc:AlternateContent>
  <xr:revisionPtr revIDLastSave="1313" documentId="8_{EB5877A8-ECDD-4888-9B57-63FD33F82173}" xr6:coauthVersionLast="47" xr6:coauthVersionMax="47" xr10:uidLastSave="{DD082FC4-D5C0-43DF-A887-56894233347F}"/>
  <bookViews>
    <workbookView xWindow="-108" yWindow="-108" windowWidth="23256" windowHeight="12456" firstSheet="1" activeTab="1" xr2:uid="{00000000-000D-0000-FFFF-FFFF00000000}"/>
  </bookViews>
  <sheets>
    <sheet name="INICIAL" sheetId="5" r:id="rId1"/>
    <sheet name="NOVA" sheetId="6" r:id="rId2"/>
    <sheet name="PREÇOS" sheetId="7" r:id="rId3"/>
  </sheets>
  <definedNames>
    <definedName name="_xlnm._FilterDatabase" localSheetId="1" hidden="1">NOVA!$A$1:$L$1</definedName>
    <definedName name="_xlnm._FilterDatabase" localSheetId="2" hidden="1">PREÇOS!$A$1:$J$240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6" l="1"/>
  <c r="G210" i="7"/>
  <c r="H210" i="7"/>
  <c r="G209" i="7"/>
  <c r="H209" i="7"/>
  <c r="E195" i="7"/>
  <c r="E196" i="7"/>
  <c r="E197" i="7"/>
  <c r="E198" i="7"/>
  <c r="E199" i="7"/>
  <c r="E200" i="7"/>
  <c r="E201" i="7"/>
  <c r="E202" i="7"/>
  <c r="E204" i="7"/>
  <c r="H197" i="7"/>
  <c r="H198" i="7"/>
  <c r="H199" i="7"/>
  <c r="H200" i="7"/>
  <c r="H201" i="7"/>
  <c r="H202" i="7"/>
  <c r="H204" i="7"/>
  <c r="G197" i="7"/>
  <c r="G198" i="7"/>
  <c r="G199" i="7"/>
  <c r="G200" i="7"/>
  <c r="G201" i="7"/>
  <c r="G202" i="7"/>
  <c r="G203" i="7"/>
  <c r="G204" i="7"/>
  <c r="F26" i="6"/>
  <c r="F21" i="6"/>
  <c r="H211" i="7"/>
  <c r="G211" i="7"/>
  <c r="H208" i="7"/>
  <c r="G208" i="7"/>
  <c r="H205" i="7"/>
  <c r="G205" i="7"/>
  <c r="F12" i="6"/>
  <c r="G2" i="7"/>
  <c r="G3" i="7"/>
  <c r="G4" i="7"/>
  <c r="J59" i="6"/>
  <c r="J60" i="6"/>
  <c r="J61" i="6"/>
  <c r="J58" i="6"/>
  <c r="H58" i="6"/>
  <c r="H59" i="6"/>
  <c r="H60" i="6"/>
  <c r="H61" i="6"/>
  <c r="J47" i="6"/>
  <c r="F48" i="6"/>
  <c r="F46" i="6"/>
  <c r="G46" i="6" s="1"/>
  <c r="F33" i="6"/>
  <c r="I33" i="6" s="1"/>
  <c r="J33" i="6" s="1"/>
  <c r="F34" i="6"/>
  <c r="I34" i="6" s="1"/>
  <c r="F35" i="6"/>
  <c r="I35" i="6" s="1"/>
  <c r="J35" i="6" s="1"/>
  <c r="F36" i="6"/>
  <c r="I36" i="6" s="1"/>
  <c r="J36" i="6" s="1"/>
  <c r="F37" i="6"/>
  <c r="F38" i="6"/>
  <c r="I38" i="6" s="1"/>
  <c r="J38" i="6" s="1"/>
  <c r="F39" i="6"/>
  <c r="I39" i="6" s="1"/>
  <c r="J39" i="6" s="1"/>
  <c r="F40" i="6"/>
  <c r="I40" i="6" s="1"/>
  <c r="J40" i="6" s="1"/>
  <c r="F41" i="6"/>
  <c r="I41" i="6" s="1"/>
  <c r="J41" i="6" s="1"/>
  <c r="F42" i="6"/>
  <c r="F43" i="6"/>
  <c r="I43" i="6" s="1"/>
  <c r="F44" i="6"/>
  <c r="I44" i="6" s="1"/>
  <c r="F45" i="6"/>
  <c r="I45" i="6" s="1"/>
  <c r="J45" i="6" s="1"/>
  <c r="F49" i="6"/>
  <c r="I49" i="6" s="1"/>
  <c r="J49" i="6" s="1"/>
  <c r="F50" i="6"/>
  <c r="I50" i="6" s="1"/>
  <c r="J50" i="6" s="1"/>
  <c r="F51" i="6"/>
  <c r="I51" i="6" s="1"/>
  <c r="J51" i="6" s="1"/>
  <c r="F52" i="6"/>
  <c r="I52" i="6" s="1"/>
  <c r="F55" i="6"/>
  <c r="I55" i="6" s="1"/>
  <c r="J55" i="6" s="1"/>
  <c r="F56" i="6"/>
  <c r="I56" i="6" s="1"/>
  <c r="J56" i="6" s="1"/>
  <c r="F57" i="6"/>
  <c r="I57" i="6" s="1"/>
  <c r="J57" i="6" s="1"/>
  <c r="F32" i="6"/>
  <c r="I31" i="6"/>
  <c r="J31" i="6" s="1"/>
  <c r="F30" i="6"/>
  <c r="F29" i="6"/>
  <c r="F25" i="6"/>
  <c r="F24" i="6"/>
  <c r="F23" i="6"/>
  <c r="F22" i="6"/>
  <c r="F20" i="6"/>
  <c r="F19" i="6"/>
  <c r="F18" i="6"/>
  <c r="F17" i="6"/>
  <c r="F16" i="6"/>
  <c r="F15" i="6"/>
  <c r="F14" i="6"/>
  <c r="F13" i="6"/>
  <c r="F10" i="6"/>
  <c r="F11" i="6"/>
  <c r="F9" i="6"/>
  <c r="I6" i="6"/>
  <c r="I7" i="6"/>
  <c r="I8" i="6"/>
  <c r="I5" i="6"/>
  <c r="F8" i="6"/>
  <c r="F6" i="6"/>
  <c r="J6" i="6" s="1"/>
  <c r="F7" i="6"/>
  <c r="J7" i="6" s="1"/>
  <c r="F5" i="6"/>
  <c r="H6" i="6"/>
  <c r="H7" i="6"/>
  <c r="H5" i="6"/>
  <c r="K2" i="7" a="1"/>
  <c r="K2" i="7" s="1"/>
  <c r="E165" i="7" s="1"/>
  <c r="H165" i="7" s="1"/>
  <c r="F4" i="6"/>
  <c r="F3" i="6"/>
  <c r="G3" i="6" s="1"/>
  <c r="H3" i="6"/>
  <c r="H4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9" i="6"/>
  <c r="H50" i="6"/>
  <c r="H51" i="6"/>
  <c r="H52" i="6"/>
  <c r="H53" i="6"/>
  <c r="H55" i="6"/>
  <c r="H56" i="6"/>
  <c r="H57" i="6"/>
  <c r="H2" i="6"/>
  <c r="F2" i="6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236" i="7"/>
  <c r="J6" i="7"/>
  <c r="J5" i="7"/>
  <c r="F236" i="7"/>
  <c r="D236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236" i="7"/>
  <c r="G27" i="6"/>
  <c r="J34" i="6"/>
  <c r="J43" i="6"/>
  <c r="J44" i="6"/>
  <c r="J52" i="6"/>
  <c r="D2" i="5"/>
  <c r="Q2" i="5"/>
  <c r="R2" i="5"/>
  <c r="D3" i="5"/>
  <c r="Q3" i="5"/>
  <c r="R3" i="5"/>
  <c r="S3" i="5"/>
  <c r="Q4" i="5"/>
  <c r="R4" i="5"/>
  <c r="S4" i="5"/>
  <c r="D5" i="5"/>
  <c r="Q5" i="5"/>
  <c r="R5" i="5"/>
  <c r="Q6" i="5"/>
  <c r="R6" i="5"/>
  <c r="Q7" i="5"/>
  <c r="R7" i="5"/>
  <c r="S9" i="5"/>
  <c r="S10" i="5"/>
  <c r="S11" i="5"/>
  <c r="S12" i="5"/>
  <c r="S13" i="5"/>
  <c r="D15" i="5"/>
  <c r="Q15" i="5"/>
  <c r="R15" i="5"/>
  <c r="S15" i="5"/>
  <c r="D16" i="5"/>
  <c r="Q16" i="5"/>
  <c r="R16" i="5"/>
  <c r="S16" i="5"/>
  <c r="Q17" i="5"/>
  <c r="R17" i="5"/>
  <c r="Q19" i="5"/>
  <c r="R19" i="5"/>
  <c r="Q21" i="5"/>
  <c r="R21" i="5"/>
  <c r="S23" i="5"/>
  <c r="S25" i="5"/>
  <c r="S26" i="5"/>
  <c r="S27" i="5"/>
  <c r="S29" i="5"/>
  <c r="S30" i="5"/>
  <c r="S31" i="5"/>
  <c r="S36" i="5"/>
  <c r="S37" i="5"/>
  <c r="S38" i="5"/>
  <c r="S40" i="5"/>
  <c r="S42" i="5"/>
  <c r="S43" i="5"/>
  <c r="S44" i="5"/>
  <c r="S45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S47" i="5"/>
  <c r="S48" i="5"/>
  <c r="S49" i="5"/>
  <c r="S50" i="5"/>
  <c r="D60" i="5"/>
  <c r="E188" i="7" l="1"/>
  <c r="H188" i="7" s="1"/>
  <c r="E203" i="7"/>
  <c r="H203" i="7" s="1"/>
  <c r="E115" i="7"/>
  <c r="H115" i="7" s="1"/>
  <c r="E152" i="7"/>
  <c r="H152" i="7" s="1"/>
  <c r="E20" i="7"/>
  <c r="H20" i="7" s="1"/>
  <c r="E147" i="7"/>
  <c r="H147" i="7" s="1"/>
  <c r="E61" i="7"/>
  <c r="E92" i="7"/>
  <c r="I2" i="6" s="1"/>
  <c r="J2" i="6" s="1"/>
  <c r="E133" i="7"/>
  <c r="H133" i="7" s="1"/>
  <c r="E15" i="7"/>
  <c r="H15" i="7" s="1"/>
  <c r="E128" i="7"/>
  <c r="H128" i="7" s="1"/>
  <c r="E184" i="7"/>
  <c r="H184" i="7" s="1"/>
  <c r="E56" i="7"/>
  <c r="H56" i="7" s="1"/>
  <c r="E51" i="7"/>
  <c r="H51" i="7" s="1"/>
  <c r="E88" i="7"/>
  <c r="H88" i="7" s="1"/>
  <c r="E129" i="7"/>
  <c r="H129" i="7" s="1"/>
  <c r="E11" i="7"/>
  <c r="H11" i="7" s="1"/>
  <c r="E31" i="7"/>
  <c r="H31" i="7" s="1"/>
  <c r="E105" i="7"/>
  <c r="H105" i="7" s="1"/>
  <c r="E161" i="7"/>
  <c r="H161" i="7" s="1"/>
  <c r="E52" i="7"/>
  <c r="H52" i="7" s="1"/>
  <c r="E119" i="7"/>
  <c r="H119" i="7" s="1"/>
  <c r="E156" i="7"/>
  <c r="H156" i="7" s="1"/>
  <c r="E47" i="7"/>
  <c r="H47" i="7" s="1"/>
  <c r="E65" i="7"/>
  <c r="H65" i="7" s="1"/>
  <c r="E84" i="7"/>
  <c r="H84" i="7" s="1"/>
  <c r="E151" i="7"/>
  <c r="H151" i="7" s="1"/>
  <c r="E169" i="7"/>
  <c r="H169" i="7" s="1"/>
  <c r="E42" i="7"/>
  <c r="H42" i="7" s="1"/>
  <c r="H196" i="7"/>
  <c r="E187" i="7"/>
  <c r="H187" i="7" s="1"/>
  <c r="E173" i="7"/>
  <c r="H173" i="7" s="1"/>
  <c r="E164" i="7"/>
  <c r="H164" i="7" s="1"/>
  <c r="E155" i="7"/>
  <c r="H155" i="7" s="1"/>
  <c r="E141" i="7"/>
  <c r="H141" i="7" s="1"/>
  <c r="E132" i="7"/>
  <c r="I48" i="6" s="1"/>
  <c r="J48" i="6" s="1"/>
  <c r="E123" i="7"/>
  <c r="I29" i="6" s="1"/>
  <c r="J29" i="6" s="1"/>
  <c r="E109" i="7"/>
  <c r="H109" i="7" s="1"/>
  <c r="E96" i="7"/>
  <c r="H96" i="7" s="1"/>
  <c r="E87" i="7"/>
  <c r="H87" i="7" s="1"/>
  <c r="E73" i="7"/>
  <c r="H73" i="7" s="1"/>
  <c r="E64" i="7"/>
  <c r="H64" i="7" s="1"/>
  <c r="E55" i="7"/>
  <c r="H55" i="7" s="1"/>
  <c r="E40" i="7"/>
  <c r="H40" i="7" s="1"/>
  <c r="E35" i="7"/>
  <c r="H35" i="7" s="1"/>
  <c r="E19" i="7"/>
  <c r="H19" i="7" s="1"/>
  <c r="E10" i="7"/>
  <c r="H10" i="7" s="1"/>
  <c r="E191" i="7"/>
  <c r="H191" i="7" s="1"/>
  <c r="E177" i="7"/>
  <c r="H177" i="7" s="1"/>
  <c r="E168" i="7"/>
  <c r="H168" i="7" s="1"/>
  <c r="E159" i="7"/>
  <c r="H159" i="7" s="1"/>
  <c r="E145" i="7"/>
  <c r="H145" i="7" s="1"/>
  <c r="E136" i="7"/>
  <c r="H136" i="7" s="1"/>
  <c r="E127" i="7"/>
  <c r="H127" i="7" s="1"/>
  <c r="E113" i="7"/>
  <c r="H113" i="7" s="1"/>
  <c r="E100" i="7"/>
  <c r="H100" i="7" s="1"/>
  <c r="E91" i="7"/>
  <c r="H91" i="7" s="1"/>
  <c r="E77" i="7"/>
  <c r="H77" i="7" s="1"/>
  <c r="E68" i="7"/>
  <c r="H68" i="7" s="1"/>
  <c r="E59" i="7"/>
  <c r="H59" i="7" s="1"/>
  <c r="E45" i="7"/>
  <c r="H45" i="7" s="1"/>
  <c r="E23" i="7"/>
  <c r="H23" i="7" s="1"/>
  <c r="E14" i="7"/>
  <c r="H14" i="7" s="1"/>
  <c r="H195" i="7"/>
  <c r="E181" i="7"/>
  <c r="H181" i="7" s="1"/>
  <c r="E172" i="7"/>
  <c r="H172" i="7" s="1"/>
  <c r="E163" i="7"/>
  <c r="H163" i="7" s="1"/>
  <c r="E149" i="7"/>
  <c r="H149" i="7" s="1"/>
  <c r="E140" i="7"/>
  <c r="H140" i="7" s="1"/>
  <c r="E131" i="7"/>
  <c r="H131" i="7" s="1"/>
  <c r="E117" i="7"/>
  <c r="H117" i="7" s="1"/>
  <c r="E108" i="7"/>
  <c r="H108" i="7" s="1"/>
  <c r="E95" i="7"/>
  <c r="H95" i="7" s="1"/>
  <c r="E81" i="7"/>
  <c r="H81" i="7" s="1"/>
  <c r="E72" i="7"/>
  <c r="E63" i="7"/>
  <c r="H63" i="7" s="1"/>
  <c r="E49" i="7"/>
  <c r="H49" i="7" s="1"/>
  <c r="E39" i="7"/>
  <c r="H39" i="7" s="1"/>
  <c r="E28" i="7"/>
  <c r="H28" i="7" s="1"/>
  <c r="E18" i="7"/>
  <c r="H18" i="7" s="1"/>
  <c r="E185" i="7"/>
  <c r="H185" i="7" s="1"/>
  <c r="E176" i="7"/>
  <c r="H176" i="7" s="1"/>
  <c r="E167" i="7"/>
  <c r="H167" i="7" s="1"/>
  <c r="E153" i="7"/>
  <c r="I17" i="6" s="1"/>
  <c r="J17" i="6" s="1"/>
  <c r="E144" i="7"/>
  <c r="H144" i="7" s="1"/>
  <c r="E135" i="7"/>
  <c r="H135" i="7" s="1"/>
  <c r="E121" i="7"/>
  <c r="H121" i="7" s="1"/>
  <c r="E112" i="7"/>
  <c r="H112" i="7" s="1"/>
  <c r="E99" i="7"/>
  <c r="H99" i="7" s="1"/>
  <c r="E85" i="7"/>
  <c r="H85" i="7" s="1"/>
  <c r="E76" i="7"/>
  <c r="H76" i="7" s="1"/>
  <c r="E67" i="7"/>
  <c r="H67" i="7" s="1"/>
  <c r="E53" i="7"/>
  <c r="H53" i="7" s="1"/>
  <c r="E22" i="7"/>
  <c r="H22" i="7" s="1"/>
  <c r="E8" i="7"/>
  <c r="E189" i="7"/>
  <c r="H189" i="7" s="1"/>
  <c r="E180" i="7"/>
  <c r="H180" i="7" s="1"/>
  <c r="E171" i="7"/>
  <c r="H171" i="7" s="1"/>
  <c r="E157" i="7"/>
  <c r="H157" i="7" s="1"/>
  <c r="E148" i="7"/>
  <c r="H148" i="7" s="1"/>
  <c r="E139" i="7"/>
  <c r="H139" i="7" s="1"/>
  <c r="E125" i="7"/>
  <c r="H125" i="7" s="1"/>
  <c r="E116" i="7"/>
  <c r="H116" i="7" s="1"/>
  <c r="E107" i="7"/>
  <c r="H107" i="7" s="1"/>
  <c r="E89" i="7"/>
  <c r="H89" i="7" s="1"/>
  <c r="E80" i="7"/>
  <c r="H80" i="7" s="1"/>
  <c r="E71" i="7"/>
  <c r="H71" i="7" s="1"/>
  <c r="E57" i="7"/>
  <c r="H57" i="7" s="1"/>
  <c r="E48" i="7"/>
  <c r="H48" i="7" s="1"/>
  <c r="E43" i="7"/>
  <c r="H43" i="7" s="1"/>
  <c r="E32" i="7"/>
  <c r="H32" i="7" s="1"/>
  <c r="E27" i="7"/>
  <c r="H27" i="7" s="1"/>
  <c r="E12" i="7"/>
  <c r="H12" i="7" s="1"/>
  <c r="E193" i="7"/>
  <c r="H193" i="7" s="1"/>
  <c r="E36" i="7"/>
  <c r="H36" i="7" s="1"/>
  <c r="E75" i="7"/>
  <c r="H75" i="7" s="1"/>
  <c r="E93" i="7"/>
  <c r="H93" i="7" s="1"/>
  <c r="E160" i="7"/>
  <c r="H160" i="7" s="1"/>
  <c r="E179" i="7"/>
  <c r="H179" i="7" s="1"/>
  <c r="E16" i="7"/>
  <c r="H16" i="7" s="1"/>
  <c r="E69" i="7"/>
  <c r="H69" i="7" s="1"/>
  <c r="E111" i="7"/>
  <c r="H111" i="7" s="1"/>
  <c r="E192" i="7"/>
  <c r="H192" i="7" s="1"/>
  <c r="E83" i="7"/>
  <c r="H83" i="7" s="1"/>
  <c r="E124" i="7"/>
  <c r="H124" i="7" s="1"/>
  <c r="E143" i="7"/>
  <c r="H143" i="7" s="1"/>
  <c r="E6" i="7"/>
  <c r="H6" i="7" s="1"/>
  <c r="E24" i="7"/>
  <c r="H24" i="7" s="1"/>
  <c r="E137" i="7"/>
  <c r="H137" i="7" s="1"/>
  <c r="E175" i="7"/>
  <c r="H175" i="7" s="1"/>
  <c r="E7" i="7"/>
  <c r="H7" i="7" s="1"/>
  <c r="E60" i="7"/>
  <c r="H60" i="7" s="1"/>
  <c r="E79" i="7"/>
  <c r="H79" i="7" s="1"/>
  <c r="E97" i="7"/>
  <c r="H97" i="7" s="1"/>
  <c r="E120" i="7"/>
  <c r="H120" i="7" s="1"/>
  <c r="E183" i="7"/>
  <c r="H183" i="7" s="1"/>
  <c r="G9" i="6"/>
  <c r="G14" i="6"/>
  <c r="G23" i="6"/>
  <c r="J5" i="6"/>
  <c r="G5" i="6"/>
  <c r="G17" i="6"/>
  <c r="J8" i="6"/>
  <c r="E69" i="6"/>
  <c r="E70" i="6"/>
  <c r="I46" i="6"/>
  <c r="J46" i="6" s="1"/>
  <c r="G239" i="7"/>
  <c r="E29" i="7"/>
  <c r="H29" i="7" s="1"/>
  <c r="E33" i="7"/>
  <c r="H33" i="7" s="1"/>
  <c r="E37" i="7"/>
  <c r="H37" i="7" s="1"/>
  <c r="E41" i="7"/>
  <c r="H41" i="7" s="1"/>
  <c r="E5" i="7"/>
  <c r="H5" i="7" s="1"/>
  <c r="E9" i="7"/>
  <c r="H9" i="7" s="1"/>
  <c r="E13" i="7"/>
  <c r="H13" i="7" s="1"/>
  <c r="E17" i="7"/>
  <c r="H17" i="7" s="1"/>
  <c r="E21" i="7"/>
  <c r="E25" i="7"/>
  <c r="H25" i="7" s="1"/>
  <c r="E46" i="7"/>
  <c r="H46" i="7" s="1"/>
  <c r="E50" i="7"/>
  <c r="H50" i="7" s="1"/>
  <c r="E54" i="7"/>
  <c r="H54" i="7" s="1"/>
  <c r="E58" i="7"/>
  <c r="H58" i="7" s="1"/>
  <c r="E62" i="7"/>
  <c r="H62" i="7" s="1"/>
  <c r="E66" i="7"/>
  <c r="H66" i="7" s="1"/>
  <c r="E70" i="7"/>
  <c r="H70" i="7" s="1"/>
  <c r="E74" i="7"/>
  <c r="H74" i="7" s="1"/>
  <c r="E78" i="7"/>
  <c r="H78" i="7" s="1"/>
  <c r="E82" i="7"/>
  <c r="H82" i="7" s="1"/>
  <c r="E86" i="7"/>
  <c r="H86" i="7" s="1"/>
  <c r="E90" i="7"/>
  <c r="H90" i="7" s="1"/>
  <c r="E94" i="7"/>
  <c r="H94" i="7" s="1"/>
  <c r="E98" i="7"/>
  <c r="H98" i="7" s="1"/>
  <c r="E106" i="7"/>
  <c r="H106" i="7" s="1"/>
  <c r="E110" i="7"/>
  <c r="H110" i="7" s="1"/>
  <c r="E114" i="7"/>
  <c r="H114" i="7" s="1"/>
  <c r="E118" i="7"/>
  <c r="H118" i="7" s="1"/>
  <c r="E122" i="7"/>
  <c r="H122" i="7" s="1"/>
  <c r="E126" i="7"/>
  <c r="H126" i="7" s="1"/>
  <c r="E130" i="7"/>
  <c r="H130" i="7" s="1"/>
  <c r="E134" i="7"/>
  <c r="H134" i="7" s="1"/>
  <c r="E138" i="7"/>
  <c r="H138" i="7" s="1"/>
  <c r="E142" i="7"/>
  <c r="H142" i="7" s="1"/>
  <c r="E146" i="7"/>
  <c r="H146" i="7" s="1"/>
  <c r="E150" i="7"/>
  <c r="H150" i="7" s="1"/>
  <c r="E154" i="7"/>
  <c r="H154" i="7" s="1"/>
  <c r="E158" i="7"/>
  <c r="H158" i="7" s="1"/>
  <c r="E162" i="7"/>
  <c r="H162" i="7" s="1"/>
  <c r="E166" i="7"/>
  <c r="H166" i="7" s="1"/>
  <c r="E170" i="7"/>
  <c r="H170" i="7" s="1"/>
  <c r="E174" i="7"/>
  <c r="H174" i="7" s="1"/>
  <c r="E178" i="7"/>
  <c r="H178" i="7" s="1"/>
  <c r="E182" i="7"/>
  <c r="H182" i="7" s="1"/>
  <c r="E186" i="7"/>
  <c r="H186" i="7" s="1"/>
  <c r="E190" i="7"/>
  <c r="H190" i="7" s="1"/>
  <c r="E194" i="7"/>
  <c r="H194" i="7" s="1"/>
  <c r="E26" i="7"/>
  <c r="H26" i="7" s="1"/>
  <c r="E30" i="7"/>
  <c r="H30" i="7" s="1"/>
  <c r="E34" i="7"/>
  <c r="H34" i="7" s="1"/>
  <c r="E38" i="7"/>
  <c r="H38" i="7" s="1"/>
  <c r="E3" i="7"/>
  <c r="H3" i="7" s="1"/>
  <c r="E4" i="7"/>
  <c r="H4" i="7" s="1"/>
  <c r="E2" i="7"/>
  <c r="E44" i="7"/>
  <c r="H44" i="7" s="1"/>
  <c r="I53" i="6"/>
  <c r="J53" i="6" s="1"/>
  <c r="F73" i="6" s="1"/>
  <c r="E73" i="6"/>
  <c r="I42" i="6"/>
  <c r="J42" i="6" s="1"/>
  <c r="F71" i="6" s="1"/>
  <c r="E71" i="6"/>
  <c r="E72" i="6"/>
  <c r="I32" i="6"/>
  <c r="J32" i="6" s="1"/>
  <c r="I14" i="6"/>
  <c r="J14" i="6" s="1"/>
  <c r="H72" i="7"/>
  <c r="I15" i="6"/>
  <c r="J15" i="6" s="1"/>
  <c r="I27" i="6"/>
  <c r="J27" i="6" s="1"/>
  <c r="I28" i="6" l="1"/>
  <c r="J28" i="6" s="1"/>
  <c r="I25" i="6"/>
  <c r="J25" i="6" s="1"/>
  <c r="I20" i="6"/>
  <c r="J20" i="6" s="1"/>
  <c r="H123" i="7"/>
  <c r="H132" i="7"/>
  <c r="I4" i="6"/>
  <c r="J4" i="6" s="1"/>
  <c r="H61" i="7"/>
  <c r="I37" i="6"/>
  <c r="J37" i="6" s="1"/>
  <c r="F70" i="6" s="1"/>
  <c r="H92" i="7"/>
  <c r="H153" i="7"/>
  <c r="I11" i="6"/>
  <c r="J11" i="6" s="1"/>
  <c r="I12" i="6"/>
  <c r="J12" i="6" s="1"/>
  <c r="I3" i="6"/>
  <c r="J3" i="6" s="1"/>
  <c r="H8" i="7"/>
  <c r="I22" i="6"/>
  <c r="J22" i="6" s="1"/>
  <c r="I23" i="6"/>
  <c r="J23" i="6" s="1"/>
  <c r="I18" i="6"/>
  <c r="J18" i="6" s="1"/>
  <c r="I19" i="6"/>
  <c r="J19" i="6" s="1"/>
  <c r="I16" i="6"/>
  <c r="J16" i="6" s="1"/>
  <c r="I13" i="6"/>
  <c r="J13" i="6" s="1"/>
  <c r="F72" i="6"/>
  <c r="I10" i="6"/>
  <c r="J10" i="6" s="1"/>
  <c r="I30" i="6"/>
  <c r="J30" i="6" s="1"/>
  <c r="E236" i="7"/>
  <c r="I24" i="6"/>
  <c r="J24" i="6" s="1"/>
  <c r="I9" i="6"/>
  <c r="J9" i="6" s="1"/>
  <c r="H2" i="7"/>
  <c r="H236" i="7" l="1"/>
  <c r="H239" i="7" s="1"/>
  <c r="I21" i="6"/>
  <c r="J21" i="6" s="1"/>
  <c r="I26" i="6"/>
  <c r="J26" i="6" s="1"/>
  <c r="F69" i="6" l="1"/>
  <c r="F7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tc={446F8300-FC6F-4D65-964C-41FAC21AA4E8}</author>
    <author>tc={E2BEA570-780D-495D-AC21-D70340A8F60A}</author>
    <author>tc={457CCDAF-243A-449E-8A0A-3FA89A40B795}</author>
    <author>tc={FE6D0FA9-86BF-4975-9187-6B62F82EF62D}</author>
    <author>tc={E5F8773A-DF23-4022-976A-EF093CF96076}</author>
    <author>tc={2C4E88B7-2E2F-4C3A-A9C1-EE95470505AA}</author>
    <author>tc={5E7ABA16-2E4C-4929-AF81-0182ABFE825C}</author>
    <author>tc={B50DB62C-63A0-400B-8867-45706F62CACE}</author>
    <author>tc={79C7C79C-8FA3-4632-AF6B-3875AAD960E2}</author>
    <author>tc={CB78D9E0-8665-485E-A01F-F01318BFFD2F}</author>
    <author>tc={2A8D444B-759F-46FD-9754-B166ECBCE747}</author>
    <author>tc={9D421309-5281-4347-B7A4-61D5A3781DD7}</author>
    <author>tc={B4785883-0545-4456-82FB-294303FDF34F}</author>
    <author>tc={DC207648-8F6C-46AD-AF1C-414A7ABAC353}</author>
    <author>tc={BC9EA0D5-9094-4EE6-AA74-6C66C410F2EA}</author>
  </authors>
  <commentList>
    <comment ref="C5" authorId="0" shapeId="0" xr:uid="{446F8300-FC6F-4D65-964C-41FAC21AA4E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2 no FIIX sem modelo e fabricante (o que fazer?). Talvez sejam os novos que chegaram</t>
      </text>
    </comment>
    <comment ref="I5" authorId="1" shapeId="0" xr:uid="{E2BEA570-780D-495D-AC21-D70340A8F60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como referência a planilha antiga pq não tinha em lugar nenhum a informação de preço</t>
      </text>
    </comment>
    <comment ref="D9" authorId="2" shapeId="0" xr:uid="{457CCDAF-243A-449E-8A0A-3FA89A40B79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3 no FIIX sem modelo</t>
      </text>
    </comment>
    <comment ref="F10" authorId="3" shapeId="0" xr:uid="{FE6D0FA9-86BF-4975-9187-6B62F82EF62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Só tem 1MHz no FIIX</t>
      </text>
    </comment>
    <comment ref="D14" authorId="4" shapeId="0" xr:uid="{E5F8773A-DF23-4022-976A-EF093CF960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dessa planilha. A do Duda não sei se tem a informação de frete, taxa e tudo mais. Aí o dólar está com valor menor</t>
      </text>
    </comment>
    <comment ref="D21" authorId="5" shapeId="0" xr:uid="{2C4E88B7-2E2F-4C3A-A9C1-EE95470505A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2 lá no FIIX a mais do que os modelos cadastrados. O ECO-BB-RTD da SEABIRD e o NTURTD da WetLabs</t>
      </text>
    </comment>
    <comment ref="K22" authorId="6" shapeId="0" xr:uid="{5E7ABA16-2E4C-4929-AF81-0182ABFE825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2 modelos, de 12 e 24 garrafas. Mas só tem o preço como se fosse uma coisa só</t>
      </text>
    </comment>
    <comment ref="D23" authorId="7" shapeId="0" xr:uid="{B50DB62C-63A0-400B-8867-45706F62CA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Está faltando saber o preço para os fabricantes: GILL e WHEATHERPAK. Tem um Anemômetro de cada um desses 2 fabricantes.</t>
      </text>
    </comment>
    <comment ref="K23" authorId="8" shapeId="0" xr:uid="{79C7C79C-8FA3-4632-AF6B-3875AAD960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Está faltando orçar para + 2 fabricantes</t>
      </text>
    </comment>
    <comment ref="D53" authorId="9" shapeId="0" xr:uid="{CB78D9E0-8665-485E-A01F-F01318BFFD2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QUE SERVEM PRA TUDO DESSA UNIDADE</t>
      </text>
    </comment>
    <comment ref="F53" authorId="10" shapeId="0" xr:uid="{2A8D444B-759F-46FD-9754-B166ECBCE74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Conferir amanhã
</t>
      </text>
    </comment>
    <comment ref="D54" authorId="11" shapeId="0" xr:uid="{9D421309-5281-4347-B7A4-61D5A3781DD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LD5 e LD3</t>
      </text>
    </comment>
    <comment ref="F54" authorId="12" shapeId="0" xr:uid="{B4785883-0545-4456-82FB-294303FDF3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Baseado no FIIX</t>
      </text>
    </comment>
    <comment ref="D56" authorId="13" shapeId="0" xr:uid="{DC207648-8F6C-46AD-AF1C-414A7ABAC35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MRU5 e DMS-25</t>
      </text>
    </comment>
    <comment ref="G59" authorId="14" shapeId="0" xr:uid="{BC9EA0D5-9094-4EE6-AA74-6C66C410F2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Quantidade bate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tc={34CCB0CF-67FB-48EF-AB9B-0B0EE5ABD7AB}</author>
    <author>tc={674BE83A-8C57-4509-B716-D625AE3ADF11}</author>
    <author>tc={77C2FA0E-55B1-443B-B1CA-7B883B68AC08}</author>
    <author>tc={AC063E94-F68D-434A-916F-5CFC212FB63E}</author>
  </authors>
  <commentList>
    <comment ref="D3" authorId="0" shapeId="0" xr:uid="{34CCB0CF-67FB-48EF-AB9B-0B0EE5ABD7A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extrapolação do OS de 150KHz</t>
      </text>
    </comment>
    <comment ref="F5" authorId="1" shapeId="0" xr:uid="{674BE83A-8C57-4509-B716-D625AE3ADF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que conferir a qtd</t>
      </text>
    </comment>
    <comment ref="F21" authorId="2" shapeId="0" xr:uid="{77C2FA0E-55B1-443B-B1CA-7B883B68AC0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Bati com o FIIX. São os sem estar para descarte e não operacional</t>
      </text>
    </comment>
    <comment ref="F29" authorId="3" shapeId="0" xr:uid="{AC063E94-F68D-434A-916F-5CFC212FB63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DW + DW Titanium 6000m + DW 6000m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<sst xmlns="http://schemas.openxmlformats.org/spreadsheetml/2006/main" count="1506" uniqueCount="728">
  <si>
    <t>Ativo</t>
  </si>
  <si>
    <t>Fabricante</t>
  </si>
  <si>
    <t>Geral</t>
  </si>
  <si>
    <t>Base</t>
  </si>
  <si>
    <t>Prooceano - alugado</t>
  </si>
  <si>
    <t>SJ</t>
  </si>
  <si>
    <t>OST</t>
  </si>
  <si>
    <t>UP Coral</t>
  </si>
  <si>
    <t>Parcel</t>
  </si>
  <si>
    <t>SLI</t>
  </si>
  <si>
    <t>Boia Mero</t>
  </si>
  <si>
    <t>Glider</t>
  </si>
  <si>
    <t>Descarte</t>
  </si>
  <si>
    <t>Em Calibração</t>
  </si>
  <si>
    <t>Manut</t>
  </si>
  <si>
    <t>% Não Operacional</t>
  </si>
  <si>
    <t>% Operacional</t>
  </si>
  <si>
    <t>Valor total (R$)</t>
  </si>
  <si>
    <t>Projeto_1040028</t>
  </si>
  <si>
    <t>Boia Mero_10400192</t>
  </si>
  <si>
    <t>Seward Johnson</t>
  </si>
  <si>
    <t>Ocean Stalwart</t>
  </si>
  <si>
    <t>Parcel das Paredes</t>
  </si>
  <si>
    <t>Constellation_1060069</t>
  </si>
  <si>
    <t>Porto do Açu_1060075</t>
  </si>
  <si>
    <t>Observações</t>
  </si>
  <si>
    <t>Preço Firme</t>
  </si>
  <si>
    <t>GLIDER</t>
  </si>
  <si>
    <t>TELEDYNE</t>
  </si>
  <si>
    <t>-</t>
  </si>
  <si>
    <t>Todos em Operação</t>
  </si>
  <si>
    <t>SIM</t>
  </si>
  <si>
    <t>GRAVADOR ACÚSTICO AMAR</t>
  </si>
  <si>
    <t>JASCO</t>
  </si>
  <si>
    <t>HIDROFONE</t>
  </si>
  <si>
    <t>GEOSPECTRUM</t>
  </si>
  <si>
    <t>METEOCEANOGRAFIA</t>
  </si>
  <si>
    <t>CORRENTÔMETRO</t>
  </si>
  <si>
    <t>NORTEK, ROWE, TELEDYNE RDI</t>
  </si>
  <si>
    <t>04 Boia Mero, 3 OST e 02 Parcel das Paredes; 600khz de uso da SLI - ADCP e AQUADOPP</t>
  </si>
  <si>
    <t>NÃO</t>
  </si>
  <si>
    <t>AQUADOPP</t>
  </si>
  <si>
    <t>NORTEK</t>
  </si>
  <si>
    <t>CTD 37 SM</t>
  </si>
  <si>
    <t>Seabird</t>
  </si>
  <si>
    <t>CTD 9Plus/19Plus</t>
  </si>
  <si>
    <t>SENSOR DE PH</t>
  </si>
  <si>
    <t>SENSOR DE CONDUTIVIDADE</t>
  </si>
  <si>
    <t>SENSOR DE TEMPERATURA</t>
  </si>
  <si>
    <t>SENSOR DE OD</t>
  </si>
  <si>
    <t>FLUORÍMETRO</t>
  </si>
  <si>
    <t>WET Labs e Seapoint</t>
  </si>
  <si>
    <t>ROSETTE</t>
  </si>
  <si>
    <t>ANEMÔMETRO</t>
  </si>
  <si>
    <t>YOUNG, GILL</t>
  </si>
  <si>
    <t>BARÔMETRO</t>
  </si>
  <si>
    <t xml:space="preserve">YOUNG </t>
  </si>
  <si>
    <t>TERMOHIGRÔMETRO</t>
  </si>
  <si>
    <t>YOUNG</t>
  </si>
  <si>
    <t>ESTAÇÃO METEREOLÓGICA</t>
  </si>
  <si>
    <t>VAISALLA/GILL</t>
  </si>
  <si>
    <t>BEACON OCEANOGRÁFICO</t>
  </si>
  <si>
    <t>METOCEAN (IR-7300)</t>
  </si>
  <si>
    <t>04 Boia Mero e 02 Porto do Açu</t>
  </si>
  <si>
    <t>MAREGRAFO DE RADAR</t>
  </si>
  <si>
    <t xml:space="preserve">VALEPORT VRS-20 </t>
  </si>
  <si>
    <t xml:space="preserve">VALEPORT </t>
  </si>
  <si>
    <t>LIBERADOR ACÚSTICO</t>
  </si>
  <si>
    <t>EDGETECH (8242XS),  IXSEA, INTEROCEAN, SUBSONICS,  IXSEA e TELEYNE BENTHOS</t>
  </si>
  <si>
    <t>BOIAS</t>
  </si>
  <si>
    <t>DATAWELLMOORING SYSTEM, TRIAXYS, DEEP WATER BUOYANCY</t>
  </si>
  <si>
    <t>Oceanografia Geológica/Geotecnia</t>
  </si>
  <si>
    <t>DROP CAMERA</t>
  </si>
  <si>
    <t>Seatronics</t>
  </si>
  <si>
    <t>SPI</t>
  </si>
  <si>
    <t>Ocean Imaging Systems</t>
  </si>
  <si>
    <t>VAN VEEN 230 l</t>
  </si>
  <si>
    <t>Husky Duck</t>
  </si>
  <si>
    <t>02 instalados no OST, 02 Instalados no Parcel</t>
  </si>
  <si>
    <t>BOX CORE 50 X 50</t>
  </si>
  <si>
    <t>05 instalados no OST, 02 Instalados no Parcel</t>
  </si>
  <si>
    <t>BOX CORE 30 X 30</t>
  </si>
  <si>
    <t>02 instalados no OST</t>
  </si>
  <si>
    <t>CPT</t>
  </si>
  <si>
    <t xml:space="preserve">Datem </t>
  </si>
  <si>
    <t>T-BAR</t>
  </si>
  <si>
    <t>MINI T-BAR</t>
  </si>
  <si>
    <t>PISTON CORER</t>
  </si>
  <si>
    <t>ARTIG e Husky Duck</t>
  </si>
  <si>
    <t>VIBRO CORER</t>
  </si>
  <si>
    <t>GDL UK</t>
  </si>
  <si>
    <t>Oceanografia Biológica</t>
  </si>
  <si>
    <t>Redes</t>
  </si>
  <si>
    <t>Indústrias Flemming</t>
  </si>
  <si>
    <t>Catamarã</t>
  </si>
  <si>
    <t>Multinet</t>
  </si>
  <si>
    <t>Hydrobios</t>
  </si>
  <si>
    <t>Sensores de bancada</t>
  </si>
  <si>
    <t>Hanna</t>
  </si>
  <si>
    <t>Geofísica</t>
  </si>
  <si>
    <t>Multi beam Echo Sounder</t>
  </si>
  <si>
    <t>Teledyne</t>
  </si>
  <si>
    <t>Ultra Short Baseline</t>
  </si>
  <si>
    <t>Sonardyne e Kongsberg</t>
  </si>
  <si>
    <t>Magnetômetro</t>
  </si>
  <si>
    <t>Geometrics</t>
  </si>
  <si>
    <t>Vai seguir para reparo</t>
  </si>
  <si>
    <t>Sub Bottom Profiler</t>
  </si>
  <si>
    <t>Knudsen e Edgetech</t>
  </si>
  <si>
    <t>Side Scan Sonar</t>
  </si>
  <si>
    <t>Edgetech</t>
  </si>
  <si>
    <t>Navegação</t>
  </si>
  <si>
    <t>Global Navigation Sattelite System</t>
  </si>
  <si>
    <t>TRIMBLE-VERIPOS</t>
  </si>
  <si>
    <t>PosMV</t>
  </si>
  <si>
    <t>APPLANIX</t>
  </si>
  <si>
    <t>Heading</t>
  </si>
  <si>
    <t>APPLANIX-VERIPOS-LODESTAR</t>
  </si>
  <si>
    <t>Attitude</t>
  </si>
  <si>
    <t>TOTAL</t>
  </si>
  <si>
    <t>Classificação</t>
  </si>
  <si>
    <t>Quantitativo Total</t>
  </si>
  <si>
    <t>Oceanografia Física e Química</t>
  </si>
  <si>
    <t>Oceanografia Geológica e Geotecnia</t>
  </si>
  <si>
    <t>Unidade</t>
  </si>
  <si>
    <t>Categoria</t>
  </si>
  <si>
    <t>Equipamento</t>
  </si>
  <si>
    <t>QTD Equipamento</t>
  </si>
  <si>
    <t>QTD Categoria</t>
  </si>
  <si>
    <t>Chutes DUDA</t>
  </si>
  <si>
    <t>Valor individual (R$)</t>
  </si>
  <si>
    <t>OK?</t>
  </si>
  <si>
    <t>METOCEANORGAFIA</t>
  </si>
  <si>
    <t>S</t>
  </si>
  <si>
    <t>OK</t>
  </si>
  <si>
    <t>GRAVADOR ACÚSTICO</t>
  </si>
  <si>
    <t>AMAR G3A</t>
  </si>
  <si>
    <t>AMAR G4</t>
  </si>
  <si>
    <t>M14_V20_370</t>
  </si>
  <si>
    <t>M36_V35_100</t>
  </si>
  <si>
    <t>M14_V20_900</t>
  </si>
  <si>
    <t>M36_V20_370</t>
  </si>
  <si>
    <t>AWAC</t>
  </si>
  <si>
    <t>SIGNATURE</t>
  </si>
  <si>
    <t>ADCP - OS</t>
  </si>
  <si>
    <t>ADCP - WH</t>
  </si>
  <si>
    <t>CTD</t>
  </si>
  <si>
    <t>9plus</t>
  </si>
  <si>
    <t>19Plus</t>
  </si>
  <si>
    <t>SENSORES</t>
  </si>
  <si>
    <t>TURNER DESIGNS, Seabird, WET Labs e Seapoint</t>
  </si>
  <si>
    <t>METEOROLOGIA</t>
  </si>
  <si>
    <t>YOUNG, ROTRONIC e TESTO</t>
  </si>
  <si>
    <t>ESTAÇÃO METEOROLÓGICA</t>
  </si>
  <si>
    <t>IR-7300</t>
  </si>
  <si>
    <t>METOCEAN</t>
  </si>
  <si>
    <t>KILO</t>
  </si>
  <si>
    <t>XEOS</t>
  </si>
  <si>
    <t xml:space="preserve">EDGETECH (8242XS),  IXSEA, INTEROCEAN, SUBSONICS,  IXSEA, TELEYNE BENTHOS e SONOTRONICS </t>
  </si>
  <si>
    <t>Carga</t>
  </si>
  <si>
    <t>MBES</t>
  </si>
  <si>
    <t>T20</t>
  </si>
  <si>
    <t>Knudsen, KONGSBERG GEOACOUSTICS e Edgetech</t>
  </si>
  <si>
    <t>Sistema de Posicionamento</t>
  </si>
  <si>
    <t>ANTENAS GPS</t>
  </si>
  <si>
    <t>TRIMBLE, VERIPOS, CLS e FURUNO</t>
  </si>
  <si>
    <t>DGPS</t>
  </si>
  <si>
    <t>TRIMBLE, VERIPOS e FUGRO</t>
  </si>
  <si>
    <t>MRU</t>
  </si>
  <si>
    <t xml:space="preserve">Kongsberg Seatex e Teledyne </t>
  </si>
  <si>
    <t>LODESTAR</t>
  </si>
  <si>
    <t>Sonardyne</t>
  </si>
  <si>
    <t>A-Frames</t>
  </si>
  <si>
    <t>ALEXIL, C&amp;C, Harbor Branch, MG Usinagem, NATEC, Stabbert</t>
  </si>
  <si>
    <t>Guinchos</t>
  </si>
  <si>
    <t>Elétrico</t>
  </si>
  <si>
    <t>SEMAC, IBERCISA</t>
  </si>
  <si>
    <t>Eletro-Hidraulico</t>
  </si>
  <si>
    <t>ALEXIL, SEMAC, DT MARINE</t>
  </si>
  <si>
    <t>Hidráulico</t>
  </si>
  <si>
    <t>MARCO, STABBERT MARITIME, GDLUCK, HARBOR BRANCH, MARKEY e EVERETT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</si>
  <si>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</si>
  <si>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</si>
  <si>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</si>
  <si>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</si>
  <si>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</si>
  <si>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Total do Ativo</t>
  </si>
  <si>
    <t>Valor Total U$</t>
  </si>
  <si>
    <t>Valor Total R$</t>
  </si>
  <si>
    <t>Considerações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</si>
  <si>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</si>
  <si>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</si>
  <si>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</si>
  <si>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</si>
  <si>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</si>
  <si>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</si>
  <si>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</si>
  <si>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</si>
  <si>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1MHZ</t>
  </si>
  <si>
    <t>IMP 227</t>
  </si>
  <si>
    <t>400KHZ</t>
  </si>
  <si>
    <t>Cotação Leandro Almeida área Comercial</t>
  </si>
  <si>
    <t>600KHZ</t>
  </si>
  <si>
    <t>Base planilha "Controle Importação2013"- SLI</t>
  </si>
  <si>
    <t>WH 75KHZ</t>
  </si>
  <si>
    <t>média Base planilha "Controle Importação2013"- SLI x projeção custos area oceanografia</t>
  </si>
  <si>
    <t>75KHZ</t>
  </si>
  <si>
    <t>Planilha "Purchased_Equipament 2011/2012 - Importação SLI</t>
  </si>
  <si>
    <t>SIGNATURE 500 DW</t>
  </si>
  <si>
    <t xml:space="preserve">NORTEK </t>
  </si>
  <si>
    <t>Segundo relação estimada valores itens de Oceanografia junto área Comercial</t>
  </si>
  <si>
    <t xml:space="preserve">SIGNATURE 55KHZ </t>
  </si>
  <si>
    <t>WH 300KHZ</t>
  </si>
  <si>
    <t xml:space="preserve">ROWE </t>
  </si>
  <si>
    <t>Extrapolação valor média valores ADCP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</si>
  <si>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</si>
  <si>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</si>
  <si>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</si>
  <si>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</si>
  <si>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</si>
  <si>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</si>
  <si>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</si>
  <si>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</si>
  <si>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</si>
  <si>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>planilha custos Seabird</t>
  </si>
  <si>
    <t>PA500/6</t>
  </si>
  <si>
    <t xml:space="preserve">TRITECH </t>
  </si>
  <si>
    <t>Levantamento do Charles</t>
  </si>
  <si>
    <t xml:space="preserve">ANEMOMETRO </t>
  </si>
  <si>
    <t>IMP 1504</t>
  </si>
  <si>
    <t>EXTRAPOLAÇÃO VALOR IMP 1504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</si>
  <si>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</si>
  <si>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</si>
  <si>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</si>
  <si>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</si>
  <si>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</si>
  <si>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</si>
  <si>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</si>
  <si>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</si>
  <si>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</si>
  <si>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</si>
  <si>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</si>
  <si>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</si>
  <si>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</si>
  <si>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</si>
  <si>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DW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</si>
  <si>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</si>
  <si>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</si>
  <si>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</si>
  <si>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</si>
  <si>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</si>
  <si>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</si>
  <si>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</si>
  <si>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 xml:space="preserve">BEACON 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</si>
  <si>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</si>
  <si>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</si>
  <si>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</si>
  <si>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</si>
  <si>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</si>
  <si>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</si>
  <si>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</si>
  <si>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</si>
  <si>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513-12000</t>
  </si>
  <si>
    <t xml:space="preserve">METOCEAN </t>
  </si>
  <si>
    <t>IMP 855</t>
  </si>
  <si>
    <t>NOVATECH</t>
  </si>
  <si>
    <t>IMP 1098</t>
  </si>
  <si>
    <t>WSM6</t>
  </si>
  <si>
    <t xml:space="preserve">SONARDYNE </t>
  </si>
  <si>
    <t>Libra Estelina 5.398 reverter p/ U$ / Levantamento do Charles</t>
  </si>
  <si>
    <t xml:space="preserve">XEOS </t>
  </si>
  <si>
    <t>XEOS INVOICE 1515</t>
  </si>
  <si>
    <t xml:space="preserve">BOIA 37 </t>
  </si>
  <si>
    <t xml:space="preserve">LARANJA DEEP WATER </t>
  </si>
  <si>
    <t>BOIA BMO</t>
  </si>
  <si>
    <t>BMT/HOLOS</t>
  </si>
  <si>
    <t>BMO</t>
  </si>
  <si>
    <t>Média NFs 000000376 e 000000380  - "Gardline - Depreciação e Amortização - 2022"</t>
  </si>
  <si>
    <t>BOIA DE MEDIÇÃO DE ONDAS</t>
  </si>
  <si>
    <t>DWR-MKIII</t>
  </si>
  <si>
    <t>IRIDIUM</t>
  </si>
  <si>
    <t>BOIA SINTÉTICA 35 POLEGADAS</t>
  </si>
  <si>
    <t>SF-35-3000M</t>
  </si>
  <si>
    <t>MOORING SYSTEM</t>
  </si>
  <si>
    <t>IMP 1531</t>
  </si>
  <si>
    <t>BOIA WATCHMATE</t>
  </si>
  <si>
    <t>WATCHMATE</t>
  </si>
  <si>
    <t xml:space="preserve">AXYS </t>
  </si>
  <si>
    <t>IMP 401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</si>
  <si>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</si>
  <si>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</si>
  <si>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</si>
  <si>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</si>
  <si>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</si>
  <si>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</si>
  <si>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</si>
  <si>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</si>
  <si>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</si>
  <si>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</si>
  <si>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</si>
  <si>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</si>
  <si>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</si>
  <si>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</si>
  <si>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</si>
  <si>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</si>
  <si>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</si>
  <si>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</si>
  <si>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</si>
  <si>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</si>
  <si>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</si>
  <si>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</si>
  <si>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</si>
  <si>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</si>
  <si>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</si>
  <si>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</si>
  <si>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</si>
  <si>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</si>
  <si>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</si>
  <si>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 xml:space="preserve">CPT </t>
  </si>
  <si>
    <t>NEPTUNE 3000</t>
  </si>
  <si>
    <t>Levantamento do Isabel</t>
  </si>
  <si>
    <t xml:space="preserve">CT </t>
  </si>
  <si>
    <t xml:space="preserve">CT 620 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</si>
  <si>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</si>
  <si>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</si>
  <si>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</si>
  <si>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</si>
  <si>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</si>
  <si>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</si>
  <si>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</si>
  <si>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</si>
  <si>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</si>
  <si>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</si>
  <si>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</si>
  <si>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</si>
  <si>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</si>
  <si>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</si>
  <si>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</si>
  <si>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</si>
  <si>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</si>
  <si>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</si>
  <si>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</si>
  <si>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</si>
  <si>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</si>
  <si>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</si>
  <si>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</si>
  <si>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</si>
  <si>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</si>
  <si>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</si>
  <si>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</si>
  <si>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</si>
  <si>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</si>
  <si>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</si>
  <si>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</si>
  <si>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</si>
  <si>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</si>
  <si>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DROP CAMERA </t>
  </si>
  <si>
    <t>DTS6000</t>
  </si>
  <si>
    <t>SEATRONICS</t>
  </si>
  <si>
    <t>IMP 1582 - 21.10.20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</si>
  <si>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</si>
  <si>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</si>
  <si>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</si>
  <si>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</si>
  <si>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</si>
  <si>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</si>
  <si>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</si>
  <si>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</si>
  <si>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</si>
  <si>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</si>
  <si>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</si>
  <si>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</si>
  <si>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</si>
  <si>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</si>
  <si>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</si>
  <si>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</si>
  <si>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</si>
  <si>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</si>
  <si>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</si>
  <si>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</si>
  <si>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</si>
  <si>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</si>
  <si>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</si>
  <si>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</si>
  <si>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</si>
  <si>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</si>
  <si>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</si>
  <si>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</si>
  <si>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</si>
  <si>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</si>
  <si>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</si>
  <si>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 xml:space="preserve">GLIDER </t>
  </si>
  <si>
    <t>ME3193021</t>
  </si>
  <si>
    <t>IMP 2995</t>
  </si>
  <si>
    <t>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</si>
  <si>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</si>
  <si>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</si>
  <si>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</si>
  <si>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</si>
  <si>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</si>
  <si>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 xml:space="preserve">SPS852 </t>
  </si>
  <si>
    <t>Planilha "004.11_Invoice"- Importação SLI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</si>
  <si>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</si>
  <si>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</si>
  <si>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</si>
  <si>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</si>
  <si>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</si>
  <si>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</si>
  <si>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</si>
  <si>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</si>
  <si>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</si>
  <si>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</si>
  <si>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</si>
  <si>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</si>
  <si>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</si>
  <si>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 xml:space="preserve">HIPAP </t>
  </si>
  <si>
    <t>352P-H</t>
  </si>
  <si>
    <t xml:space="preserve">JUNCTION BOX MAGNETOMETRO </t>
  </si>
  <si>
    <t xml:space="preserve">GEOMETRICS 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</si>
  <si>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</si>
  <si>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</si>
  <si>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</si>
  <si>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</si>
  <si>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</si>
  <si>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</si>
  <si>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</si>
  <si>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</si>
  <si>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</si>
  <si>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</si>
  <si>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</si>
  <si>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</si>
  <si>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</si>
  <si>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</si>
  <si>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</si>
  <si>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</si>
  <si>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</si>
  <si>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</si>
  <si>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</si>
  <si>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</si>
  <si>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</si>
  <si>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</si>
  <si>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</si>
  <si>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</si>
  <si>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</si>
  <si>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</si>
  <si>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</si>
  <si>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</si>
  <si>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</si>
  <si>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</si>
  <si>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 xml:space="preserve">MAGNETOMETRO </t>
  </si>
  <si>
    <t>G882SX</t>
  </si>
  <si>
    <t>SEASPY</t>
  </si>
  <si>
    <t xml:space="preserve">MAGNETICS </t>
  </si>
  <si>
    <t>IMP 413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</si>
  <si>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</si>
  <si>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</si>
  <si>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</si>
  <si>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</si>
  <si>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</si>
  <si>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</si>
  <si>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</si>
  <si>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</si>
  <si>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VRS-20 </t>
  </si>
  <si>
    <t>NF 000000551 DE A2 SOLUTIONS COMERCIO E SERVICOS EIRELI - Marégrafo Tidemaster por radar</t>
  </si>
  <si>
    <t>MBES - SEABAT 7125</t>
  </si>
  <si>
    <t>EM7216</t>
  </si>
  <si>
    <t xml:space="preserve">TELEDYNE RESON </t>
  </si>
  <si>
    <t>NF n. 3274 de NC Brasil Ltda - Sistema multifeixe 7125 teledyne reson</t>
  </si>
  <si>
    <t>MBES - SEABAT T20-P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</si>
  <si>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</si>
  <si>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</si>
  <si>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</si>
  <si>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</si>
  <si>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</si>
  <si>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</si>
  <si>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</si>
  <si>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</si>
  <si>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</si>
  <si>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</si>
  <si>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</si>
  <si>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</si>
  <si>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</si>
  <si>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</si>
  <si>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</si>
  <si>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</si>
  <si>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</si>
  <si>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</si>
  <si>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</si>
  <si>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</si>
  <si>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</si>
  <si>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MULTIBEAM</t>
  </si>
  <si>
    <t>IMP 3304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</si>
  <si>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</si>
  <si>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</si>
  <si>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</si>
  <si>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</si>
  <si>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</si>
  <si>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</si>
  <si>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</si>
  <si>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</si>
  <si>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</si>
  <si>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</si>
  <si>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</si>
  <si>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</si>
  <si>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FUTURE OCEANS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</si>
  <si>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</si>
  <si>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</si>
  <si>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</si>
  <si>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</si>
  <si>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</si>
  <si>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</si>
  <si>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</si>
  <si>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</si>
  <si>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</si>
  <si>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</si>
  <si>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 xml:space="preserve">POSMV </t>
  </si>
  <si>
    <t xml:space="preserve">PSC V5 </t>
  </si>
  <si>
    <t xml:space="preserve">APPLANIX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</si>
  <si>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</si>
  <si>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</si>
  <si>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</si>
  <si>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</si>
  <si>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</si>
  <si>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</si>
  <si>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</si>
  <si>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</si>
  <si>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SEAGUARD </t>
  </si>
  <si>
    <t xml:space="preserve">RCM 1W </t>
  </si>
  <si>
    <t xml:space="preserve">ANDERAA </t>
  </si>
  <si>
    <t>Base referência Planilha "Controle Fornecedores"  - Importação SLI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</si>
  <si>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</si>
  <si>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</si>
  <si>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</si>
  <si>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</si>
  <si>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</si>
  <si>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</si>
  <si>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</si>
  <si>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</si>
  <si>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</si>
  <si>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</si>
  <si>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</si>
  <si>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</si>
  <si>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</si>
  <si>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</si>
  <si>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</si>
  <si>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</si>
  <si>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</si>
  <si>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</si>
  <si>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</si>
  <si>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</si>
  <si>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</si>
  <si>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</si>
  <si>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</si>
  <si>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</si>
  <si>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</si>
  <si>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</si>
  <si>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</si>
  <si>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</si>
  <si>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</si>
  <si>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</si>
  <si>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</si>
  <si>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</si>
  <si>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</si>
  <si>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</si>
  <si>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</si>
  <si>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</si>
  <si>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</si>
  <si>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</si>
  <si>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</si>
  <si>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</si>
  <si>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</si>
  <si>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</si>
  <si>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</si>
  <si>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</si>
  <si>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</si>
  <si>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</si>
  <si>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AXYS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</si>
  <si>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</si>
  <si>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</si>
  <si>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</si>
  <si>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</si>
  <si>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</si>
  <si>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 xml:space="preserve">SIDE SCAN SONAR </t>
  </si>
  <si>
    <t>2000 TV-D</t>
  </si>
  <si>
    <t>Extrapolação vaor média SIde Scan Sonar</t>
  </si>
  <si>
    <t>4125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</si>
  <si>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</si>
  <si>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</si>
  <si>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</si>
  <si>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</si>
  <si>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</si>
  <si>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</si>
  <si>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</si>
  <si>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</si>
  <si>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</si>
  <si>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</si>
  <si>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</si>
  <si>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</si>
  <si>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</si>
  <si>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</si>
  <si>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</si>
  <si>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</si>
  <si>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</si>
  <si>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</si>
  <si>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</si>
  <si>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</si>
  <si>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</si>
  <si>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CHIRP III / DSP-665</t>
  </si>
  <si>
    <t>Extrapolação média IMPs 488 e 642 e CHIRP 512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</si>
  <si>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</si>
  <si>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</si>
  <si>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</si>
  <si>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</si>
  <si>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</si>
  <si>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</si>
  <si>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</si>
  <si>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>SVP (CONTROLLER)</t>
  </si>
  <si>
    <t>DB1200</t>
  </si>
  <si>
    <t>TELEDYNE ODOM</t>
  </si>
  <si>
    <t>SVP (PROBE)</t>
  </si>
  <si>
    <t xml:space="preserve">DIGIBAR S 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</si>
  <si>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</si>
  <si>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</si>
  <si>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</si>
  <si>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</si>
  <si>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</si>
  <si>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</si>
  <si>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</si>
  <si>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</si>
  <si>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</si>
  <si>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</si>
  <si>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</si>
  <si>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</si>
  <si>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</si>
  <si>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</si>
  <si>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</si>
  <si>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</si>
  <si>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</si>
  <si>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</si>
  <si>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</si>
  <si>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</si>
  <si>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</si>
  <si>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</si>
  <si>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</si>
  <si>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</si>
  <si>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</si>
  <si>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</si>
  <si>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</si>
  <si>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</si>
  <si>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</si>
  <si>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</si>
  <si>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</si>
  <si>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</si>
  <si>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</si>
  <si>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</si>
  <si>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</si>
  <si>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 xml:space="preserve">XEOS TECH </t>
  </si>
  <si>
    <t xml:space="preserve">XEOS KILO 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</si>
  <si>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</si>
  <si>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</si>
  <si>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</si>
  <si>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</si>
  <si>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</si>
  <si>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</si>
  <si>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</si>
  <si>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</si>
  <si>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</si>
  <si>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</si>
  <si>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</si>
  <si>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</si>
  <si>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#05</t>
  </si>
  <si>
    <t>Guincho Hidráulico/7t</t>
  </si>
  <si>
    <t>EVERETT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</si>
  <si>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</si>
  <si>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</si>
  <si>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</si>
  <si>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</si>
  <si>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</si>
  <si>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</si>
  <si>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</si>
  <si>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</si>
  <si>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EXTRAPOLAÇÃO LUCAS BLANCO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</si>
  <si>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</si>
  <si>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</si>
  <si>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</si>
  <si>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</si>
  <si>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</si>
  <si>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</si>
  <si>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</si>
  <si>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</si>
  <si>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</si>
  <si>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</si>
  <si>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</si>
  <si>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</si>
  <si>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</si>
  <si>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</si>
  <si>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</si>
  <si>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</si>
  <si>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</si>
  <si>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</si>
  <si>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</si>
  <si>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</si>
  <si>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</si>
  <si>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</si>
  <si>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</si>
  <si>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</si>
  <si>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</si>
  <si>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</si>
  <si>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</si>
  <si>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</si>
  <si>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</si>
  <si>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</si>
  <si>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</si>
  <si>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</si>
  <si>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</si>
  <si>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</si>
  <si>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</si>
  <si>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</si>
  <si>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</si>
  <si>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VAN VEEN</t>
  </si>
  <si>
    <t>230L</t>
  </si>
  <si>
    <t>HUSKY DUCK</t>
  </si>
  <si>
    <t>BOX CORE</t>
  </si>
  <si>
    <t>50 x 50</t>
  </si>
  <si>
    <t>30 x 30</t>
  </si>
  <si>
    <t>ARTIG</t>
  </si>
  <si>
    <t>Total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</si>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</sst>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12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color rgb="FFFFFFFF"/>
      <name val="Arial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3340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44" fontId="3" fillId="7" borderId="3" xfId="1" applyFont="1" applyFill="1" applyBorder="1" applyAlignment="1">
      <alignment horizontal="center" vertical="center"/>
    </xf>
    <xf numFmtId="0" fontId="3" fillId="8" borderId="3" xfId="1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44" fontId="3" fillId="7" borderId="7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9" fontId="0" fillId="2" borderId="11" xfId="3" applyFont="1" applyFill="1" applyBorder="1"/>
    <xf numFmtId="9" fontId="0" fillId="2" borderId="12" xfId="0" applyNumberFormat="1" applyFill="1" applyBorder="1"/>
    <xf numFmtId="44" fontId="0" fillId="2" borderId="7" xfId="1" applyFont="1" applyFill="1" applyBorder="1" applyAlignment="1">
      <alignment vertical="center"/>
    </xf>
    <xf numFmtId="0" fontId="0" fillId="2" borderId="13" xfId="1" applyNumberFormat="1" applyFont="1" applyFill="1" applyBorder="1" applyAlignment="1">
      <alignment horizontal="center" vertical="center"/>
    </xf>
    <xf numFmtId="0" fontId="0" fillId="2" borderId="14" xfId="1" applyNumberFormat="1" applyFon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right" vertical="center"/>
    </xf>
    <xf numFmtId="0" fontId="0" fillId="2" borderId="15" xfId="0" applyFill="1" applyBorder="1"/>
    <xf numFmtId="0" fontId="0" fillId="2" borderId="16" xfId="0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1" xfId="0" applyFill="1" applyBorder="1"/>
    <xf numFmtId="9" fontId="0" fillId="2" borderId="1" xfId="3" applyFont="1" applyFill="1" applyBorder="1"/>
    <xf numFmtId="9" fontId="0" fillId="2" borderId="2" xfId="0" applyNumberFormat="1" applyFill="1" applyBorder="1"/>
    <xf numFmtId="44" fontId="0" fillId="2" borderId="19" xfId="1" applyFont="1" applyFill="1" applyBorder="1" applyAlignment="1">
      <alignment vertical="center"/>
    </xf>
    <xf numFmtId="0" fontId="0" fillId="2" borderId="10" xfId="1" applyNumberFormat="1" applyFont="1" applyFill="1" applyBorder="1" applyAlignment="1">
      <alignment horizontal="center" vertical="center"/>
    </xf>
    <xf numFmtId="0" fontId="0" fillId="2" borderId="11" xfId="1" applyNumberFormat="1" applyFont="1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right" vertical="center"/>
    </xf>
    <xf numFmtId="0" fontId="0" fillId="2" borderId="21" xfId="0" applyFill="1" applyBorder="1"/>
    <xf numFmtId="0" fontId="3" fillId="2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44" fontId="0" fillId="0" borderId="24" xfId="1" applyFont="1" applyFill="1" applyBorder="1" applyAlignment="1">
      <alignment horizontal="right" vertical="center"/>
    </xf>
    <xf numFmtId="0" fontId="3" fillId="2" borderId="26" xfId="0" applyFont="1" applyFill="1" applyBorder="1" applyAlignment="1">
      <alignment horizontal="center"/>
    </xf>
    <xf numFmtId="0" fontId="0" fillId="9" borderId="1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8" xfId="0" applyFill="1" applyBorder="1"/>
    <xf numFmtId="9" fontId="0" fillId="2" borderId="28" xfId="3" applyFont="1" applyFill="1" applyBorder="1"/>
    <xf numFmtId="9" fontId="0" fillId="2" borderId="28" xfId="0" applyNumberFormat="1" applyFill="1" applyBorder="1"/>
    <xf numFmtId="44" fontId="0" fillId="2" borderId="29" xfId="1" applyFont="1" applyFill="1" applyBorder="1" applyAlignment="1">
      <alignment vertical="center"/>
    </xf>
    <xf numFmtId="0" fontId="0" fillId="2" borderId="27" xfId="1" applyNumberFormat="1" applyFont="1" applyFill="1" applyBorder="1" applyAlignment="1">
      <alignment horizontal="center" vertical="center"/>
    </xf>
    <xf numFmtId="0" fontId="0" fillId="2" borderId="28" xfId="1" applyNumberFormat="1" applyFont="1" applyFill="1" applyBorder="1" applyAlignment="1">
      <alignment horizontal="center" vertical="center"/>
    </xf>
    <xf numFmtId="1" fontId="0" fillId="2" borderId="30" xfId="0" applyNumberFormat="1" applyFill="1" applyBorder="1" applyAlignment="1">
      <alignment horizontal="right" vertical="center"/>
    </xf>
    <xf numFmtId="0" fontId="0" fillId="2" borderId="31" xfId="0" applyFill="1" applyBorder="1"/>
    <xf numFmtId="0" fontId="0" fillId="10" borderId="16" xfId="0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9" fontId="0" fillId="2" borderId="1" xfId="0" applyNumberFormat="1" applyFill="1" applyBorder="1"/>
    <xf numFmtId="44" fontId="0" fillId="2" borderId="33" xfId="1" applyFont="1" applyFill="1" applyBorder="1" applyAlignment="1">
      <alignment vertical="center"/>
    </xf>
    <xf numFmtId="0" fontId="0" fillId="2" borderId="20" xfId="1" applyNumberFormat="1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1" fontId="0" fillId="2" borderId="18" xfId="0" applyNumberFormat="1" applyFill="1" applyBorder="1" applyAlignment="1">
      <alignment horizontal="right" vertical="center"/>
    </xf>
    <xf numFmtId="0" fontId="0" fillId="10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1" xfId="0" applyBorder="1"/>
    <xf numFmtId="44" fontId="0" fillId="0" borderId="33" xfId="1" applyFont="1" applyBorder="1" applyAlignment="1">
      <alignment vertical="center"/>
    </xf>
    <xf numFmtId="0" fontId="3" fillId="0" borderId="34" xfId="0" applyFon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0" borderId="36" xfId="0" applyBorder="1"/>
    <xf numFmtId="0" fontId="0" fillId="0" borderId="4" xfId="0" applyBorder="1"/>
    <xf numFmtId="44" fontId="0" fillId="0" borderId="37" xfId="1" applyFont="1" applyBorder="1" applyAlignment="1">
      <alignment vertical="center"/>
    </xf>
    <xf numFmtId="0" fontId="0" fillId="2" borderId="36" xfId="1" applyNumberFormat="1" applyFont="1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1" fontId="0" fillId="2" borderId="38" xfId="0" applyNumberFormat="1" applyFill="1" applyBorder="1" applyAlignment="1">
      <alignment horizontal="right" vertical="center"/>
    </xf>
    <xf numFmtId="0" fontId="0" fillId="2" borderId="39" xfId="0" applyFill="1" applyBorder="1"/>
    <xf numFmtId="0" fontId="3" fillId="2" borderId="16" xfId="0" applyFont="1" applyFill="1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9" fontId="0" fillId="2" borderId="40" xfId="0" applyNumberFormat="1" applyFill="1" applyBorder="1"/>
    <xf numFmtId="44" fontId="0" fillId="0" borderId="16" xfId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44" fontId="0" fillId="0" borderId="19" xfId="1" applyFont="1" applyFill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2" xfId="0" applyNumberFormat="1" applyBorder="1"/>
    <xf numFmtId="44" fontId="0" fillId="0" borderId="19" xfId="1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43" xfId="0" applyBorder="1"/>
    <xf numFmtId="9" fontId="0" fillId="2" borderId="43" xfId="3" applyFont="1" applyFill="1" applyBorder="1"/>
    <xf numFmtId="9" fontId="0" fillId="0" borderId="43" xfId="0" applyNumberFormat="1" applyBorder="1"/>
    <xf numFmtId="44" fontId="0" fillId="0" borderId="43" xfId="1" applyFont="1" applyBorder="1" applyAlignment="1">
      <alignment vertical="center"/>
    </xf>
    <xf numFmtId="0" fontId="0" fillId="2" borderId="43" xfId="1" applyNumberFormat="1" applyFont="1" applyFill="1" applyBorder="1" applyAlignment="1">
      <alignment horizontal="center" vertical="center"/>
    </xf>
    <xf numFmtId="1" fontId="0" fillId="2" borderId="43" xfId="0" applyNumberFormat="1" applyFill="1" applyBorder="1" applyAlignment="1">
      <alignment horizontal="right" vertical="center"/>
    </xf>
    <xf numFmtId="0" fontId="0" fillId="2" borderId="44" xfId="0" applyFill="1" applyBorder="1"/>
    <xf numFmtId="0" fontId="3" fillId="2" borderId="45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44" fontId="0" fillId="2" borderId="28" xfId="1" applyFont="1" applyFill="1" applyBorder="1" applyAlignment="1">
      <alignment vertical="center"/>
    </xf>
    <xf numFmtId="1" fontId="0" fillId="2" borderId="28" xfId="0" applyNumberFormat="1" applyFill="1" applyBorder="1" applyAlignment="1">
      <alignment horizontal="right" vertical="center"/>
    </xf>
    <xf numFmtId="0" fontId="0" fillId="2" borderId="40" xfId="0" applyFill="1" applyBorder="1"/>
    <xf numFmtId="0" fontId="3" fillId="0" borderId="19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44" fontId="0" fillId="0" borderId="1" xfId="1" applyFont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0" fontId="0" fillId="0" borderId="2" xfId="0" applyBorder="1"/>
    <xf numFmtId="0" fontId="3" fillId="2" borderId="35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9" fontId="0" fillId="0" borderId="44" xfId="0" applyNumberFormat="1" applyBorder="1"/>
    <xf numFmtId="164" fontId="0" fillId="0" borderId="47" xfId="0" applyNumberFormat="1" applyBorder="1" applyAlignment="1">
      <alignment horizontal="center"/>
    </xf>
    <xf numFmtId="0" fontId="0" fillId="0" borderId="42" xfId="1" applyNumberFormat="1" applyFont="1" applyBorder="1" applyAlignment="1">
      <alignment horizontal="center" vertical="center"/>
    </xf>
    <xf numFmtId="0" fontId="0" fillId="0" borderId="43" xfId="1" applyNumberFormat="1" applyFont="1" applyBorder="1" applyAlignment="1">
      <alignment horizontal="center" vertical="center"/>
    </xf>
    <xf numFmtId="1" fontId="0" fillId="0" borderId="23" xfId="0" applyNumberFormat="1" applyBorder="1" applyAlignment="1">
      <alignment horizontal="right" vertical="center"/>
    </xf>
    <xf numFmtId="0" fontId="0" fillId="0" borderId="41" xfId="0" applyBorder="1"/>
    <xf numFmtId="0" fontId="0" fillId="10" borderId="24" xfId="0" applyFill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9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44" fontId="0" fillId="2" borderId="45" xfId="1" applyFont="1" applyFill="1" applyBorder="1" applyAlignment="1">
      <alignment horizontal="center" vertical="center"/>
    </xf>
    <xf numFmtId="0" fontId="0" fillId="0" borderId="50" xfId="1" applyNumberFormat="1" applyFont="1" applyBorder="1" applyAlignment="1">
      <alignment horizontal="center" vertical="center"/>
    </xf>
    <xf numFmtId="0" fontId="0" fillId="0" borderId="51" xfId="1" applyNumberFormat="1" applyFont="1" applyBorder="1" applyAlignment="1">
      <alignment horizontal="center" vertical="center"/>
    </xf>
    <xf numFmtId="0" fontId="0" fillId="0" borderId="49" xfId="0" applyBorder="1" applyAlignment="1">
      <alignment horizontal="right" vertical="center"/>
    </xf>
    <xf numFmtId="0" fontId="0" fillId="0" borderId="21" xfId="0" applyBorder="1"/>
    <xf numFmtId="0" fontId="3" fillId="0" borderId="3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18" xfId="0" applyFill="1" applyBorder="1" applyAlignment="1">
      <alignment horizontal="center" vertical="center"/>
    </xf>
    <xf numFmtId="44" fontId="0" fillId="0" borderId="19" xfId="1" applyFont="1" applyFill="1" applyBorder="1" applyAlignment="1">
      <alignment horizontal="center" vertical="center"/>
    </xf>
    <xf numFmtId="0" fontId="0" fillId="0" borderId="20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31" xfId="0" applyBorder="1"/>
    <xf numFmtId="0" fontId="0" fillId="2" borderId="19" xfId="0" applyFill="1" applyBorder="1" applyAlignment="1">
      <alignment horizontal="center"/>
    </xf>
    <xf numFmtId="44" fontId="0" fillId="0" borderId="19" xfId="1" applyFont="1" applyBorder="1" applyAlignment="1">
      <alignment horizontal="center" vertical="center"/>
    </xf>
    <xf numFmtId="0" fontId="0" fillId="0" borderId="33" xfId="1" applyNumberFormat="1" applyFont="1" applyBorder="1" applyAlignment="1">
      <alignment horizontal="right" vertical="center"/>
    </xf>
    <xf numFmtId="0" fontId="0" fillId="9" borderId="38" xfId="0" applyFill="1" applyBorder="1" applyAlignment="1">
      <alignment horizontal="center" vertical="center"/>
    </xf>
    <xf numFmtId="0" fontId="0" fillId="0" borderId="53" xfId="0" applyBorder="1"/>
    <xf numFmtId="44" fontId="0" fillId="0" borderId="35" xfId="1" applyFont="1" applyFill="1" applyBorder="1" applyAlignment="1">
      <alignment vertical="center"/>
    </xf>
    <xf numFmtId="0" fontId="0" fillId="0" borderId="36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/>
    <xf numFmtId="0" fontId="0" fillId="2" borderId="35" xfId="0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55" xfId="0" applyBorder="1"/>
    <xf numFmtId="44" fontId="0" fillId="0" borderId="3" xfId="1" applyFont="1" applyFill="1" applyBorder="1" applyAlignment="1">
      <alignment vertical="center"/>
    </xf>
    <xf numFmtId="0" fontId="0" fillId="0" borderId="13" xfId="1" applyNumberFormat="1" applyFont="1" applyBorder="1" applyAlignment="1">
      <alignment horizontal="center" vertical="center"/>
    </xf>
    <xf numFmtId="0" fontId="0" fillId="0" borderId="14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6" xfId="0" applyBorder="1"/>
    <xf numFmtId="0" fontId="0" fillId="10" borderId="3" xfId="0" applyFill="1" applyBorder="1" applyAlignment="1">
      <alignment horizontal="center" vertical="center"/>
    </xf>
    <xf numFmtId="0" fontId="3" fillId="0" borderId="45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9" borderId="30" xfId="0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40" xfId="0" applyBorder="1"/>
    <xf numFmtId="0" fontId="0" fillId="0" borderId="27" xfId="1" applyNumberFormat="1" applyFont="1" applyBorder="1" applyAlignment="1">
      <alignment horizontal="center" vertical="center"/>
    </xf>
    <xf numFmtId="0" fontId="0" fillId="0" borderId="28" xfId="1" applyNumberFormat="1" applyFont="1" applyBorder="1" applyAlignment="1">
      <alignment horizontal="center" vertical="center"/>
    </xf>
    <xf numFmtId="0" fontId="0" fillId="0" borderId="30" xfId="0" applyBorder="1" applyAlignment="1">
      <alignment horizontal="right" vertical="center"/>
    </xf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44" fontId="0" fillId="0" borderId="24" xfId="1" applyFont="1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3" fillId="0" borderId="1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0" xfId="0" applyBorder="1" applyAlignment="1">
      <alignment horizontal="center"/>
    </xf>
    <xf numFmtId="44" fontId="0" fillId="0" borderId="16" xfId="1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3" fillId="0" borderId="57" xfId="0" applyFont="1" applyBorder="1" applyAlignment="1">
      <alignment horizontal="center"/>
    </xf>
    <xf numFmtId="44" fontId="0" fillId="0" borderId="57" xfId="1" applyFont="1" applyFill="1" applyBorder="1" applyAlignment="1">
      <alignment vertical="center"/>
    </xf>
    <xf numFmtId="0" fontId="0" fillId="0" borderId="54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44" fontId="0" fillId="0" borderId="45" xfId="1" applyFont="1" applyBorder="1" applyAlignment="1">
      <alignment vertical="center"/>
    </xf>
    <xf numFmtId="0" fontId="4" fillId="0" borderId="51" xfId="1" applyNumberFormat="1" applyFont="1" applyBorder="1" applyAlignment="1">
      <alignment horizontal="center" vertical="center"/>
    </xf>
    <xf numFmtId="0" fontId="0" fillId="0" borderId="58" xfId="0" applyBorder="1" applyAlignment="1">
      <alignment horizontal="right" vertical="center"/>
    </xf>
    <xf numFmtId="0" fontId="0" fillId="0" borderId="59" xfId="0" applyBorder="1"/>
    <xf numFmtId="0" fontId="0" fillId="10" borderId="45" xfId="0" applyFill="1" applyBorder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33" xfId="0" applyBorder="1" applyAlignment="1">
      <alignment horizontal="right" vertical="center"/>
    </xf>
    <xf numFmtId="0" fontId="0" fillId="0" borderId="32" xfId="0" applyBorder="1"/>
    <xf numFmtId="0" fontId="0" fillId="0" borderId="44" xfId="0" applyBorder="1"/>
    <xf numFmtId="0" fontId="0" fillId="0" borderId="60" xfId="0" applyBorder="1" applyAlignment="1">
      <alignment horizontal="right" vertical="center"/>
    </xf>
    <xf numFmtId="0" fontId="0" fillId="0" borderId="54" xfId="0" applyBorder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44" fontId="0" fillId="11" borderId="56" xfId="1" applyFont="1" applyFill="1" applyBorder="1" applyAlignment="1">
      <alignment vertical="center"/>
    </xf>
    <xf numFmtId="44" fontId="3" fillId="11" borderId="3" xfId="1" applyFont="1" applyFill="1" applyBorder="1" applyAlignmen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11" borderId="0" xfId="0" applyFill="1"/>
    <xf numFmtId="0" fontId="3" fillId="11" borderId="56" xfId="0" applyFont="1" applyFill="1" applyBorder="1"/>
    <xf numFmtId="0" fontId="3" fillId="0" borderId="6" xfId="0" applyFont="1" applyBorder="1" applyAlignment="1">
      <alignment horizontal="right" vertical="center"/>
    </xf>
    <xf numFmtId="0" fontId="3" fillId="0" borderId="56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56" xfId="0" applyFont="1" applyFill="1" applyBorder="1" applyAlignment="1">
      <alignment horizontal="center" vertical="center"/>
    </xf>
    <xf numFmtId="44" fontId="3" fillId="11" borderId="3" xfId="1" applyFont="1" applyFill="1" applyBorder="1" applyAlignment="1">
      <alignment horizontal="center" vertical="center"/>
    </xf>
    <xf numFmtId="0" fontId="3" fillId="0" borderId="6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44" fontId="3" fillId="11" borderId="3" xfId="0" applyNumberFormat="1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0" fillId="9" borderId="6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84" xfId="0" applyFill="1" applyBorder="1" applyAlignment="1">
      <alignment horizontal="center" vertical="center"/>
    </xf>
    <xf numFmtId="0" fontId="0" fillId="9" borderId="85" xfId="0" applyFill="1" applyBorder="1" applyAlignment="1">
      <alignment horizontal="center" vertical="center"/>
    </xf>
    <xf numFmtId="0" fontId="0" fillId="0" borderId="6" xfId="0" applyBorder="1" applyAlignment="1">
      <alignment textRotation="90"/>
    </xf>
    <xf numFmtId="0" fontId="3" fillId="12" borderId="8" xfId="0" applyFont="1" applyFill="1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3" fillId="12" borderId="66" xfId="0" applyFon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38" xfId="0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81" xfId="0" applyFont="1" applyFill="1" applyBorder="1" applyAlignment="1">
      <alignment horizontal="center"/>
    </xf>
    <xf numFmtId="0" fontId="0" fillId="12" borderId="84" xfId="0" applyFill="1" applyBorder="1" applyAlignment="1">
      <alignment horizontal="center" vertical="center"/>
    </xf>
    <xf numFmtId="0" fontId="3" fillId="12" borderId="82" xfId="0" applyFont="1" applyFill="1" applyBorder="1" applyAlignment="1">
      <alignment horizontal="center"/>
    </xf>
    <xf numFmtId="0" fontId="0" fillId="12" borderId="78" xfId="0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/>
    </xf>
    <xf numFmtId="0" fontId="0" fillId="12" borderId="45" xfId="0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/>
    </xf>
    <xf numFmtId="0" fontId="0" fillId="12" borderId="68" xfId="0" applyFill="1" applyBorder="1" applyAlignment="1">
      <alignment horizontal="center" vertical="center"/>
    </xf>
    <xf numFmtId="0" fontId="3" fillId="12" borderId="39" xfId="0" applyFont="1" applyFill="1" applyBorder="1" applyAlignment="1">
      <alignment horizontal="center"/>
    </xf>
    <xf numFmtId="0" fontId="0" fillId="12" borderId="35" xfId="0" applyFill="1" applyBorder="1" applyAlignment="1">
      <alignment horizontal="center" vertical="center"/>
    </xf>
    <xf numFmtId="0" fontId="3" fillId="12" borderId="65" xfId="0" applyFont="1" applyFill="1" applyBorder="1" applyAlignment="1">
      <alignment horizontal="center"/>
    </xf>
    <xf numFmtId="0" fontId="3" fillId="12" borderId="67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57" xfId="0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2" borderId="45" xfId="0" applyFont="1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3" fillId="12" borderId="71" xfId="0" applyFont="1" applyFill="1" applyBorder="1" applyAlignment="1">
      <alignment horizontal="center" vertical="center"/>
    </xf>
    <xf numFmtId="0" fontId="0" fillId="9" borderId="90" xfId="0" applyFill="1" applyBorder="1" applyAlignment="1">
      <alignment horizontal="center" vertical="center"/>
    </xf>
    <xf numFmtId="0" fontId="0" fillId="9" borderId="91" xfId="0" applyFill="1" applyBorder="1" applyAlignment="1">
      <alignment horizontal="center" vertical="center"/>
    </xf>
    <xf numFmtId="0" fontId="0" fillId="9" borderId="92" xfId="0" applyFill="1" applyBorder="1" applyAlignment="1">
      <alignment horizontal="center" vertical="center"/>
    </xf>
    <xf numFmtId="0" fontId="0" fillId="12" borderId="93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94" xfId="0" applyFill="1" applyBorder="1" applyAlignment="1">
      <alignment horizontal="center" vertical="center"/>
    </xf>
    <xf numFmtId="44" fontId="0" fillId="12" borderId="76" xfId="1" applyFont="1" applyFill="1" applyBorder="1" applyAlignment="1">
      <alignment vertical="center"/>
    </xf>
    <xf numFmtId="44" fontId="3" fillId="7" borderId="48" xfId="1" applyFont="1" applyFill="1" applyBorder="1" applyAlignment="1">
      <alignment horizontal="center" vertical="center"/>
    </xf>
    <xf numFmtId="44" fontId="0" fillId="0" borderId="32" xfId="1" applyFont="1" applyFill="1" applyBorder="1" applyAlignment="1">
      <alignment horizontal="center" vertical="center"/>
    </xf>
    <xf numFmtId="44" fontId="0" fillId="0" borderId="32" xfId="1" applyFont="1" applyBorder="1" applyAlignment="1">
      <alignment horizontal="center" vertical="center"/>
    </xf>
    <xf numFmtId="44" fontId="0" fillId="0" borderId="54" xfId="1" applyFont="1" applyBorder="1" applyAlignment="1">
      <alignment horizontal="center" vertical="center"/>
    </xf>
    <xf numFmtId="0" fontId="3" fillId="12" borderId="30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3" fillId="12" borderId="38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44" fontId="3" fillId="7" borderId="76" xfId="1" applyFont="1" applyFill="1" applyBorder="1" applyAlignment="1">
      <alignment horizontal="center" vertical="center"/>
    </xf>
    <xf numFmtId="0" fontId="0" fillId="2" borderId="98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10" borderId="98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0" fillId="10" borderId="99" xfId="0" applyFill="1" applyBorder="1" applyAlignment="1">
      <alignment horizontal="center" vertical="center"/>
    </xf>
    <xf numFmtId="0" fontId="0" fillId="10" borderId="95" xfId="0" applyFill="1" applyBorder="1" applyAlignment="1">
      <alignment horizontal="center" vertical="center"/>
    </xf>
    <xf numFmtId="0" fontId="0" fillId="2" borderId="100" xfId="0" applyFill="1" applyBorder="1" applyAlignment="1">
      <alignment horizontal="center" vertical="center"/>
    </xf>
    <xf numFmtId="0" fontId="0" fillId="10" borderId="96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3" fillId="12" borderId="101" xfId="0" applyFont="1" applyFill="1" applyBorder="1" applyAlignment="1">
      <alignment horizontal="center"/>
    </xf>
    <xf numFmtId="0" fontId="3" fillId="12" borderId="102" xfId="0" applyFont="1" applyFill="1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0" xfId="0" applyAlignment="1">
      <alignment horizontal="center"/>
    </xf>
    <xf numFmtId="0" fontId="0" fillId="9" borderId="73" xfId="0" applyFill="1" applyBorder="1" applyAlignment="1">
      <alignment horizontal="center" vertical="center"/>
    </xf>
    <xf numFmtId="0" fontId="0" fillId="9" borderId="75" xfId="0" applyFill="1" applyBorder="1" applyAlignment="1">
      <alignment horizontal="center" vertical="center"/>
    </xf>
    <xf numFmtId="0" fontId="0" fillId="9" borderId="80" xfId="0" applyFill="1" applyBorder="1" applyAlignment="1">
      <alignment horizontal="center" vertical="center"/>
    </xf>
    <xf numFmtId="0" fontId="0" fillId="9" borderId="81" xfId="0" applyFill="1" applyBorder="1" applyAlignment="1">
      <alignment horizontal="center" vertical="center"/>
    </xf>
    <xf numFmtId="44" fontId="0" fillId="12" borderId="80" xfId="1" applyFont="1" applyFill="1" applyBorder="1" applyAlignment="1">
      <alignment vertical="center"/>
    </xf>
    <xf numFmtId="44" fontId="0" fillId="12" borderId="82" xfId="1" applyFont="1" applyFill="1" applyBorder="1" applyAlignment="1">
      <alignment vertical="center"/>
    </xf>
    <xf numFmtId="0" fontId="0" fillId="0" borderId="103" xfId="0" applyBorder="1" applyAlignment="1">
      <alignment horizontal="center"/>
    </xf>
    <xf numFmtId="0" fontId="0" fillId="2" borderId="73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12" borderId="80" xfId="0" applyFill="1" applyBorder="1" applyAlignment="1">
      <alignment horizontal="center" vertical="center"/>
    </xf>
    <xf numFmtId="0" fontId="0" fillId="12" borderId="82" xfId="0" applyFill="1" applyBorder="1" applyAlignment="1">
      <alignment horizontal="center" vertical="center"/>
    </xf>
    <xf numFmtId="0" fontId="0" fillId="9" borderId="10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1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15" borderId="97" xfId="0" applyFill="1" applyBorder="1"/>
    <xf numFmtId="0" fontId="0" fillId="15" borderId="5" xfId="0" applyFill="1" applyBorder="1"/>
    <xf numFmtId="0" fontId="3" fillId="0" borderId="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16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44" fontId="0" fillId="3" borderId="97" xfId="1" applyFont="1" applyFill="1" applyBorder="1" applyAlignment="1">
      <alignment horizontal="center"/>
    </xf>
    <xf numFmtId="44" fontId="0" fillId="16" borderId="5" xfId="1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2" applyNumberFormat="1" applyBorder="1" applyAlignment="1">
      <alignment horizontal="left" vertical="center"/>
    </xf>
    <xf numFmtId="0" fontId="0" fillId="17" borderId="1" xfId="0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0" fillId="9" borderId="32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44" fontId="0" fillId="12" borderId="76" xfId="1" applyFont="1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44" fontId="0" fillId="12" borderId="61" xfId="1" applyFont="1" applyFill="1" applyBorder="1" applyAlignment="1">
      <alignment horizontal="center" vertical="center"/>
    </xf>
    <xf numFmtId="44" fontId="0" fillId="12" borderId="31" xfId="1" applyFont="1" applyFill="1" applyBorder="1" applyAlignment="1">
      <alignment horizontal="center" vertical="center"/>
    </xf>
    <xf numFmtId="44" fontId="0" fillId="12" borderId="39" xfId="1" applyFont="1" applyFill="1" applyBorder="1" applyAlignment="1">
      <alignment horizontal="center" vertical="center"/>
    </xf>
    <xf numFmtId="44" fontId="0" fillId="0" borderId="25" xfId="1" applyFont="1" applyFill="1" applyBorder="1" applyAlignment="1">
      <alignment horizontal="center" vertical="center"/>
    </xf>
    <xf numFmtId="44" fontId="0" fillId="12" borderId="63" xfId="1" applyFont="1" applyFill="1" applyBorder="1" applyAlignment="1">
      <alignment horizontal="center" vertical="center"/>
    </xf>
    <xf numFmtId="44" fontId="0" fillId="12" borderId="79" xfId="1" applyFont="1" applyFill="1" applyBorder="1" applyAlignment="1">
      <alignment horizontal="center" vertical="center"/>
    </xf>
    <xf numFmtId="44" fontId="0" fillId="12" borderId="22" xfId="1" applyFont="1" applyFill="1" applyBorder="1" applyAlignment="1">
      <alignment horizontal="center" vertical="center"/>
    </xf>
    <xf numFmtId="44" fontId="0" fillId="12" borderId="0" xfId="1" applyFont="1" applyFill="1" applyBorder="1" applyAlignment="1">
      <alignment vertical="center"/>
    </xf>
    <xf numFmtId="44" fontId="0" fillId="12" borderId="86" xfId="1" applyFont="1" applyFill="1" applyBorder="1" applyAlignment="1">
      <alignment vertical="center"/>
    </xf>
    <xf numFmtId="44" fontId="0" fillId="12" borderId="108" xfId="1" applyFont="1" applyFill="1" applyBorder="1" applyAlignment="1">
      <alignment vertical="center"/>
    </xf>
    <xf numFmtId="44" fontId="0" fillId="12" borderId="21" xfId="1" applyFont="1" applyFill="1" applyBorder="1" applyAlignment="1">
      <alignment horizontal="center" vertical="center"/>
    </xf>
    <xf numFmtId="44" fontId="0" fillId="12" borderId="106" xfId="1" applyFont="1" applyFill="1" applyBorder="1" applyAlignment="1">
      <alignment horizontal="center" vertical="center"/>
    </xf>
    <xf numFmtId="44" fontId="0" fillId="12" borderId="62" xfId="1" applyFont="1" applyFill="1" applyBorder="1" applyAlignment="1">
      <alignment horizontal="center" vertical="center"/>
    </xf>
    <xf numFmtId="44" fontId="0" fillId="12" borderId="107" xfId="1" applyFont="1" applyFill="1" applyBorder="1" applyAlignment="1">
      <alignment horizontal="center" vertical="center"/>
    </xf>
    <xf numFmtId="44" fontId="0" fillId="12" borderId="104" xfId="1" applyFont="1" applyFill="1" applyBorder="1" applyAlignment="1">
      <alignment horizontal="center" vertical="center"/>
    </xf>
    <xf numFmtId="44" fontId="0" fillId="12" borderId="108" xfId="1" applyFont="1" applyFill="1" applyBorder="1" applyAlignment="1">
      <alignment horizontal="center" vertical="center"/>
    </xf>
    <xf numFmtId="44" fontId="0" fillId="12" borderId="64" xfId="1" applyFont="1" applyFill="1" applyBorder="1" applyAlignment="1">
      <alignment horizontal="center" vertical="center"/>
    </xf>
    <xf numFmtId="0" fontId="0" fillId="9" borderId="84" xfId="0" applyFill="1" applyBorder="1" applyAlignment="1">
      <alignment horizontal="center" vertical="center"/>
    </xf>
    <xf numFmtId="44" fontId="0" fillId="12" borderId="109" xfId="1" applyFont="1" applyFill="1" applyBorder="1" applyAlignment="1">
      <alignment horizontal="center" vertical="center"/>
    </xf>
    <xf numFmtId="44" fontId="0" fillId="12" borderId="89" xfId="1" applyFont="1" applyFill="1" applyBorder="1" applyAlignment="1">
      <alignment horizontal="center" vertical="center"/>
    </xf>
    <xf numFmtId="0" fontId="3" fillId="12" borderId="88" xfId="0" applyFont="1" applyFill="1" applyBorder="1" applyAlignment="1">
      <alignment vertical="center"/>
    </xf>
    <xf numFmtId="0" fontId="3" fillId="12" borderId="110" xfId="0" applyFont="1" applyFill="1" applyBorder="1" applyAlignment="1">
      <alignment horizontal="center"/>
    </xf>
    <xf numFmtId="0" fontId="0" fillId="9" borderId="69" xfId="0" applyFill="1" applyBorder="1" applyAlignment="1">
      <alignment vertical="center"/>
    </xf>
    <xf numFmtId="164" fontId="0" fillId="0" borderId="0" xfId="0" applyNumberFormat="1"/>
    <xf numFmtId="44" fontId="0" fillId="3" borderId="111" xfId="1" applyFont="1" applyFill="1" applyBorder="1" applyAlignment="1">
      <alignment horizontal="center"/>
    </xf>
    <xf numFmtId="0" fontId="6" fillId="18" borderId="112" xfId="0" applyFont="1" applyFill="1" applyBorder="1"/>
    <xf numFmtId="44" fontId="0" fillId="19" borderId="111" xfId="1" applyFont="1" applyFill="1" applyBorder="1" applyAlignment="1">
      <alignment horizontal="center"/>
    </xf>
    <xf numFmtId="0" fontId="10" fillId="20" borderId="112" xfId="0" applyFont="1" applyFill="1" applyBorder="1"/>
    <xf numFmtId="0" fontId="3" fillId="12" borderId="113" xfId="0" applyFont="1" applyFill="1" applyBorder="1" applyAlignment="1">
      <alignment horizontal="center"/>
    </xf>
    <xf numFmtId="0" fontId="3" fillId="12" borderId="107" xfId="0" applyFont="1" applyFill="1" applyBorder="1" applyAlignment="1">
      <alignment horizontal="center"/>
    </xf>
    <xf numFmtId="44" fontId="0" fillId="12" borderId="8" xfId="1" applyFont="1" applyFill="1" applyBorder="1" applyAlignment="1">
      <alignment vertical="center"/>
    </xf>
    <xf numFmtId="44" fontId="0" fillId="12" borderId="87" xfId="1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05" xfId="0" applyFill="1" applyBorder="1" applyAlignment="1">
      <alignment horizontal="center" vertical="center"/>
    </xf>
    <xf numFmtId="0" fontId="0" fillId="12" borderId="116" xfId="0" applyFill="1" applyBorder="1" applyAlignment="1">
      <alignment horizontal="center" vertical="center"/>
    </xf>
    <xf numFmtId="44" fontId="0" fillId="12" borderId="86" xfId="1" applyFont="1" applyFill="1" applyBorder="1" applyAlignment="1">
      <alignment horizontal="center" vertical="center"/>
    </xf>
    <xf numFmtId="0" fontId="0" fillId="12" borderId="118" xfId="0" applyFill="1" applyBorder="1" applyAlignment="1">
      <alignment horizontal="center" vertical="center"/>
    </xf>
    <xf numFmtId="0" fontId="0" fillId="12" borderId="92" xfId="0" applyFill="1" applyBorder="1" applyAlignment="1">
      <alignment horizontal="center" vertical="center"/>
    </xf>
    <xf numFmtId="44" fontId="0" fillId="12" borderId="67" xfId="1" applyFont="1" applyFill="1" applyBorder="1" applyAlignment="1">
      <alignment horizontal="center" vertical="center"/>
    </xf>
    <xf numFmtId="0" fontId="3" fillId="12" borderId="76" xfId="0" applyFont="1" applyFill="1" applyBorder="1" applyAlignment="1">
      <alignment horizontal="center" vertical="center"/>
    </xf>
    <xf numFmtId="0" fontId="3" fillId="12" borderId="100" xfId="0" applyFont="1" applyFill="1" applyBorder="1" applyAlignment="1">
      <alignment horizontal="center" vertical="center"/>
    </xf>
    <xf numFmtId="0" fontId="3" fillId="12" borderId="96" xfId="0" applyFont="1" applyFill="1" applyBorder="1" applyAlignment="1">
      <alignment horizontal="center" vertical="center"/>
    </xf>
    <xf numFmtId="0" fontId="6" fillId="22" borderId="73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/>
    </xf>
    <xf numFmtId="44" fontId="0" fillId="24" borderId="117" xfId="1" applyFont="1" applyFill="1" applyBorder="1" applyAlignment="1">
      <alignment horizontal="center" vertical="center"/>
    </xf>
    <xf numFmtId="44" fontId="0" fillId="24" borderId="119" xfId="1" applyFont="1" applyFill="1" applyBorder="1" applyAlignment="1">
      <alignment horizontal="center" vertical="center"/>
    </xf>
    <xf numFmtId="44" fontId="0" fillId="24" borderId="120" xfId="1" applyFont="1" applyFill="1" applyBorder="1" applyAlignment="1">
      <alignment horizontal="center" vertical="center"/>
    </xf>
    <xf numFmtId="44" fontId="0" fillId="24" borderId="21" xfId="1" applyFont="1" applyFill="1" applyBorder="1" applyAlignment="1">
      <alignment horizontal="center" vertical="center"/>
    </xf>
    <xf numFmtId="44" fontId="0" fillId="0" borderId="0" xfId="0" applyNumberFormat="1"/>
    <xf numFmtId="0" fontId="0" fillId="10" borderId="108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44" fontId="0" fillId="24" borderId="64" xfId="1" applyFont="1" applyFill="1" applyBorder="1" applyAlignment="1">
      <alignment horizontal="center" vertical="center"/>
    </xf>
    <xf numFmtId="44" fontId="0" fillId="24" borderId="79" xfId="1" applyFont="1" applyFill="1" applyBorder="1" applyAlignment="1">
      <alignment horizontal="center" vertical="center"/>
    </xf>
    <xf numFmtId="0" fontId="3" fillId="19" borderId="105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10" borderId="56" xfId="0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/>
    </xf>
    <xf numFmtId="164" fontId="0" fillId="12" borderId="17" xfId="0" applyNumberFormat="1" applyFill="1" applyBorder="1" applyAlignment="1">
      <alignment horizontal="center"/>
    </xf>
    <xf numFmtId="44" fontId="0" fillId="0" borderId="59" xfId="1" applyFont="1" applyFill="1" applyBorder="1" applyAlignment="1">
      <alignment horizontal="center" vertical="center"/>
    </xf>
    <xf numFmtId="0" fontId="3" fillId="19" borderId="80" xfId="0" applyFont="1" applyFill="1" applyBorder="1" applyAlignment="1">
      <alignment horizontal="center"/>
    </xf>
    <xf numFmtId="0" fontId="3" fillId="19" borderId="81" xfId="0" applyFont="1" applyFill="1" applyBorder="1" applyAlignment="1">
      <alignment horizontal="center"/>
    </xf>
    <xf numFmtId="0" fontId="3" fillId="19" borderId="82" xfId="0" applyFont="1" applyFill="1" applyBorder="1" applyAlignment="1">
      <alignment horizontal="center" vertical="center"/>
    </xf>
    <xf numFmtId="0" fontId="0" fillId="9" borderId="74" xfId="0" applyFill="1" applyBorder="1" applyAlignment="1">
      <alignment horizontal="center" vertical="center"/>
    </xf>
    <xf numFmtId="0" fontId="0" fillId="19" borderId="80" xfId="0" applyFill="1" applyBorder="1" applyAlignment="1">
      <alignment horizontal="center"/>
    </xf>
    <xf numFmtId="0" fontId="0" fillId="19" borderId="81" xfId="0" applyFill="1" applyBorder="1" applyAlignment="1">
      <alignment horizontal="center"/>
    </xf>
    <xf numFmtId="0" fontId="0" fillId="19" borderId="81" xfId="0" applyFill="1" applyBorder="1" applyAlignment="1">
      <alignment horizontal="center" vertical="center"/>
    </xf>
    <xf numFmtId="0" fontId="0" fillId="19" borderId="82" xfId="0" applyFill="1" applyBorder="1" applyAlignment="1">
      <alignment horizontal="center" vertical="center"/>
    </xf>
    <xf numFmtId="44" fontId="0" fillId="19" borderId="73" xfId="1" applyFont="1" applyFill="1" applyBorder="1" applyAlignment="1">
      <alignment horizontal="center" vertical="center"/>
    </xf>
    <xf numFmtId="44" fontId="0" fillId="19" borderId="74" xfId="1" applyFont="1" applyFill="1" applyBorder="1" applyAlignment="1">
      <alignment horizontal="center" vertical="center"/>
    </xf>
    <xf numFmtId="44" fontId="0" fillId="19" borderId="75" xfId="1" applyFont="1" applyFill="1" applyBorder="1" applyAlignment="1">
      <alignment horizontal="center" vertical="center"/>
    </xf>
    <xf numFmtId="44" fontId="0" fillId="2" borderId="101" xfId="1" applyFont="1" applyFill="1" applyBorder="1" applyAlignment="1">
      <alignment horizontal="center" vertical="center"/>
    </xf>
    <xf numFmtId="44" fontId="0" fillId="0" borderId="122" xfId="1" applyFont="1" applyFill="1" applyBorder="1" applyAlignment="1">
      <alignment horizontal="center" vertical="center"/>
    </xf>
    <xf numFmtId="44" fontId="0" fillId="0" borderId="122" xfId="1" applyFont="1" applyBorder="1" applyAlignment="1">
      <alignment horizontal="center" vertical="center"/>
    </xf>
    <xf numFmtId="44" fontId="0" fillId="0" borderId="102" xfId="1" applyFont="1" applyFill="1" applyBorder="1" applyAlignment="1">
      <alignment horizontal="center" vertical="center"/>
    </xf>
    <xf numFmtId="44" fontId="0" fillId="19" borderId="123" xfId="1" applyFont="1" applyFill="1" applyBorder="1" applyAlignment="1">
      <alignment vertical="center"/>
    </xf>
    <xf numFmtId="44" fontId="0" fillId="19" borderId="103" xfId="1" applyFont="1" applyFill="1" applyBorder="1" applyAlignment="1">
      <alignment vertical="center"/>
    </xf>
    <xf numFmtId="44" fontId="0" fillId="19" borderId="124" xfId="1" applyFont="1" applyFill="1" applyBorder="1" applyAlignment="1">
      <alignment vertical="center"/>
    </xf>
    <xf numFmtId="0" fontId="0" fillId="9" borderId="63" xfId="0" applyFill="1" applyBorder="1" applyAlignment="1">
      <alignment horizontal="center" vertical="center"/>
    </xf>
    <xf numFmtId="0" fontId="0" fillId="9" borderId="79" xfId="0" applyFill="1" applyBorder="1" applyAlignment="1">
      <alignment horizontal="center" vertical="center"/>
    </xf>
    <xf numFmtId="0" fontId="0" fillId="25" borderId="32" xfId="0" applyFill="1" applyBorder="1" applyAlignment="1">
      <alignment horizontal="center"/>
    </xf>
    <xf numFmtId="44" fontId="0" fillId="25" borderId="59" xfId="1" applyFont="1" applyFill="1" applyBorder="1" applyAlignment="1">
      <alignment horizontal="center" vertical="center"/>
    </xf>
    <xf numFmtId="44" fontId="0" fillId="25" borderId="76" xfId="1" applyFont="1" applyFill="1" applyBorder="1" applyAlignment="1">
      <alignment vertical="center"/>
    </xf>
    <xf numFmtId="0" fontId="0" fillId="26" borderId="19" xfId="0" applyFill="1" applyBorder="1" applyAlignment="1">
      <alignment horizontal="center" vertical="center"/>
    </xf>
    <xf numFmtId="44" fontId="0" fillId="26" borderId="59" xfId="1" applyFont="1" applyFill="1" applyBorder="1" applyAlignment="1">
      <alignment horizontal="center" vertical="center"/>
    </xf>
    <xf numFmtId="44" fontId="0" fillId="26" borderId="76" xfId="1" applyFont="1" applyFill="1" applyBorder="1" applyAlignment="1">
      <alignment vertical="center"/>
    </xf>
    <xf numFmtId="0" fontId="0" fillId="25" borderId="59" xfId="0" applyFill="1" applyBorder="1" applyAlignment="1">
      <alignment horizontal="center"/>
    </xf>
    <xf numFmtId="44" fontId="0" fillId="25" borderId="77" xfId="1" applyFont="1" applyFill="1" applyBorder="1" applyAlignment="1">
      <alignment vertical="center"/>
    </xf>
    <xf numFmtId="0" fontId="3" fillId="27" borderId="6" xfId="0" applyFont="1" applyFill="1" applyBorder="1" applyAlignment="1">
      <alignment horizontal="center" vertical="center"/>
    </xf>
    <xf numFmtId="0" fontId="3" fillId="27" borderId="19" xfId="0" applyFont="1" applyFill="1" applyBorder="1" applyAlignment="1">
      <alignment horizontal="center"/>
    </xf>
    <xf numFmtId="0" fontId="0" fillId="27" borderId="32" xfId="0" applyFill="1" applyBorder="1" applyAlignment="1">
      <alignment horizontal="center"/>
    </xf>
    <xf numFmtId="0" fontId="3" fillId="27" borderId="57" xfId="0" applyFont="1" applyFill="1" applyBorder="1" applyAlignment="1">
      <alignment horizontal="center"/>
    </xf>
    <xf numFmtId="44" fontId="0" fillId="27" borderId="59" xfId="1" applyFont="1" applyFill="1" applyBorder="1" applyAlignment="1">
      <alignment horizontal="center" vertical="center"/>
    </xf>
    <xf numFmtId="44" fontId="0" fillId="27" borderId="76" xfId="1" applyFont="1" applyFill="1" applyBorder="1" applyAlignment="1">
      <alignment vertical="center"/>
    </xf>
    <xf numFmtId="0" fontId="3" fillId="25" borderId="8" xfId="0" applyFont="1" applyFill="1" applyBorder="1" applyAlignment="1">
      <alignment horizontal="center" vertical="center"/>
    </xf>
    <xf numFmtId="0" fontId="3" fillId="25" borderId="17" xfId="0" applyFont="1" applyFill="1" applyBorder="1" applyAlignment="1">
      <alignment horizontal="center" vertical="center"/>
    </xf>
    <xf numFmtId="0" fontId="3" fillId="25" borderId="49" xfId="0" applyFont="1" applyFill="1" applyBorder="1" applyAlignment="1">
      <alignment horizontal="center"/>
    </xf>
    <xf numFmtId="0" fontId="3" fillId="25" borderId="18" xfId="0" applyFont="1" applyFill="1" applyBorder="1" applyAlignment="1">
      <alignment horizontal="center"/>
    </xf>
    <xf numFmtId="44" fontId="0" fillId="0" borderId="16" xfId="0" applyNumberFormat="1" applyBorder="1" applyAlignment="1">
      <alignment horizontal="center" vertical="center"/>
    </xf>
    <xf numFmtId="44" fontId="0" fillId="0" borderId="19" xfId="0" applyNumberFormat="1" applyBorder="1" applyAlignment="1">
      <alignment horizontal="center"/>
    </xf>
    <xf numFmtId="44" fontId="0" fillId="0" borderId="19" xfId="0" applyNumberFormat="1" applyBorder="1" applyAlignment="1">
      <alignment horizontal="center" vertical="center"/>
    </xf>
    <xf numFmtId="44" fontId="0" fillId="0" borderId="24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textRotation="90"/>
    </xf>
    <xf numFmtId="0" fontId="3" fillId="11" borderId="125" xfId="0" applyFont="1" applyFill="1" applyBorder="1" applyAlignment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3" fillId="26" borderId="88" xfId="0" applyFont="1" applyFill="1" applyBorder="1" applyAlignment="1">
      <alignment horizontal="center" vertical="center"/>
    </xf>
    <xf numFmtId="0" fontId="3" fillId="26" borderId="66" xfId="0" applyFont="1" applyFill="1" applyBorder="1" applyAlignment="1">
      <alignment horizontal="center" vertical="center"/>
    </xf>
    <xf numFmtId="0" fontId="3" fillId="26" borderId="89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/>
    </xf>
    <xf numFmtId="0" fontId="0" fillId="26" borderId="127" xfId="0" applyFill="1" applyBorder="1" applyAlignment="1">
      <alignment horizontal="center" vertical="center"/>
    </xf>
    <xf numFmtId="0" fontId="0" fillId="9" borderId="128" xfId="0" applyFill="1" applyBorder="1" applyAlignment="1">
      <alignment horizontal="center" vertical="center"/>
    </xf>
    <xf numFmtId="44" fontId="0" fillId="0" borderId="93" xfId="1" applyFont="1" applyBorder="1" applyAlignment="1">
      <alignment horizontal="center" vertical="center"/>
    </xf>
    <xf numFmtId="44" fontId="0" fillId="26" borderId="93" xfId="1" applyFont="1" applyFill="1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3" fillId="26" borderId="129" xfId="0" applyFont="1" applyFill="1" applyBorder="1" applyAlignment="1">
      <alignment horizontal="center"/>
    </xf>
    <xf numFmtId="0" fontId="0" fillId="26" borderId="68" xfId="0" applyFill="1" applyBorder="1" applyAlignment="1">
      <alignment horizontal="center" vertical="center"/>
    </xf>
    <xf numFmtId="0" fontId="0" fillId="9" borderId="130" xfId="0" applyFill="1" applyBorder="1" applyAlignment="1">
      <alignment horizontal="center" vertical="center"/>
    </xf>
    <xf numFmtId="44" fontId="0" fillId="0" borderId="94" xfId="1" applyFont="1" applyBorder="1" applyAlignment="1">
      <alignment horizontal="center" vertical="center"/>
    </xf>
    <xf numFmtId="0" fontId="3" fillId="27" borderId="35" xfId="0" applyFont="1" applyFill="1" applyBorder="1" applyAlignment="1">
      <alignment horizontal="center"/>
    </xf>
    <xf numFmtId="0" fontId="0" fillId="27" borderId="34" xfId="0" applyFill="1" applyBorder="1" applyAlignment="1">
      <alignment horizontal="center"/>
    </xf>
    <xf numFmtId="44" fontId="0" fillId="0" borderId="34" xfId="1" applyFont="1" applyBorder="1" applyAlignment="1">
      <alignment horizontal="center" vertical="center"/>
    </xf>
    <xf numFmtId="44" fontId="0" fillId="27" borderId="25" xfId="1" applyFont="1" applyFill="1" applyBorder="1" applyAlignment="1">
      <alignment horizontal="center" vertical="center"/>
    </xf>
    <xf numFmtId="0" fontId="0" fillId="10" borderId="100" xfId="0" applyFill="1" applyBorder="1" applyAlignment="1">
      <alignment horizontal="center" vertical="center"/>
    </xf>
    <xf numFmtId="0" fontId="0" fillId="0" borderId="131" xfId="0" applyBorder="1" applyAlignment="1">
      <alignment horizontal="center"/>
    </xf>
    <xf numFmtId="0" fontId="0" fillId="0" borderId="132" xfId="0" applyBorder="1" applyAlignment="1">
      <alignment horizontal="center"/>
    </xf>
    <xf numFmtId="0" fontId="0" fillId="0" borderId="133" xfId="0" applyBorder="1" applyAlignment="1">
      <alignment horizontal="center"/>
    </xf>
    <xf numFmtId="0" fontId="0" fillId="9" borderId="22" xfId="0" applyFill="1" applyBorder="1" applyAlignment="1">
      <alignment horizontal="center" vertical="center"/>
    </xf>
    <xf numFmtId="0" fontId="3" fillId="27" borderId="45" xfId="0" applyFont="1" applyFill="1" applyBorder="1" applyAlignment="1">
      <alignment horizontal="center"/>
    </xf>
    <xf numFmtId="0" fontId="0" fillId="27" borderId="59" xfId="0" applyFill="1" applyBorder="1" applyAlignment="1">
      <alignment horizontal="center"/>
    </xf>
    <xf numFmtId="0" fontId="0" fillId="10" borderId="84" xfId="0" applyFill="1" applyBorder="1" applyAlignment="1">
      <alignment horizontal="center" vertical="center"/>
    </xf>
    <xf numFmtId="0" fontId="0" fillId="9" borderId="134" xfId="0" applyFill="1" applyBorder="1" applyAlignment="1">
      <alignment horizontal="center" vertical="center"/>
    </xf>
    <xf numFmtId="0" fontId="0" fillId="9" borderId="109" xfId="0" applyFill="1" applyBorder="1" applyAlignment="1">
      <alignment horizontal="center" vertical="center"/>
    </xf>
    <xf numFmtId="0" fontId="3" fillId="25" borderId="38" xfId="0" applyFont="1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/>
    </xf>
    <xf numFmtId="44" fontId="0" fillId="25" borderId="25" xfId="1" applyFont="1" applyFill="1" applyBorder="1" applyAlignment="1">
      <alignment horizontal="center" vertical="center"/>
    </xf>
    <xf numFmtId="44" fontId="0" fillId="27" borderId="77" xfId="1" applyFont="1" applyFill="1" applyBorder="1" applyAlignment="1">
      <alignment vertical="center"/>
    </xf>
    <xf numFmtId="44" fontId="0" fillId="27" borderId="135" xfId="1" applyFont="1" applyFill="1" applyBorder="1" applyAlignment="1">
      <alignment vertical="center"/>
    </xf>
    <xf numFmtId="44" fontId="0" fillId="27" borderId="136" xfId="1" applyFont="1" applyFill="1" applyBorder="1" applyAlignment="1">
      <alignment horizontal="center" vertical="center"/>
    </xf>
    <xf numFmtId="44" fontId="0" fillId="27" borderId="137" xfId="1" applyFont="1" applyFill="1" applyBorder="1" applyAlignment="1">
      <alignment vertical="center"/>
    </xf>
    <xf numFmtId="0" fontId="0" fillId="10" borderId="117" xfId="0" applyFill="1" applyBorder="1" applyAlignment="1">
      <alignment horizontal="center" vertical="center"/>
    </xf>
    <xf numFmtId="0" fontId="0" fillId="10" borderId="119" xfId="0" applyFill="1" applyBorder="1" applyAlignment="1">
      <alignment horizontal="center" vertical="center"/>
    </xf>
    <xf numFmtId="44" fontId="0" fillId="27" borderId="139" xfId="1" applyFont="1" applyFill="1" applyBorder="1" applyAlignment="1">
      <alignment horizontal="center" vertical="center"/>
    </xf>
    <xf numFmtId="44" fontId="0" fillId="27" borderId="140" xfId="1" applyFont="1" applyFill="1" applyBorder="1" applyAlignment="1">
      <alignment vertical="center"/>
    </xf>
    <xf numFmtId="0" fontId="0" fillId="10" borderId="120" xfId="0" applyFill="1" applyBorder="1" applyAlignment="1">
      <alignment horizontal="center" vertical="center"/>
    </xf>
    <xf numFmtId="0" fontId="0" fillId="27" borderId="63" xfId="0" applyFill="1" applyBorder="1" applyAlignment="1">
      <alignment horizontal="center"/>
    </xf>
    <xf numFmtId="0" fontId="0" fillId="27" borderId="79" xfId="0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9" borderId="89" xfId="0" applyFill="1" applyBorder="1" applyAlignment="1">
      <alignment horizontal="center" vertical="center"/>
    </xf>
    <xf numFmtId="0" fontId="3" fillId="27" borderId="83" xfId="0" applyFont="1" applyFill="1" applyBorder="1" applyAlignment="1">
      <alignment horizontal="center"/>
    </xf>
    <xf numFmtId="0" fontId="3" fillId="27" borderId="84" xfId="0" applyFont="1" applyFill="1" applyBorder="1" applyAlignment="1">
      <alignment horizontal="center"/>
    </xf>
    <xf numFmtId="0" fontId="3" fillId="27" borderId="78" xfId="0" applyFont="1" applyFill="1" applyBorder="1" applyAlignment="1">
      <alignment horizontal="center"/>
    </xf>
    <xf numFmtId="44" fontId="0" fillId="0" borderId="15" xfId="1" applyFont="1" applyBorder="1" applyAlignment="1">
      <alignment horizontal="center" vertical="center"/>
    </xf>
    <xf numFmtId="44" fontId="0" fillId="0" borderId="21" xfId="1" applyFont="1" applyBorder="1" applyAlignment="1">
      <alignment horizontal="center" vertical="center"/>
    </xf>
    <xf numFmtId="0" fontId="3" fillId="28" borderId="88" xfId="0" applyFont="1" applyFill="1" applyBorder="1" applyAlignment="1">
      <alignment horizontal="center" vertical="center"/>
    </xf>
    <xf numFmtId="0" fontId="3" fillId="28" borderId="121" xfId="0" applyFont="1" applyFill="1" applyBorder="1" applyAlignment="1">
      <alignment horizontal="center"/>
    </xf>
    <xf numFmtId="0" fontId="3" fillId="28" borderId="38" xfId="0" applyFont="1" applyFill="1" applyBorder="1" applyAlignment="1">
      <alignment horizontal="center"/>
    </xf>
    <xf numFmtId="0" fontId="3" fillId="28" borderId="129" xfId="0" applyFont="1" applyFill="1" applyBorder="1" applyAlignment="1">
      <alignment horizontal="center"/>
    </xf>
    <xf numFmtId="0" fontId="0" fillId="28" borderId="85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67" xfId="0" applyFill="1" applyBorder="1" applyAlignment="1">
      <alignment horizontal="center" vertical="center"/>
    </xf>
    <xf numFmtId="44" fontId="0" fillId="26" borderId="25" xfId="1" applyFont="1" applyFill="1" applyBorder="1" applyAlignment="1">
      <alignment horizontal="center" vertical="center"/>
    </xf>
    <xf numFmtId="44" fontId="0" fillId="0" borderId="31" xfId="1" applyFont="1" applyBorder="1" applyAlignment="1">
      <alignment horizontal="center" vertical="center"/>
    </xf>
    <xf numFmtId="44" fontId="0" fillId="0" borderId="67" xfId="1" applyFont="1" applyBorder="1" applyAlignment="1">
      <alignment horizontal="center" vertical="center"/>
    </xf>
    <xf numFmtId="44" fontId="0" fillId="28" borderId="8" xfId="1" applyFont="1" applyFill="1" applyBorder="1" applyAlignment="1">
      <alignment horizontal="center" vertical="center"/>
    </xf>
    <xf numFmtId="44" fontId="0" fillId="28" borderId="88" xfId="1" applyFont="1" applyFill="1" applyBorder="1" applyAlignment="1">
      <alignment vertical="center"/>
    </xf>
    <xf numFmtId="44" fontId="0" fillId="28" borderId="123" xfId="1" applyFont="1" applyFill="1" applyBorder="1" applyAlignment="1">
      <alignment vertical="center"/>
    </xf>
    <xf numFmtId="44" fontId="0" fillId="28" borderId="103" xfId="1" applyFont="1" applyFill="1" applyBorder="1" applyAlignment="1">
      <alignment vertical="center"/>
    </xf>
    <xf numFmtId="44" fontId="0" fillId="28" borderId="124" xfId="1" applyFont="1" applyFill="1" applyBorder="1" applyAlignment="1">
      <alignment vertical="center"/>
    </xf>
    <xf numFmtId="0" fontId="0" fillId="28" borderId="93" xfId="0" applyFill="1" applyBorder="1" applyAlignment="1">
      <alignment horizontal="center" vertical="center"/>
    </xf>
    <xf numFmtId="0" fontId="0" fillId="28" borderId="32" xfId="0" applyFill="1" applyBorder="1" applyAlignment="1">
      <alignment horizontal="center" vertical="center"/>
    </xf>
    <xf numFmtId="0" fontId="0" fillId="28" borderId="94" xfId="0" applyFill="1" applyBorder="1" applyAlignment="1">
      <alignment horizontal="center" vertical="center"/>
    </xf>
    <xf numFmtId="0" fontId="0" fillId="9" borderId="121" xfId="0" applyFill="1" applyBorder="1" applyAlignment="1">
      <alignment horizontal="center" vertical="center"/>
    </xf>
    <xf numFmtId="44" fontId="0" fillId="29" borderId="73" xfId="1" applyFont="1" applyFill="1" applyBorder="1" applyAlignment="1">
      <alignment horizontal="center" vertical="center"/>
    </xf>
    <xf numFmtId="44" fontId="0" fillId="29" borderId="74" xfId="1" applyFont="1" applyFill="1" applyBorder="1" applyAlignment="1">
      <alignment horizontal="center" vertical="center"/>
    </xf>
    <xf numFmtId="44" fontId="0" fillId="29" borderId="75" xfId="1" applyFont="1" applyFill="1" applyBorder="1" applyAlignment="1">
      <alignment horizontal="center" vertical="center"/>
    </xf>
    <xf numFmtId="44" fontId="0" fillId="29" borderId="138" xfId="1" applyFont="1" applyFill="1" applyBorder="1" applyAlignment="1">
      <alignment horizontal="center" vertical="center"/>
    </xf>
    <xf numFmtId="165" fontId="6" fillId="21" borderId="1" xfId="0" applyNumberFormat="1" applyFont="1" applyFill="1" applyBorder="1" applyAlignment="1">
      <alignment horizontal="center"/>
    </xf>
    <xf numFmtId="0" fontId="0" fillId="19" borderId="8" xfId="0" applyFill="1" applyBorder="1" applyAlignment="1">
      <alignment vertical="center" wrapText="1"/>
    </xf>
    <xf numFmtId="0" fontId="0" fillId="19" borderId="17" xfId="0" applyFill="1" applyBorder="1" applyAlignment="1">
      <alignment vertical="center" wrapText="1"/>
    </xf>
    <xf numFmtId="0" fontId="11" fillId="19" borderId="17" xfId="0" applyFont="1" applyFill="1" applyBorder="1" applyAlignment="1">
      <alignment vertical="center" wrapText="1"/>
    </xf>
    <xf numFmtId="0" fontId="11" fillId="30" borderId="17" xfId="0" applyFont="1" applyFill="1" applyBorder="1" applyAlignment="1">
      <alignment vertical="center" wrapText="1"/>
    </xf>
    <xf numFmtId="44" fontId="0" fillId="18" borderId="74" xfId="1" applyFont="1" applyFill="1" applyBorder="1" applyAlignment="1">
      <alignment horizontal="center" vertical="center"/>
    </xf>
    <xf numFmtId="0" fontId="0" fillId="31" borderId="4" xfId="0" applyFill="1" applyBorder="1" applyAlignment="1">
      <alignment horizontal="center"/>
    </xf>
    <xf numFmtId="0" fontId="0" fillId="31" borderId="135" xfId="0" applyFill="1" applyBorder="1" applyAlignment="1">
      <alignment horizontal="center"/>
    </xf>
    <xf numFmtId="0" fontId="0" fillId="31" borderId="53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31" borderId="143" xfId="0" applyFill="1" applyBorder="1" applyAlignment="1">
      <alignment horizontal="center"/>
    </xf>
    <xf numFmtId="0" fontId="0" fillId="0" borderId="0" xfId="0" quotePrefix="1"/>
    <xf numFmtId="165" fontId="0" fillId="0" borderId="1" xfId="0" quotePrefix="1" applyNumberFormat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left" vertical="center"/>
    </xf>
    <xf numFmtId="0" fontId="0" fillId="0" borderId="0" xfId="0" quotePrefix="1" applyAlignment="1">
      <alignment horizontal="center"/>
    </xf>
    <xf numFmtId="0" fontId="3" fillId="26" borderId="6" xfId="0" applyFont="1" applyFill="1" applyBorder="1" applyAlignment="1">
      <alignment horizontal="center"/>
    </xf>
    <xf numFmtId="44" fontId="0" fillId="0" borderId="59" xfId="1" applyFont="1" applyBorder="1" applyAlignment="1">
      <alignment horizontal="center" vertical="center"/>
    </xf>
    <xf numFmtId="0" fontId="3" fillId="26" borderId="144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0" fillId="28" borderId="8" xfId="0" applyFill="1" applyBorder="1" applyAlignment="1">
      <alignment horizontal="center" vertical="center" textRotation="90"/>
    </xf>
    <xf numFmtId="0" fontId="0" fillId="28" borderId="77" xfId="0" applyFill="1" applyBorder="1" applyAlignment="1">
      <alignment horizontal="center" vertical="center" textRotation="90"/>
    </xf>
    <xf numFmtId="0" fontId="0" fillId="28" borderId="78" xfId="0" applyFill="1" applyBorder="1" applyAlignment="1">
      <alignment horizontal="center" vertical="center" textRotation="90"/>
    </xf>
    <xf numFmtId="0" fontId="3" fillId="28" borderId="8" xfId="0" applyFont="1" applyFill="1" applyBorder="1" applyAlignment="1">
      <alignment horizontal="center" vertical="center"/>
    </xf>
    <xf numFmtId="0" fontId="3" fillId="28" borderId="17" xfId="0" applyFont="1" applyFill="1" applyBorder="1" applyAlignment="1">
      <alignment horizontal="center" vertical="center"/>
    </xf>
    <xf numFmtId="0" fontId="3" fillId="28" borderId="22" xfId="0" applyFont="1" applyFill="1" applyBorder="1" applyAlignment="1">
      <alignment horizontal="center" vertical="center"/>
    </xf>
    <xf numFmtId="0" fontId="0" fillId="9" borderId="88" xfId="0" applyFill="1" applyBorder="1" applyAlignment="1">
      <alignment horizontal="center" vertical="center"/>
    </xf>
    <xf numFmtId="0" fontId="0" fillId="9" borderId="66" xfId="0" applyFill="1" applyBorder="1" applyAlignment="1">
      <alignment horizontal="center" vertical="center"/>
    </xf>
    <xf numFmtId="0" fontId="0" fillId="9" borderId="89" xfId="0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7" xfId="0" applyFont="1" applyFill="1" applyBorder="1" applyAlignment="1">
      <alignment horizontal="center" vertical="center"/>
    </xf>
    <xf numFmtId="0" fontId="3" fillId="27" borderId="22" xfId="0" applyFont="1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 textRotation="90"/>
    </xf>
    <xf numFmtId="0" fontId="0" fillId="27" borderId="17" xfId="0" applyFill="1" applyBorder="1" applyAlignment="1">
      <alignment horizontal="center" vertical="center" textRotation="90"/>
    </xf>
    <xf numFmtId="0" fontId="0" fillId="27" borderId="22" xfId="0" applyFill="1" applyBorder="1" applyAlignment="1">
      <alignment horizontal="center" vertical="center" textRotation="90"/>
    </xf>
    <xf numFmtId="0" fontId="0" fillId="9" borderId="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3" fillId="12" borderId="88" xfId="0" applyFont="1" applyFill="1" applyBorder="1" applyAlignment="1">
      <alignment horizontal="center" vertical="center"/>
    </xf>
    <xf numFmtId="0" fontId="3" fillId="12" borderId="89" xfId="0" applyFont="1" applyFill="1" applyBorder="1" applyAlignment="1">
      <alignment horizontal="center" vertical="center"/>
    </xf>
    <xf numFmtId="0" fontId="3" fillId="12" borderId="74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87" xfId="0" applyFill="1" applyBorder="1" applyAlignment="1">
      <alignment horizontal="center" vertical="center"/>
    </xf>
    <xf numFmtId="0" fontId="3" fillId="12" borderId="66" xfId="0" applyFont="1" applyFill="1" applyBorder="1" applyAlignment="1">
      <alignment horizontal="center" vertical="center"/>
    </xf>
    <xf numFmtId="0" fontId="3" fillId="12" borderId="86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87" xfId="0" applyFont="1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85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3" fillId="12" borderId="104" xfId="0" applyFont="1" applyFill="1" applyBorder="1" applyAlignment="1">
      <alignment horizontal="center" vertical="center"/>
    </xf>
    <xf numFmtId="0" fontId="3" fillId="12" borderId="77" xfId="0" applyFont="1" applyFill="1" applyBorder="1" applyAlignment="1">
      <alignment horizontal="center" vertical="center"/>
    </xf>
    <xf numFmtId="0" fontId="3" fillId="12" borderId="78" xfId="0" applyFont="1" applyFill="1" applyBorder="1" applyAlignment="1">
      <alignment horizontal="center" vertical="center"/>
    </xf>
    <xf numFmtId="0" fontId="0" fillId="9" borderId="114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9" borderId="115" xfId="0" applyFill="1" applyBorder="1" applyAlignment="1">
      <alignment horizontal="center" vertical="center"/>
    </xf>
    <xf numFmtId="0" fontId="0" fillId="9" borderId="76" xfId="0" applyFill="1" applyBorder="1" applyAlignment="1">
      <alignment horizontal="center" vertical="center"/>
    </xf>
    <xf numFmtId="0" fontId="0" fillId="9" borderId="77" xfId="0" applyFill="1" applyBorder="1" applyAlignment="1">
      <alignment horizontal="center" vertical="center"/>
    </xf>
    <xf numFmtId="0" fontId="0" fillId="9" borderId="78" xfId="0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/>
    </xf>
    <xf numFmtId="0" fontId="3" fillId="4" borderId="142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 vertical="center" textRotation="90"/>
    </xf>
    <xf numFmtId="0" fontId="5" fillId="12" borderId="17" xfId="0" applyFont="1" applyFill="1" applyBorder="1" applyAlignment="1">
      <alignment horizontal="center" vertical="center" textRotation="90"/>
    </xf>
    <xf numFmtId="0" fontId="0" fillId="25" borderId="76" xfId="0" applyFill="1" applyBorder="1" applyAlignment="1">
      <alignment horizontal="center" vertical="center" textRotation="90" wrapText="1"/>
    </xf>
    <xf numFmtId="0" fontId="0" fillId="25" borderId="77" xfId="0" applyFill="1" applyBorder="1" applyAlignment="1">
      <alignment horizontal="center" vertical="center" textRotation="90" wrapText="1"/>
    </xf>
    <xf numFmtId="0" fontId="0" fillId="26" borderId="8" xfId="0" applyFill="1" applyBorder="1" applyAlignment="1">
      <alignment horizontal="center" vertical="center" textRotation="90"/>
    </xf>
    <xf numFmtId="0" fontId="0" fillId="26" borderId="17" xfId="0" applyFill="1" applyBorder="1" applyAlignment="1">
      <alignment horizontal="center" vertical="center" textRotation="90"/>
    </xf>
    <xf numFmtId="0" fontId="0" fillId="26" borderId="22" xfId="0" applyFill="1" applyBorder="1" applyAlignment="1">
      <alignment horizontal="center" vertical="center" textRotation="90"/>
    </xf>
    <xf numFmtId="0" fontId="0" fillId="19" borderId="8" xfId="0" applyFill="1" applyBorder="1" applyAlignment="1">
      <alignment horizontal="center" vertical="center" textRotation="90" wrapText="1"/>
    </xf>
    <xf numFmtId="0" fontId="0" fillId="19" borderId="17" xfId="0" applyFill="1" applyBorder="1" applyAlignment="1">
      <alignment horizontal="center" vertical="center" textRotation="90" wrapText="1"/>
    </xf>
    <xf numFmtId="0" fontId="0" fillId="26" borderId="8" xfId="0" applyFill="1" applyBorder="1" applyAlignment="1">
      <alignment horizontal="center" vertical="center" textRotation="90" wrapText="1"/>
    </xf>
    <xf numFmtId="0" fontId="0" fillId="26" borderId="17" xfId="0" applyFill="1" applyBorder="1" applyAlignment="1">
      <alignment horizontal="center" vertical="center" textRotation="90" wrapText="1"/>
    </xf>
    <xf numFmtId="0" fontId="0" fillId="26" borderId="22" xfId="0" applyFill="1" applyBorder="1" applyAlignment="1">
      <alignment horizontal="center" vertical="center" textRotation="90" wrapText="1"/>
    </xf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2">
    <dxf>
      <font>
        <color rgb="FF000000"/>
      </font>
      <fill>
        <patternFill patternType="solid">
          <bgColor rgb="FFA9D08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5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112A9023-815E-4F96-A869-312FBDE59E41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4.9762000000000004</v>
    <v>4.9352</v>
    <v>USD</v>
    <v>4.9714</v>
    <v>45070.542986111112</v>
    <v>BRL</v>
    <v>US Dollar/Brazilian Real FX Spot Rate</v>
    <v>4.9714</v>
    <v>4.9408000000000003</v>
    <v>USDBRL</v>
    <v>Par de Moedas</v>
    <v>USD/BRL</v>
    <v>-3.0599999999999999E-2</v>
    <v>-6.1550000000000007E-3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5-10T21:08:13.97" personId="{112A9023-815E-4F96-A869-312FBDE59E41}" id="{446F8300-FC6F-4D65-964C-41FAC21AA4E8}">
    <text>Tem 2 no FIIX sem modelo e fabricante (o que fazer?). Talvez sejam os novos que chegaram</text>
  </threadedComment>
  <threadedComment ref="I5" dT="2023-05-10T21:34:59.52" personId="{112A9023-815E-4F96-A869-312FBDE59E41}" id="{E2BEA570-780D-495D-AC21-D70340A8F60A}">
    <text>Usei como referência a planilha antiga pq não tinha em lugar nenhum a informação de preço</text>
  </threadedComment>
  <threadedComment ref="D9" dT="2023-05-10T21:49:35.22" personId="{112A9023-815E-4F96-A869-312FBDE59E41}" id="{457CCDAF-243A-449E-8A0A-3FA89A40B795}">
    <text>Tem 3 no FIIX sem modelo</text>
  </threadedComment>
  <threadedComment ref="F10" dT="2023-05-10T21:56:57.81" personId="{112A9023-815E-4F96-A869-312FBDE59E41}" id="{FE6D0FA9-86BF-4975-9187-6B62F82EF62D}">
    <text>Só tem 1MHz no FIIX</text>
  </threadedComment>
  <threadedComment ref="D14" dT="2023-05-11T22:00:13.83" personId="{112A9023-815E-4F96-A869-312FBDE59E41}" id="{E5F8773A-DF23-4022-976A-EF093CF96076}">
    <text>Usei dessa planilha. A do Duda não sei se tem a informação de frete, taxa e tudo mais. Aí o dólar está com valor menor</text>
  </threadedComment>
  <threadedComment ref="D21" dT="2023-05-11T23:06:47.99" personId="{112A9023-815E-4F96-A869-312FBDE59E41}" id="{2C4E88B7-2E2F-4C3A-A9C1-EE95470505AA}">
    <text>Tem 2 lá no FIIX a mais do que os modelos cadastrados. O ECO-BB-RTD da SEABIRD e o NTURTD da WetLabs</text>
  </threadedComment>
  <threadedComment ref="K22" dT="2023-05-11T23:16:54.60" personId="{112A9023-815E-4F96-A869-312FBDE59E41}" id="{5E7ABA16-2E4C-4929-AF81-0182ABFE825C}">
    <text>Tem 2 modelos, de 12 e 24 garrafas. Mas só tem o preço como se fosse uma coisa só</text>
  </threadedComment>
  <threadedComment ref="D23" dT="2023-05-11T23:26:03.00" personId="{112A9023-815E-4F96-A869-312FBDE59E41}" id="{B50DB62C-63A0-400B-8867-45706F62CACE}">
    <text>Está faltando saber o preço para os fabricantes: GILL e WHEATHERPAK. Tem um Anemômetro de cada um desses 2 fabricantes.</text>
  </threadedComment>
  <threadedComment ref="K23" dT="2023-05-11T23:28:05.86" personId="{112A9023-815E-4F96-A869-312FBDE59E41}" id="{79C7C79C-8FA3-4632-AF6B-3875AAD960E2}">
    <text>Está faltando orçar para + 2 fabricantes</text>
  </threadedComment>
  <threadedComment ref="D53" dT="2023-05-22T22:25:56.45" personId="{112A9023-815E-4F96-A869-312FBDE59E41}" id="{CB78D9E0-8665-485E-A01F-F01318BFFD2F}">
    <text>TODAS QUE SERVEM PRA TUDO DESSA UNIDADE</text>
  </threadedComment>
  <threadedComment ref="F53" dT="2023-05-22T22:28:59.97" personId="{112A9023-815E-4F96-A869-312FBDE59E41}" id="{2A8D444B-759F-46FD-9754-B166ECBCE747}" done="1">
    <text xml:space="preserve">Conferir amanhã
</text>
  </threadedComment>
  <threadedComment ref="D54" dT="2023-05-22T22:25:32.30" personId="{112A9023-815E-4F96-A869-312FBDE59E41}" id="{9D421309-5281-4347-B7A4-61D5A3781DD7}">
    <text>LD5 e LD3</text>
  </threadedComment>
  <threadedComment ref="F54" dT="2023-05-22T22:29:22.95" personId="{112A9023-815E-4F96-A869-312FBDE59E41}" id="{B4785883-0545-4456-82FB-294303FDF34F}">
    <text>Baseado no FIIX</text>
  </threadedComment>
  <threadedComment ref="D56" dT="2023-05-22T20:40:06.89" personId="{112A9023-815E-4F96-A869-312FBDE59E41}" id="{DC207648-8F6C-46AD-AF1C-414A7ABAC353}">
    <text>MRU5 e DMS-25</text>
  </threadedComment>
  <threadedComment ref="G59" dT="2023-05-22T22:30:58.78" personId="{112A9023-815E-4F96-A869-312FBDE59E41}" id="{BC9EA0D5-9094-4EE6-AA74-6C66C410F2EA}">
    <text>Quantidade bate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" dT="2023-05-16T20:08:11.96" personId="{112A9023-815E-4F96-A869-312FBDE59E41}" id="{34CCB0CF-67FB-48EF-AB9B-0B0EE5ABD7AB}">
    <text>extrapolação do OS de 150KHz</text>
  </threadedComment>
  <threadedComment ref="F5" dT="2023-05-10T22:11:44.06" personId="{112A9023-815E-4F96-A869-312FBDE59E41}" id="{674BE83A-8C57-4509-B716-D625AE3ADF11}">
    <text>Tem que conferir a qtd</text>
  </threadedComment>
  <threadedComment ref="F21" dT="2023-05-11T23:22:50.37" personId="{112A9023-815E-4F96-A869-312FBDE59E41}" id="{77C2FA0E-55B1-443B-B1CA-7B883B68AC08}">
    <text>Bati com o FIIX. São os sem estar para descarte e não operacional</text>
  </threadedComment>
  <threadedComment ref="F29" dT="2023-05-10T21:41:10.28" personId="{112A9023-815E-4F96-A869-312FBDE59E41}" id="{AC063E94-F68D-434A-916F-5CFC212FB63E}">
    <text>DW + DW Titanium 6000m + DW 6000m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microsoft.com/office/2017/10/relationships/threadedComment" Target="../threadedComments/threadedComment2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comments" Target="../comments2.x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https://www.produtosparalaboratorios.com.br/micropipeta-monocanal-de-volume-variavel-olen-K1-1000C-" TargetMode="Externa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8AB3-6C83-4D84-8EF0-0A971BA70248}">
  <dimension ref="A1:AE61"/>
  <sheetViews>
    <sheetView topLeftCell="A21" workbookViewId="0"/>
  </sheetViews>
  <sheetFormatPr defaultRowHeight="13.2" x14ac:dyDescent="0.25"/>
  <cols>
    <col min="1" max="1" width="32.88671875" customWidth="1"/>
    <col min="2" max="2" width="32.6640625" bestFit="1" customWidth="1"/>
    <col min="3" max="3" width="36.33203125" customWidth="1"/>
    <col min="4" max="4" width="16.5546875" customWidth="1"/>
    <col min="5" max="18" width="0" hidden="1" customWidth="1"/>
    <col min="19" max="19" width="19.33203125" customWidth="1"/>
    <col min="20" max="28" width="0" hidden="1" customWidth="1"/>
    <col min="29" max="29" width="12.88671875" customWidth="1"/>
    <col min="31" max="31" width="15" customWidth="1"/>
  </cols>
  <sheetData>
    <row r="1" spans="1:31" ht="14.4" x14ac:dyDescent="0.3">
      <c r="A1" s="5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8" t="s">
        <v>12</v>
      </c>
      <c r="O1" s="9" t="s">
        <v>13</v>
      </c>
      <c r="P1" s="9" t="s">
        <v>14</v>
      </c>
      <c r="Q1" s="10" t="s">
        <v>15</v>
      </c>
      <c r="R1" s="11" t="s">
        <v>16</v>
      </c>
      <c r="S1" s="12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4" t="s">
        <v>3</v>
      </c>
      <c r="AB1" s="15" t="s">
        <v>25</v>
      </c>
      <c r="AC1" s="16" t="s">
        <v>26</v>
      </c>
    </row>
    <row r="2" spans="1:31" ht="14.4" x14ac:dyDescent="0.3">
      <c r="A2" s="556" t="s">
        <v>27</v>
      </c>
      <c r="B2" s="17" t="s">
        <v>27</v>
      </c>
      <c r="C2" s="18" t="s">
        <v>28</v>
      </c>
      <c r="D2" s="19">
        <f>SUM(E2:P2)</f>
        <v>3</v>
      </c>
      <c r="E2" s="20"/>
      <c r="F2" s="21"/>
      <c r="G2" s="21"/>
      <c r="H2" s="21"/>
      <c r="I2" s="21"/>
      <c r="J2" s="21"/>
      <c r="K2" s="21"/>
      <c r="L2" s="21"/>
      <c r="M2" s="21">
        <v>3</v>
      </c>
      <c r="N2" s="22"/>
      <c r="O2" s="22"/>
      <c r="P2" s="22"/>
      <c r="Q2" s="23">
        <f>SUM(N2,O2,P2)/D2/1</f>
        <v>0</v>
      </c>
      <c r="R2" s="24">
        <f t="shared" ref="R2:R7" si="0">1-Q2</f>
        <v>1</v>
      </c>
      <c r="S2" s="25">
        <v>4109489.84</v>
      </c>
      <c r="T2" s="26">
        <v>3</v>
      </c>
      <c r="U2" s="27" t="s">
        <v>29</v>
      </c>
      <c r="V2" s="27"/>
      <c r="W2" s="27" t="s">
        <v>29</v>
      </c>
      <c r="X2" s="27" t="s">
        <v>29</v>
      </c>
      <c r="Y2" s="27" t="s">
        <v>29</v>
      </c>
      <c r="Z2" s="27" t="s">
        <v>29</v>
      </c>
      <c r="AA2" s="28">
        <v>0</v>
      </c>
      <c r="AB2" s="29" t="s">
        <v>30</v>
      </c>
      <c r="AC2" s="30" t="s">
        <v>31</v>
      </c>
    </row>
    <row r="3" spans="1:31" ht="14.4" x14ac:dyDescent="0.3">
      <c r="A3" s="557"/>
      <c r="B3" s="31" t="s">
        <v>32</v>
      </c>
      <c r="C3" s="32" t="s">
        <v>33</v>
      </c>
      <c r="D3" s="33">
        <f>SUM(E3:P3)</f>
        <v>22</v>
      </c>
      <c r="E3" s="34">
        <v>18</v>
      </c>
      <c r="F3" s="3"/>
      <c r="G3" s="3"/>
      <c r="H3" s="3"/>
      <c r="I3" s="3"/>
      <c r="J3" s="3"/>
      <c r="K3" s="3"/>
      <c r="L3" s="3"/>
      <c r="M3" s="3"/>
      <c r="N3" s="35"/>
      <c r="O3" s="35"/>
      <c r="P3" s="35">
        <v>4</v>
      </c>
      <c r="Q3" s="36">
        <f>SUM(N3,O3,P3)/D3/1</f>
        <v>0.18181818181818182</v>
      </c>
      <c r="R3" s="37">
        <f t="shared" si="0"/>
        <v>0.81818181818181812</v>
      </c>
      <c r="S3" s="38">
        <f>4254822/2</f>
        <v>2127411</v>
      </c>
      <c r="T3" s="39"/>
      <c r="U3" s="40"/>
      <c r="V3" s="40"/>
      <c r="W3" s="40"/>
      <c r="X3" s="40"/>
      <c r="Y3" s="40"/>
      <c r="Z3" s="40"/>
      <c r="AA3" s="41"/>
      <c r="AB3" s="42"/>
      <c r="AC3" s="32" t="s">
        <v>31</v>
      </c>
    </row>
    <row r="4" spans="1:31" ht="14.4" x14ac:dyDescent="0.25">
      <c r="A4" s="558"/>
      <c r="B4" s="43" t="s">
        <v>34</v>
      </c>
      <c r="C4" s="44" t="s">
        <v>35</v>
      </c>
      <c r="D4" s="45">
        <v>21</v>
      </c>
      <c r="E4" s="34">
        <v>16</v>
      </c>
      <c r="F4" s="3"/>
      <c r="G4" s="3"/>
      <c r="H4" s="3"/>
      <c r="I4" s="3"/>
      <c r="J4" s="3"/>
      <c r="K4" s="3"/>
      <c r="L4" s="3"/>
      <c r="M4" s="3"/>
      <c r="N4" s="35"/>
      <c r="O4" s="35"/>
      <c r="P4" s="35">
        <v>1</v>
      </c>
      <c r="Q4" s="36">
        <f>SUM(N4,O4,P4)/D4/1</f>
        <v>4.7619047619047616E-2</v>
      </c>
      <c r="R4" s="37">
        <f t="shared" si="0"/>
        <v>0.95238095238095233</v>
      </c>
      <c r="S4" s="46">
        <f>10606.22*D4</f>
        <v>222730.62</v>
      </c>
      <c r="T4" s="39"/>
      <c r="U4" s="40"/>
      <c r="V4" s="40"/>
      <c r="W4" s="40"/>
      <c r="X4" s="40"/>
      <c r="Y4" s="40"/>
      <c r="Z4" s="40"/>
      <c r="AA4" s="41"/>
      <c r="AB4" s="42"/>
      <c r="AC4" s="44" t="s">
        <v>31</v>
      </c>
    </row>
    <row r="5" spans="1:31" ht="14.4" x14ac:dyDescent="0.3">
      <c r="A5" s="554" t="s">
        <v>36</v>
      </c>
      <c r="B5" s="47" t="s">
        <v>37</v>
      </c>
      <c r="C5" s="30" t="s">
        <v>38</v>
      </c>
      <c r="D5" s="48">
        <f t="shared" ref="D5" si="1">SUM(E5:P5)</f>
        <v>69</v>
      </c>
      <c r="E5" s="49">
        <v>47</v>
      </c>
      <c r="F5" s="50"/>
      <c r="G5" s="50"/>
      <c r="H5" s="50"/>
      <c r="I5" s="50"/>
      <c r="J5" s="50">
        <v>3</v>
      </c>
      <c r="K5" s="50">
        <v>2</v>
      </c>
      <c r="L5" s="50">
        <v>2</v>
      </c>
      <c r="M5" s="50"/>
      <c r="N5" s="51"/>
      <c r="O5" s="51">
        <v>6</v>
      </c>
      <c r="P5" s="51">
        <v>9</v>
      </c>
      <c r="Q5" s="52">
        <f t="shared" ref="Q5:Q19" si="2">SUM(N5,O5,P5)/D5/1</f>
        <v>0.21739130434782608</v>
      </c>
      <c r="R5" s="53">
        <f t="shared" si="0"/>
        <v>0.78260869565217395</v>
      </c>
      <c r="S5" s="54">
        <v>12267180.91</v>
      </c>
      <c r="T5" s="55" t="s">
        <v>29</v>
      </c>
      <c r="U5" s="56">
        <v>4</v>
      </c>
      <c r="V5" s="56"/>
      <c r="W5" s="56">
        <v>3</v>
      </c>
      <c r="X5" s="56"/>
      <c r="Y5" s="56">
        <v>1</v>
      </c>
      <c r="Z5" s="56">
        <v>1</v>
      </c>
      <c r="AA5" s="57">
        <v>61</v>
      </c>
      <c r="AB5" s="58" t="s">
        <v>39</v>
      </c>
      <c r="AC5" s="59" t="s">
        <v>40</v>
      </c>
    </row>
    <row r="6" spans="1:31" ht="14.4" x14ac:dyDescent="0.3">
      <c r="A6" s="554"/>
      <c r="B6" s="60" t="s">
        <v>41</v>
      </c>
      <c r="C6" s="32" t="s">
        <v>42</v>
      </c>
      <c r="D6" s="33">
        <v>43</v>
      </c>
      <c r="E6" s="34">
        <v>32</v>
      </c>
      <c r="F6" s="3"/>
      <c r="G6" s="3"/>
      <c r="H6" s="3"/>
      <c r="I6" s="3"/>
      <c r="J6" s="3"/>
      <c r="K6" s="3"/>
      <c r="L6" s="3"/>
      <c r="M6" s="3"/>
      <c r="N6" s="35"/>
      <c r="O6" s="35">
        <v>1</v>
      </c>
      <c r="P6" s="35">
        <v>10</v>
      </c>
      <c r="Q6" s="36">
        <f>SUM(N6,O6,P6)/D6/1</f>
        <v>0.2558139534883721</v>
      </c>
      <c r="R6" s="61">
        <f t="shared" si="0"/>
        <v>0.7441860465116279</v>
      </c>
      <c r="S6" s="62">
        <v>2705826.17</v>
      </c>
      <c r="T6" s="63" t="s">
        <v>29</v>
      </c>
      <c r="U6" s="64" t="s">
        <v>29</v>
      </c>
      <c r="V6" s="64"/>
      <c r="W6" s="64" t="s">
        <v>29</v>
      </c>
      <c r="X6" s="64" t="s">
        <v>29</v>
      </c>
      <c r="Y6" s="64" t="s">
        <v>29</v>
      </c>
      <c r="Z6" s="64" t="s">
        <v>29</v>
      </c>
      <c r="AA6" s="65">
        <v>43</v>
      </c>
      <c r="AB6" s="58"/>
      <c r="AC6" s="32"/>
    </row>
    <row r="7" spans="1:31" ht="14.4" x14ac:dyDescent="0.3">
      <c r="A7" s="554"/>
      <c r="B7" s="60" t="s">
        <v>43</v>
      </c>
      <c r="C7" s="32" t="s">
        <v>44</v>
      </c>
      <c r="D7" s="33">
        <v>62</v>
      </c>
      <c r="E7" s="34">
        <v>56</v>
      </c>
      <c r="F7" s="3">
        <v>5</v>
      </c>
      <c r="G7" s="3"/>
      <c r="H7" s="3"/>
      <c r="I7" s="3"/>
      <c r="J7" s="3">
        <v>1</v>
      </c>
      <c r="K7" s="3"/>
      <c r="L7" s="3"/>
      <c r="M7" s="3"/>
      <c r="N7" s="35"/>
      <c r="O7" s="35"/>
      <c r="P7" s="35">
        <v>1</v>
      </c>
      <c r="Q7" s="36">
        <f>SUM(N7,O7,P7)/D7/1</f>
        <v>1.6129032258064516E-2</v>
      </c>
      <c r="R7" s="61">
        <f t="shared" si="0"/>
        <v>0.9838709677419355</v>
      </c>
      <c r="S7" s="62">
        <v>3335110.2</v>
      </c>
      <c r="T7" s="63"/>
      <c r="U7" s="64"/>
      <c r="V7" s="64"/>
      <c r="W7" s="64"/>
      <c r="X7" s="64"/>
      <c r="Y7" s="64"/>
      <c r="Z7" s="64"/>
      <c r="AA7" s="65"/>
      <c r="AB7" s="58"/>
      <c r="AC7" s="66" t="s">
        <v>40</v>
      </c>
      <c r="AE7" s="400"/>
    </row>
    <row r="8" spans="1:31" ht="14.4" x14ac:dyDescent="0.3">
      <c r="A8" s="554"/>
      <c r="B8" s="60" t="s">
        <v>45</v>
      </c>
      <c r="C8" s="67" t="s">
        <v>44</v>
      </c>
      <c r="D8" s="33">
        <v>9</v>
      </c>
      <c r="E8" s="68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>
        <v>1540134.9</v>
      </c>
      <c r="T8" s="63"/>
      <c r="U8" s="64"/>
      <c r="V8" s="64"/>
      <c r="W8" s="64"/>
      <c r="X8" s="64"/>
      <c r="Y8" s="64"/>
      <c r="Z8" s="64"/>
      <c r="AA8" s="65"/>
      <c r="AB8" s="58"/>
      <c r="AC8" s="32" t="s">
        <v>31</v>
      </c>
    </row>
    <row r="9" spans="1:31" ht="14.4" x14ac:dyDescent="0.3">
      <c r="A9" s="554"/>
      <c r="B9" s="60" t="s">
        <v>46</v>
      </c>
      <c r="C9" s="67" t="s">
        <v>44</v>
      </c>
      <c r="D9" s="33">
        <v>13</v>
      </c>
      <c r="E9" s="68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0">
        <f>2559.36*D9</f>
        <v>33271.68</v>
      </c>
      <c r="T9" s="63"/>
      <c r="U9" s="64"/>
      <c r="V9" s="64"/>
      <c r="W9" s="64"/>
      <c r="X9" s="64"/>
      <c r="Y9" s="64"/>
      <c r="Z9" s="64"/>
      <c r="AA9" s="65"/>
      <c r="AB9" s="58"/>
      <c r="AC9" s="32" t="s">
        <v>31</v>
      </c>
    </row>
    <row r="10" spans="1:31" ht="14.4" x14ac:dyDescent="0.3">
      <c r="A10" s="554"/>
      <c r="B10" s="60" t="s">
        <v>47</v>
      </c>
      <c r="C10" s="67" t="s">
        <v>44</v>
      </c>
      <c r="D10" s="33">
        <v>7</v>
      </c>
      <c r="E10" s="68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70">
        <f>29910.6*D10</f>
        <v>209374.19999999998</v>
      </c>
      <c r="T10" s="63"/>
      <c r="U10" s="64"/>
      <c r="V10" s="64"/>
      <c r="W10" s="64"/>
      <c r="X10" s="64"/>
      <c r="Y10" s="64"/>
      <c r="Z10" s="64"/>
      <c r="AA10" s="65"/>
      <c r="AB10" s="58"/>
      <c r="AC10" s="32" t="s">
        <v>31</v>
      </c>
    </row>
    <row r="11" spans="1:31" ht="14.4" x14ac:dyDescent="0.3">
      <c r="A11" s="554"/>
      <c r="B11" s="60" t="s">
        <v>48</v>
      </c>
      <c r="C11" s="67" t="s">
        <v>44</v>
      </c>
      <c r="D11" s="33">
        <v>11</v>
      </c>
      <c r="E11" s="68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70">
        <f>23509.2*D11</f>
        <v>258601.2</v>
      </c>
      <c r="T11" s="63"/>
      <c r="U11" s="64"/>
      <c r="V11" s="64"/>
      <c r="W11" s="64"/>
      <c r="X11" s="64"/>
      <c r="Y11" s="64"/>
      <c r="Z11" s="64"/>
      <c r="AA11" s="65"/>
      <c r="AB11" s="58"/>
      <c r="AC11" s="32" t="s">
        <v>31</v>
      </c>
    </row>
    <row r="12" spans="1:31" ht="14.4" x14ac:dyDescent="0.3">
      <c r="A12" s="554"/>
      <c r="B12" s="60" t="s">
        <v>49</v>
      </c>
      <c r="C12" s="67" t="s">
        <v>44</v>
      </c>
      <c r="D12" s="33">
        <v>11</v>
      </c>
      <c r="E12" s="68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>
        <f>27927*D12</f>
        <v>307197</v>
      </c>
      <c r="T12" s="63"/>
      <c r="U12" s="64"/>
      <c r="V12" s="64"/>
      <c r="W12" s="64"/>
      <c r="X12" s="64"/>
      <c r="Y12" s="64"/>
      <c r="Z12" s="64"/>
      <c r="AA12" s="65"/>
      <c r="AB12" s="58"/>
      <c r="AC12" s="32" t="s">
        <v>31</v>
      </c>
    </row>
    <row r="13" spans="1:31" ht="14.4" x14ac:dyDescent="0.3">
      <c r="A13" s="554"/>
      <c r="B13" s="60" t="s">
        <v>50</v>
      </c>
      <c r="C13" s="67" t="s">
        <v>51</v>
      </c>
      <c r="D13" s="33">
        <v>12</v>
      </c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70">
        <f>32807.7*D13</f>
        <v>393692.39999999997</v>
      </c>
      <c r="T13" s="63"/>
      <c r="U13" s="64"/>
      <c r="V13" s="64"/>
      <c r="W13" s="64"/>
      <c r="X13" s="64"/>
      <c r="Y13" s="64"/>
      <c r="Z13" s="64"/>
      <c r="AA13" s="65"/>
      <c r="AB13" s="58"/>
      <c r="AC13" s="32" t="s">
        <v>31</v>
      </c>
    </row>
    <row r="14" spans="1:31" ht="14.4" x14ac:dyDescent="0.3">
      <c r="A14" s="554"/>
      <c r="B14" s="71" t="s">
        <v>52</v>
      </c>
      <c r="C14" s="72" t="s">
        <v>44</v>
      </c>
      <c r="D14" s="73">
        <v>4</v>
      </c>
      <c r="E14" s="74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6">
        <v>1153408.3999999999</v>
      </c>
      <c r="T14" s="77"/>
      <c r="U14" s="78"/>
      <c r="V14" s="78"/>
      <c r="W14" s="78"/>
      <c r="X14" s="78"/>
      <c r="Y14" s="78"/>
      <c r="Z14" s="78"/>
      <c r="AA14" s="79"/>
      <c r="AB14" s="80"/>
      <c r="AC14" s="44" t="s">
        <v>31</v>
      </c>
    </row>
    <row r="15" spans="1:31" ht="14.4" x14ac:dyDescent="0.3">
      <c r="A15" s="554"/>
      <c r="B15" s="81" t="s">
        <v>53</v>
      </c>
      <c r="C15" s="82" t="s">
        <v>54</v>
      </c>
      <c r="D15" s="48">
        <f>SUM(E15:P15)</f>
        <v>22</v>
      </c>
      <c r="E15" s="49"/>
      <c r="F15" s="50"/>
      <c r="G15" s="50"/>
      <c r="H15" s="50"/>
      <c r="I15" s="50"/>
      <c r="J15" s="50"/>
      <c r="K15" s="50">
        <v>1</v>
      </c>
      <c r="L15" s="50">
        <v>2</v>
      </c>
      <c r="M15" s="50"/>
      <c r="N15" s="51"/>
      <c r="O15" s="51">
        <v>1</v>
      </c>
      <c r="P15" s="51">
        <v>18</v>
      </c>
      <c r="Q15" s="52">
        <f>SUM(N15,O15,P15)/D15/1</f>
        <v>0.86363636363636365</v>
      </c>
      <c r="R15" s="83">
        <f>1-Q15</f>
        <v>0.13636363636363635</v>
      </c>
      <c r="S15" s="84">
        <f>16000*D15</f>
        <v>352000</v>
      </c>
      <c r="T15" s="55"/>
      <c r="U15" s="56"/>
      <c r="V15" s="56"/>
      <c r="W15" s="56"/>
      <c r="X15" s="56"/>
      <c r="Y15" s="56"/>
      <c r="Z15" s="56"/>
      <c r="AA15" s="57"/>
      <c r="AB15" s="29"/>
      <c r="AC15" s="30" t="s">
        <v>31</v>
      </c>
    </row>
    <row r="16" spans="1:31" ht="14.4" x14ac:dyDescent="0.3">
      <c r="A16" s="554"/>
      <c r="B16" s="85" t="s">
        <v>55</v>
      </c>
      <c r="C16" s="86" t="s">
        <v>56</v>
      </c>
      <c r="D16" s="33">
        <f>SUM(E16:P16)</f>
        <v>47</v>
      </c>
      <c r="E16" s="34"/>
      <c r="F16" s="3"/>
      <c r="G16" s="3"/>
      <c r="H16" s="3"/>
      <c r="I16" s="3"/>
      <c r="J16" s="3"/>
      <c r="K16" s="3"/>
      <c r="L16" s="3">
        <v>1</v>
      </c>
      <c r="M16" s="3"/>
      <c r="N16" s="35"/>
      <c r="O16" s="35"/>
      <c r="P16" s="35">
        <v>46</v>
      </c>
      <c r="Q16" s="36">
        <f>SUM(N16,O16,P16)/D16/1</f>
        <v>0.97872340425531912</v>
      </c>
      <c r="R16" s="37">
        <f>1-Q16</f>
        <v>2.1276595744680882E-2</v>
      </c>
      <c r="S16" s="87">
        <f>10090*D16</f>
        <v>474230</v>
      </c>
      <c r="T16" s="63"/>
      <c r="U16" s="64"/>
      <c r="V16" s="64"/>
      <c r="W16" s="64"/>
      <c r="X16" s="64"/>
      <c r="Y16" s="64"/>
      <c r="Z16" s="64"/>
      <c r="AA16" s="65"/>
      <c r="AB16" s="58"/>
      <c r="AC16" s="32" t="s">
        <v>31</v>
      </c>
    </row>
    <row r="17" spans="1:29" ht="14.4" x14ac:dyDescent="0.25">
      <c r="A17" s="554"/>
      <c r="B17" s="88" t="s">
        <v>57</v>
      </c>
      <c r="C17" s="89" t="s">
        <v>58</v>
      </c>
      <c r="D17" s="73">
        <v>19</v>
      </c>
      <c r="E17" s="34"/>
      <c r="F17" s="3"/>
      <c r="G17" s="3"/>
      <c r="H17" s="3"/>
      <c r="I17" s="3"/>
      <c r="J17" s="3"/>
      <c r="K17" s="3"/>
      <c r="L17" s="3">
        <v>1</v>
      </c>
      <c r="M17" s="3"/>
      <c r="N17" s="69"/>
      <c r="O17" s="69"/>
      <c r="P17" s="69">
        <v>23</v>
      </c>
      <c r="Q17" s="36">
        <f>SUM(N17,O17,P17)/D17/1</f>
        <v>1.2105263157894737</v>
      </c>
      <c r="R17" s="90">
        <f>1-Q17</f>
        <v>-0.21052631578947367</v>
      </c>
      <c r="S17" s="91">
        <v>208620</v>
      </c>
      <c r="T17" s="63"/>
      <c r="U17" s="64"/>
      <c r="V17" s="64"/>
      <c r="W17" s="64"/>
      <c r="X17" s="64"/>
      <c r="Y17" s="64"/>
      <c r="Z17" s="64"/>
      <c r="AA17" s="65"/>
      <c r="AB17" s="58"/>
      <c r="AC17" s="32" t="s">
        <v>31</v>
      </c>
    </row>
    <row r="18" spans="1:29" ht="14.4" x14ac:dyDescent="0.25">
      <c r="A18" s="554"/>
      <c r="B18" s="92" t="s">
        <v>59</v>
      </c>
      <c r="C18" s="93" t="s">
        <v>60</v>
      </c>
      <c r="D18" s="94">
        <v>7</v>
      </c>
      <c r="E18" s="95"/>
      <c r="F18" s="96"/>
      <c r="G18" s="96"/>
      <c r="H18" s="96"/>
      <c r="I18" s="96"/>
      <c r="J18" s="96"/>
      <c r="K18" s="96"/>
      <c r="L18" s="96"/>
      <c r="M18" s="96"/>
      <c r="N18" s="97"/>
      <c r="O18" s="97"/>
      <c r="P18" s="97"/>
      <c r="Q18" s="98"/>
      <c r="R18" s="99"/>
      <c r="S18" s="100">
        <v>293158.25</v>
      </c>
      <c r="T18" s="101"/>
      <c r="U18" s="101"/>
      <c r="V18" s="101"/>
      <c r="W18" s="101"/>
      <c r="X18" s="101"/>
      <c r="Y18" s="101"/>
      <c r="Z18" s="101"/>
      <c r="AA18" s="102"/>
      <c r="AB18" s="103"/>
      <c r="AC18" s="44" t="s">
        <v>31</v>
      </c>
    </row>
    <row r="19" spans="1:29" ht="14.4" x14ac:dyDescent="0.3">
      <c r="A19" s="554"/>
      <c r="B19" s="104" t="s">
        <v>61</v>
      </c>
      <c r="C19" s="105" t="s">
        <v>62</v>
      </c>
      <c r="D19" s="48">
        <v>19</v>
      </c>
      <c r="E19" s="49"/>
      <c r="F19" s="50"/>
      <c r="G19" s="50"/>
      <c r="H19" s="50"/>
      <c r="I19" s="50"/>
      <c r="J19" s="50"/>
      <c r="K19" s="50">
        <v>2</v>
      </c>
      <c r="L19" s="50">
        <v>3</v>
      </c>
      <c r="M19" s="50"/>
      <c r="N19" s="51">
        <v>1</v>
      </c>
      <c r="O19" s="51"/>
      <c r="P19" s="51">
        <v>27</v>
      </c>
      <c r="Q19" s="52">
        <f t="shared" si="2"/>
        <v>1.4736842105263157</v>
      </c>
      <c r="R19" s="53">
        <f t="shared" ref="R19" si="3">1-Q19</f>
        <v>-0.47368421052631571</v>
      </c>
      <c r="S19" s="106">
        <v>446310</v>
      </c>
      <c r="T19" s="56" t="s">
        <v>29</v>
      </c>
      <c r="U19" s="56">
        <v>4</v>
      </c>
      <c r="V19" s="56"/>
      <c r="W19" s="56"/>
      <c r="X19" s="56"/>
      <c r="Y19" s="56"/>
      <c r="Z19" s="56">
        <v>2</v>
      </c>
      <c r="AA19" s="107">
        <v>13</v>
      </c>
      <c r="AB19" s="108" t="s">
        <v>63</v>
      </c>
      <c r="AC19" s="30" t="s">
        <v>31</v>
      </c>
    </row>
    <row r="20" spans="1:29" ht="14.4" x14ac:dyDescent="0.3">
      <c r="A20" s="554"/>
      <c r="B20" s="109" t="s">
        <v>64</v>
      </c>
      <c r="C20" s="110" t="s">
        <v>65</v>
      </c>
      <c r="D20" s="33">
        <v>3</v>
      </c>
      <c r="E20" s="111" t="s">
        <v>66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112">
        <v>176399.4</v>
      </c>
      <c r="T20" s="113" t="s">
        <v>29</v>
      </c>
      <c r="U20" s="113" t="s">
        <v>29</v>
      </c>
      <c r="V20" s="113"/>
      <c r="W20" s="113" t="s">
        <v>29</v>
      </c>
      <c r="X20" s="113" t="s">
        <v>29</v>
      </c>
      <c r="Y20" s="113" t="s">
        <v>29</v>
      </c>
      <c r="Z20" s="113" t="s">
        <v>29</v>
      </c>
      <c r="AA20" s="114">
        <v>3</v>
      </c>
      <c r="AB20" s="115"/>
      <c r="AC20" s="32" t="s">
        <v>31</v>
      </c>
    </row>
    <row r="21" spans="1:29" ht="14.4" x14ac:dyDescent="0.25">
      <c r="A21" s="554"/>
      <c r="B21" s="116" t="s">
        <v>67</v>
      </c>
      <c r="C21" s="117" t="s">
        <v>68</v>
      </c>
      <c r="D21" s="33">
        <v>48</v>
      </c>
      <c r="E21" s="34">
        <v>22</v>
      </c>
      <c r="F21" s="3"/>
      <c r="G21" s="3"/>
      <c r="H21" s="3"/>
      <c r="I21" s="3"/>
      <c r="J21" s="3"/>
      <c r="K21" s="3"/>
      <c r="L21" s="3"/>
      <c r="M21" s="3"/>
      <c r="N21" s="35">
        <v>5</v>
      </c>
      <c r="O21" s="35"/>
      <c r="P21" s="35">
        <v>32</v>
      </c>
      <c r="Q21" s="36">
        <f>SUM(N21,O21,P21)/D21/1</f>
        <v>0.77083333333333337</v>
      </c>
      <c r="R21" s="37">
        <f>1-Q21</f>
        <v>0.22916666666666663</v>
      </c>
      <c r="S21" s="38">
        <v>2052039.75</v>
      </c>
      <c r="T21" s="63" t="s">
        <v>29</v>
      </c>
      <c r="U21" s="64">
        <v>3</v>
      </c>
      <c r="V21" s="64"/>
      <c r="W21" s="64" t="s">
        <v>29</v>
      </c>
      <c r="X21" s="64" t="s">
        <v>29</v>
      </c>
      <c r="Y21" s="64" t="s">
        <v>29</v>
      </c>
      <c r="Z21" s="64" t="s">
        <v>29</v>
      </c>
      <c r="AA21" s="65">
        <v>45</v>
      </c>
      <c r="AB21" s="58"/>
      <c r="AC21" s="32" t="s">
        <v>31</v>
      </c>
    </row>
    <row r="22" spans="1:29" ht="14.4" x14ac:dyDescent="0.3">
      <c r="A22" s="555"/>
      <c r="B22" s="118" t="s">
        <v>69</v>
      </c>
      <c r="C22" s="93" t="s">
        <v>70</v>
      </c>
      <c r="D22" s="45">
        <v>46</v>
      </c>
      <c r="E22" s="95"/>
      <c r="F22" s="96"/>
      <c r="G22" s="96"/>
      <c r="H22" s="96"/>
      <c r="I22" s="96"/>
      <c r="J22" s="96"/>
      <c r="K22" s="96"/>
      <c r="L22" s="96"/>
      <c r="M22" s="96"/>
      <c r="N22" s="97"/>
      <c r="O22" s="97"/>
      <c r="P22" s="97"/>
      <c r="Q22" s="98"/>
      <c r="R22" s="119"/>
      <c r="S22" s="120">
        <v>3824841.3879999998</v>
      </c>
      <c r="T22" s="121" t="s">
        <v>29</v>
      </c>
      <c r="U22" s="122">
        <v>5</v>
      </c>
      <c r="V22" s="122"/>
      <c r="W22" s="122" t="s">
        <v>29</v>
      </c>
      <c r="X22" s="122" t="s">
        <v>29</v>
      </c>
      <c r="Y22" s="122" t="s">
        <v>29</v>
      </c>
      <c r="Z22" s="122" t="s">
        <v>29</v>
      </c>
      <c r="AA22" s="123">
        <v>41</v>
      </c>
      <c r="AB22" s="124"/>
      <c r="AC22" s="125" t="s">
        <v>40</v>
      </c>
    </row>
    <row r="23" spans="1:29" ht="14.4" x14ac:dyDescent="0.3">
      <c r="A23" s="553" t="s">
        <v>71</v>
      </c>
      <c r="B23" s="126" t="s">
        <v>72</v>
      </c>
      <c r="C23" s="127" t="s">
        <v>73</v>
      </c>
      <c r="D23" s="128">
        <v>3</v>
      </c>
      <c r="E23" s="129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1"/>
      <c r="S23" s="132">
        <f>524000*D23</f>
        <v>1572000</v>
      </c>
      <c r="T23" s="133" t="s">
        <v>29</v>
      </c>
      <c r="U23" s="134" t="s">
        <v>29</v>
      </c>
      <c r="V23" s="134" t="s">
        <v>29</v>
      </c>
      <c r="W23" s="134" t="s">
        <v>29</v>
      </c>
      <c r="X23" s="134" t="s">
        <v>29</v>
      </c>
      <c r="Y23" s="134" t="s">
        <v>29</v>
      </c>
      <c r="Z23" s="134" t="s">
        <v>29</v>
      </c>
      <c r="AA23" s="135">
        <v>3</v>
      </c>
      <c r="AB23" s="136"/>
      <c r="AC23" s="30" t="s">
        <v>31</v>
      </c>
    </row>
    <row r="24" spans="1:29" ht="14.4" x14ac:dyDescent="0.3">
      <c r="A24" s="554"/>
      <c r="B24" s="137" t="s">
        <v>74</v>
      </c>
      <c r="C24" s="138" t="s">
        <v>75</v>
      </c>
      <c r="D24" s="139">
        <v>1</v>
      </c>
      <c r="E24" s="1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40">
        <v>581012.5</v>
      </c>
      <c r="T24" s="141" t="s">
        <v>29</v>
      </c>
      <c r="U24" s="113" t="s">
        <v>29</v>
      </c>
      <c r="V24" s="113" t="s">
        <v>29</v>
      </c>
      <c r="W24" s="113" t="s">
        <v>29</v>
      </c>
      <c r="X24" s="113" t="s">
        <v>29</v>
      </c>
      <c r="Y24" s="113" t="s">
        <v>29</v>
      </c>
      <c r="Z24" s="113" t="s">
        <v>29</v>
      </c>
      <c r="AA24" s="142">
        <v>1</v>
      </c>
      <c r="AB24" s="143"/>
      <c r="AC24" s="32" t="s">
        <v>31</v>
      </c>
    </row>
    <row r="25" spans="1:29" ht="14.4" x14ac:dyDescent="0.3">
      <c r="A25" s="554"/>
      <c r="B25" s="60" t="s">
        <v>76</v>
      </c>
      <c r="C25" s="32" t="s">
        <v>77</v>
      </c>
      <c r="D25" s="139">
        <v>5</v>
      </c>
      <c r="E25" s="1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140">
        <f>50000*D25</f>
        <v>250000</v>
      </c>
      <c r="T25" s="141" t="s">
        <v>29</v>
      </c>
      <c r="U25" s="113" t="s">
        <v>29</v>
      </c>
      <c r="V25" s="113" t="s">
        <v>29</v>
      </c>
      <c r="W25" s="113">
        <v>2</v>
      </c>
      <c r="X25" s="113">
        <v>2</v>
      </c>
      <c r="Y25" s="113" t="s">
        <v>29</v>
      </c>
      <c r="Z25" s="113" t="s">
        <v>29</v>
      </c>
      <c r="AA25" s="142">
        <v>1</v>
      </c>
      <c r="AB25" s="143" t="s">
        <v>78</v>
      </c>
      <c r="AC25" s="32" t="s">
        <v>31</v>
      </c>
    </row>
    <row r="26" spans="1:29" ht="14.4" x14ac:dyDescent="0.3">
      <c r="A26" s="554"/>
      <c r="B26" s="60" t="s">
        <v>79</v>
      </c>
      <c r="C26" s="144" t="s">
        <v>77</v>
      </c>
      <c r="D26" s="139">
        <v>5</v>
      </c>
      <c r="E26" s="1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40">
        <f>50000*D26</f>
        <v>250000</v>
      </c>
      <c r="T26" s="141" t="s">
        <v>29</v>
      </c>
      <c r="U26" s="113" t="s">
        <v>29</v>
      </c>
      <c r="V26" s="113" t="s">
        <v>29</v>
      </c>
      <c r="W26" s="113">
        <v>3</v>
      </c>
      <c r="X26" s="113">
        <v>2</v>
      </c>
      <c r="Y26" s="113" t="s">
        <v>29</v>
      </c>
      <c r="Z26" s="113" t="s">
        <v>29</v>
      </c>
      <c r="AA26" s="142">
        <v>0</v>
      </c>
      <c r="AB26" s="143" t="s">
        <v>80</v>
      </c>
      <c r="AC26" s="32" t="s">
        <v>31</v>
      </c>
    </row>
    <row r="27" spans="1:29" ht="14.4" x14ac:dyDescent="0.3">
      <c r="A27" s="554"/>
      <c r="B27" s="60" t="s">
        <v>81</v>
      </c>
      <c r="C27" s="144" t="s">
        <v>77</v>
      </c>
      <c r="D27" s="139">
        <v>5</v>
      </c>
      <c r="E27" s="1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140">
        <f>25000*D27</f>
        <v>125000</v>
      </c>
      <c r="T27" s="141" t="s">
        <v>29</v>
      </c>
      <c r="U27" s="113" t="s">
        <v>29</v>
      </c>
      <c r="V27" s="113" t="s">
        <v>29</v>
      </c>
      <c r="W27" s="113">
        <v>2</v>
      </c>
      <c r="X27" s="113" t="s">
        <v>29</v>
      </c>
      <c r="Y27" s="113" t="s">
        <v>29</v>
      </c>
      <c r="Z27" s="113" t="s">
        <v>29</v>
      </c>
      <c r="AA27" s="142">
        <v>3</v>
      </c>
      <c r="AB27" s="143" t="s">
        <v>82</v>
      </c>
      <c r="AC27" s="32" t="s">
        <v>31</v>
      </c>
    </row>
    <row r="28" spans="1:29" ht="14.4" x14ac:dyDescent="0.3">
      <c r="A28" s="554"/>
      <c r="B28" s="60" t="s">
        <v>83</v>
      </c>
      <c r="C28" s="144" t="s">
        <v>84</v>
      </c>
      <c r="D28" s="139">
        <v>1</v>
      </c>
      <c r="E28" s="11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45">
        <v>861300</v>
      </c>
      <c r="T28" s="141" t="s">
        <v>29</v>
      </c>
      <c r="U28" s="113" t="s">
        <v>29</v>
      </c>
      <c r="V28" s="113" t="s">
        <v>29</v>
      </c>
      <c r="W28" s="113" t="s">
        <v>29</v>
      </c>
      <c r="X28" s="113" t="s">
        <v>29</v>
      </c>
      <c r="Y28" s="113" t="s">
        <v>29</v>
      </c>
      <c r="Z28" s="113" t="s">
        <v>29</v>
      </c>
      <c r="AA28" s="142">
        <v>1</v>
      </c>
      <c r="AB28" s="143"/>
      <c r="AC28" s="32" t="s">
        <v>31</v>
      </c>
    </row>
    <row r="29" spans="1:29" ht="14.4" x14ac:dyDescent="0.3">
      <c r="A29" s="554"/>
      <c r="B29" s="60" t="s">
        <v>85</v>
      </c>
      <c r="C29" s="144" t="s">
        <v>84</v>
      </c>
      <c r="D29" s="139">
        <v>3</v>
      </c>
      <c r="E29" s="1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145">
        <f>31605.9*D29</f>
        <v>94817.700000000012</v>
      </c>
      <c r="T29" s="141" t="s">
        <v>29</v>
      </c>
      <c r="U29" s="113" t="s">
        <v>29</v>
      </c>
      <c r="V29" s="113" t="s">
        <v>29</v>
      </c>
      <c r="W29" s="113" t="s">
        <v>29</v>
      </c>
      <c r="X29" s="113" t="s">
        <v>29</v>
      </c>
      <c r="Y29" s="113" t="s">
        <v>29</v>
      </c>
      <c r="Z29" s="113" t="s">
        <v>29</v>
      </c>
      <c r="AA29" s="146" t="s">
        <v>29</v>
      </c>
      <c r="AB29" s="143"/>
      <c r="AC29" s="66" t="s">
        <v>40</v>
      </c>
    </row>
    <row r="30" spans="1:29" ht="14.4" x14ac:dyDescent="0.3">
      <c r="A30" s="554"/>
      <c r="B30" s="60" t="s">
        <v>86</v>
      </c>
      <c r="C30" s="144" t="s">
        <v>84</v>
      </c>
      <c r="D30" s="139">
        <v>1</v>
      </c>
      <c r="E30" s="11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145">
        <f>21400*D30</f>
        <v>21400</v>
      </c>
      <c r="T30" s="141" t="s">
        <v>29</v>
      </c>
      <c r="U30" s="113" t="s">
        <v>29</v>
      </c>
      <c r="V30" s="113" t="s">
        <v>29</v>
      </c>
      <c r="W30" s="113" t="s">
        <v>29</v>
      </c>
      <c r="X30" s="113" t="s">
        <v>29</v>
      </c>
      <c r="Y30" s="113" t="s">
        <v>29</v>
      </c>
      <c r="Z30" s="113" t="s">
        <v>29</v>
      </c>
      <c r="AA30" s="146">
        <v>1</v>
      </c>
      <c r="AB30" s="143"/>
      <c r="AC30" s="66" t="s">
        <v>40</v>
      </c>
    </row>
    <row r="31" spans="1:29" ht="14.4" x14ac:dyDescent="0.3">
      <c r="A31" s="554"/>
      <c r="B31" s="60" t="s">
        <v>87</v>
      </c>
      <c r="C31" s="32" t="s">
        <v>88</v>
      </c>
      <c r="D31" s="147">
        <v>2</v>
      </c>
      <c r="E31" s="74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148"/>
      <c r="S31" s="149">
        <f>120000*D31</f>
        <v>240000</v>
      </c>
      <c r="T31" s="150" t="s">
        <v>29</v>
      </c>
      <c r="U31" s="151" t="s">
        <v>29</v>
      </c>
      <c r="V31" s="151" t="s">
        <v>29</v>
      </c>
      <c r="W31" s="151" t="s">
        <v>29</v>
      </c>
      <c r="X31" s="151" t="s">
        <v>29</v>
      </c>
      <c r="Y31" s="151" t="s">
        <v>29</v>
      </c>
      <c r="Z31" s="151" t="s">
        <v>29</v>
      </c>
      <c r="AA31" s="152">
        <v>2</v>
      </c>
      <c r="AB31" s="153"/>
      <c r="AC31" s="154" t="s">
        <v>31</v>
      </c>
    </row>
    <row r="32" spans="1:29" ht="14.4" x14ac:dyDescent="0.25">
      <c r="A32" s="554"/>
      <c r="B32" s="155" t="s">
        <v>89</v>
      </c>
      <c r="C32" s="44" t="s">
        <v>90</v>
      </c>
      <c r="D32" s="156">
        <v>1</v>
      </c>
      <c r="E32" s="157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9"/>
      <c r="S32" s="160">
        <v>100000</v>
      </c>
      <c r="T32" s="161" t="s">
        <v>29</v>
      </c>
      <c r="U32" s="162" t="s">
        <v>29</v>
      </c>
      <c r="V32" s="162" t="s">
        <v>29</v>
      </c>
      <c r="W32" s="162" t="s">
        <v>29</v>
      </c>
      <c r="X32" s="162" t="s">
        <v>29</v>
      </c>
      <c r="Y32" s="162" t="s">
        <v>29</v>
      </c>
      <c r="Z32" s="162" t="s">
        <v>29</v>
      </c>
      <c r="AA32" s="163">
        <v>1</v>
      </c>
      <c r="AB32" s="164"/>
      <c r="AC32" s="165" t="s">
        <v>40</v>
      </c>
    </row>
    <row r="33" spans="1:29" ht="14.4" x14ac:dyDescent="0.3">
      <c r="A33" s="553" t="s">
        <v>91</v>
      </c>
      <c r="B33" s="166" t="s">
        <v>92</v>
      </c>
      <c r="C33" s="167" t="s">
        <v>93</v>
      </c>
      <c r="D33" s="168">
        <v>35</v>
      </c>
      <c r="E33" s="169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1"/>
      <c r="S33" s="84">
        <v>60150</v>
      </c>
      <c r="T33" s="172" t="s">
        <v>29</v>
      </c>
      <c r="U33" s="173" t="s">
        <v>29</v>
      </c>
      <c r="V33" s="173"/>
      <c r="W33" s="173" t="s">
        <v>29</v>
      </c>
      <c r="X33" s="173" t="s">
        <v>29</v>
      </c>
      <c r="Y33" s="173" t="s">
        <v>29</v>
      </c>
      <c r="Z33" s="173" t="s">
        <v>29</v>
      </c>
      <c r="AA33" s="174"/>
      <c r="AB33" s="175"/>
      <c r="AC33" s="30" t="s">
        <v>31</v>
      </c>
    </row>
    <row r="34" spans="1:29" ht="14.4" x14ac:dyDescent="0.3">
      <c r="A34" s="554"/>
      <c r="B34" s="109" t="s">
        <v>94</v>
      </c>
      <c r="C34" s="167" t="s">
        <v>93</v>
      </c>
      <c r="D34" s="139">
        <v>1</v>
      </c>
      <c r="E34" s="68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115"/>
      <c r="S34" s="87">
        <v>90000</v>
      </c>
      <c r="T34" s="141"/>
      <c r="U34" s="113"/>
      <c r="V34" s="113" t="s">
        <v>29</v>
      </c>
      <c r="W34" s="113"/>
      <c r="X34" s="113"/>
      <c r="Y34" s="113"/>
      <c r="Z34" s="113"/>
      <c r="AA34" s="142">
        <v>1</v>
      </c>
      <c r="AB34" s="143"/>
      <c r="AC34" s="66" t="s">
        <v>40</v>
      </c>
    </row>
    <row r="35" spans="1:29" ht="14.4" x14ac:dyDescent="0.3">
      <c r="A35" s="554"/>
      <c r="B35" s="109" t="s">
        <v>95</v>
      </c>
      <c r="C35" s="138" t="s">
        <v>96</v>
      </c>
      <c r="D35" s="139">
        <v>2</v>
      </c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115"/>
      <c r="S35" s="91">
        <v>842108</v>
      </c>
      <c r="T35" s="141" t="s">
        <v>29</v>
      </c>
      <c r="U35" s="113" t="s">
        <v>29</v>
      </c>
      <c r="V35" s="113" t="s">
        <v>29</v>
      </c>
      <c r="W35" s="113" t="s">
        <v>29</v>
      </c>
      <c r="X35" s="113" t="s">
        <v>29</v>
      </c>
      <c r="Y35" s="113" t="s">
        <v>29</v>
      </c>
      <c r="Z35" s="113" t="s">
        <v>29</v>
      </c>
      <c r="AA35" s="142">
        <v>2</v>
      </c>
      <c r="AB35" s="143"/>
      <c r="AC35" s="32" t="s">
        <v>31</v>
      </c>
    </row>
    <row r="36" spans="1:29" ht="14.4" x14ac:dyDescent="0.25">
      <c r="A36" s="554"/>
      <c r="B36" s="92" t="s">
        <v>97</v>
      </c>
      <c r="C36" s="176" t="s">
        <v>98</v>
      </c>
      <c r="D36" s="177">
        <v>14</v>
      </c>
      <c r="E36" s="178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80"/>
      <c r="S36" s="181">
        <f>5000*D36</f>
        <v>70000</v>
      </c>
      <c r="T36" s="121" t="s">
        <v>29</v>
      </c>
      <c r="U36" s="122" t="s">
        <v>29</v>
      </c>
      <c r="V36" s="122" t="s">
        <v>29</v>
      </c>
      <c r="W36" s="122">
        <v>4</v>
      </c>
      <c r="X36" s="122" t="s">
        <v>29</v>
      </c>
      <c r="Y36" s="122" t="s">
        <v>29</v>
      </c>
      <c r="Z36" s="122" t="s">
        <v>29</v>
      </c>
      <c r="AA36" s="182">
        <v>10</v>
      </c>
      <c r="AB36" s="124"/>
      <c r="AC36" s="44" t="s">
        <v>31</v>
      </c>
    </row>
    <row r="37" spans="1:29" ht="14.4" x14ac:dyDescent="0.3">
      <c r="A37" s="559" t="s">
        <v>99</v>
      </c>
      <c r="B37" s="183" t="s">
        <v>100</v>
      </c>
      <c r="C37" s="184" t="s">
        <v>101</v>
      </c>
      <c r="D37" s="48">
        <v>3</v>
      </c>
      <c r="E37" s="185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7"/>
      <c r="S37" s="188">
        <f>3144000+1570000+1000000</f>
        <v>5714000</v>
      </c>
      <c r="T37" s="172" t="s">
        <v>29</v>
      </c>
      <c r="U37" s="173" t="s">
        <v>29</v>
      </c>
      <c r="V37" s="173" t="s">
        <v>29</v>
      </c>
      <c r="W37" s="173">
        <v>1</v>
      </c>
      <c r="X37" s="173" t="s">
        <v>29</v>
      </c>
      <c r="Y37" s="173" t="s">
        <v>29</v>
      </c>
      <c r="Z37" s="173" t="s">
        <v>29</v>
      </c>
      <c r="AA37" s="174">
        <v>3</v>
      </c>
      <c r="AB37" s="175"/>
      <c r="AC37" s="59" t="s">
        <v>40</v>
      </c>
    </row>
    <row r="38" spans="1:29" ht="14.4" x14ac:dyDescent="0.3">
      <c r="A38" s="560"/>
      <c r="B38" s="109" t="s">
        <v>102</v>
      </c>
      <c r="C38" s="189" t="s">
        <v>103</v>
      </c>
      <c r="D38" s="33">
        <v>4</v>
      </c>
      <c r="E38" s="1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140">
        <f>524000*D38</f>
        <v>2096000</v>
      </c>
      <c r="T38" s="141" t="s">
        <v>29</v>
      </c>
      <c r="U38" s="113" t="s">
        <v>29</v>
      </c>
      <c r="V38" s="113" t="s">
        <v>29</v>
      </c>
      <c r="W38" s="113">
        <v>1</v>
      </c>
      <c r="X38" s="113">
        <v>1</v>
      </c>
      <c r="Y38" s="113" t="s">
        <v>29</v>
      </c>
      <c r="Z38" s="113" t="s">
        <v>29</v>
      </c>
      <c r="AA38" s="142">
        <v>3</v>
      </c>
      <c r="AB38" s="143"/>
      <c r="AC38" s="66" t="s">
        <v>40</v>
      </c>
    </row>
    <row r="39" spans="1:29" ht="14.4" x14ac:dyDescent="0.3">
      <c r="A39" s="560"/>
      <c r="B39" s="109" t="s">
        <v>104</v>
      </c>
      <c r="C39" s="189" t="s">
        <v>105</v>
      </c>
      <c r="D39" s="33">
        <v>1</v>
      </c>
      <c r="E39" s="1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145">
        <v>36780</v>
      </c>
      <c r="T39" s="141" t="s">
        <v>29</v>
      </c>
      <c r="U39" s="113" t="s">
        <v>29</v>
      </c>
      <c r="V39" s="113" t="s">
        <v>29</v>
      </c>
      <c r="W39" s="113" t="s">
        <v>29</v>
      </c>
      <c r="X39" s="113" t="s">
        <v>29</v>
      </c>
      <c r="Y39" s="113" t="s">
        <v>29</v>
      </c>
      <c r="Z39" s="113" t="s">
        <v>29</v>
      </c>
      <c r="AA39" s="142">
        <v>1</v>
      </c>
      <c r="AB39" s="143" t="s">
        <v>106</v>
      </c>
      <c r="AC39" s="32" t="s">
        <v>31</v>
      </c>
    </row>
    <row r="40" spans="1:29" ht="14.4" x14ac:dyDescent="0.3">
      <c r="A40" s="560"/>
      <c r="B40" s="190" t="s">
        <v>107</v>
      </c>
      <c r="C40" s="189" t="s">
        <v>108</v>
      </c>
      <c r="D40" s="33">
        <v>4</v>
      </c>
      <c r="E40" s="1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191">
        <f>20000*D40*5.1</f>
        <v>408000</v>
      </c>
      <c r="T40" s="141" t="s">
        <v>29</v>
      </c>
      <c r="U40" s="113" t="s">
        <v>29</v>
      </c>
      <c r="V40" s="113" t="s">
        <v>29</v>
      </c>
      <c r="W40" s="113">
        <v>1</v>
      </c>
      <c r="X40" s="113" t="s">
        <v>29</v>
      </c>
      <c r="Y40" s="113" t="s">
        <v>29</v>
      </c>
      <c r="Z40" s="113" t="s">
        <v>29</v>
      </c>
      <c r="AA40" s="142">
        <v>3</v>
      </c>
      <c r="AB40" s="143"/>
      <c r="AC40" s="66" t="s">
        <v>40</v>
      </c>
    </row>
    <row r="41" spans="1:29" ht="14.4" x14ac:dyDescent="0.3">
      <c r="A41" s="561"/>
      <c r="B41" s="118" t="s">
        <v>109</v>
      </c>
      <c r="C41" s="192" t="s">
        <v>110</v>
      </c>
      <c r="D41" s="45">
        <v>4</v>
      </c>
      <c r="E41" s="178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80"/>
      <c r="S41" s="181">
        <v>736537</v>
      </c>
      <c r="T41" s="121" t="s">
        <v>29</v>
      </c>
      <c r="U41" s="122" t="s">
        <v>29</v>
      </c>
      <c r="V41" s="122" t="s">
        <v>29</v>
      </c>
      <c r="W41" s="122" t="s">
        <v>29</v>
      </c>
      <c r="X41" s="122" t="s">
        <v>29</v>
      </c>
      <c r="Y41" s="122" t="s">
        <v>29</v>
      </c>
      <c r="Z41" s="122" t="s">
        <v>29</v>
      </c>
      <c r="AA41" s="182">
        <v>4</v>
      </c>
      <c r="AB41" s="124"/>
      <c r="AC41" s="125" t="s">
        <v>40</v>
      </c>
    </row>
    <row r="42" spans="1:29" ht="14.4" x14ac:dyDescent="0.3">
      <c r="A42" s="553" t="s">
        <v>111</v>
      </c>
      <c r="B42" s="193" t="s">
        <v>112</v>
      </c>
      <c r="C42" s="194" t="s">
        <v>113</v>
      </c>
      <c r="D42" s="195">
        <v>20</v>
      </c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7"/>
      <c r="S42" s="198">
        <f>9800*D42</f>
        <v>196000</v>
      </c>
      <c r="T42" s="133" t="s">
        <v>29</v>
      </c>
      <c r="U42" s="134" t="s">
        <v>29</v>
      </c>
      <c r="V42" s="199">
        <v>5</v>
      </c>
      <c r="W42" s="199">
        <v>4</v>
      </c>
      <c r="X42" s="134"/>
      <c r="Y42" s="134"/>
      <c r="Z42" s="134"/>
      <c r="AA42" s="200">
        <v>11</v>
      </c>
      <c r="AB42" s="201"/>
      <c r="AC42" s="202" t="s">
        <v>40</v>
      </c>
    </row>
    <row r="43" spans="1:29" ht="14.4" x14ac:dyDescent="0.3">
      <c r="A43" s="554"/>
      <c r="B43" s="203" t="s">
        <v>114</v>
      </c>
      <c r="C43" s="67" t="s">
        <v>115</v>
      </c>
      <c r="D43" s="73">
        <v>3</v>
      </c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115"/>
      <c r="S43" s="91">
        <f>60000*5.1*D43</f>
        <v>918000</v>
      </c>
      <c r="T43" s="141" t="s">
        <v>29</v>
      </c>
      <c r="U43" s="113" t="s">
        <v>29</v>
      </c>
      <c r="V43" s="204">
        <v>1</v>
      </c>
      <c r="W43" s="204">
        <v>1</v>
      </c>
      <c r="X43" s="204"/>
      <c r="Y43" s="204"/>
      <c r="Z43" s="204"/>
      <c r="AA43" s="205">
        <v>1</v>
      </c>
      <c r="AB43" s="206"/>
      <c r="AC43" s="66" t="s">
        <v>40</v>
      </c>
    </row>
    <row r="44" spans="1:29" ht="14.4" x14ac:dyDescent="0.3">
      <c r="A44" s="554"/>
      <c r="B44" s="203" t="s">
        <v>116</v>
      </c>
      <c r="C44" s="67" t="s">
        <v>117</v>
      </c>
      <c r="D44" s="73">
        <v>4</v>
      </c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115"/>
      <c r="S44" s="91">
        <f>76500*D44</f>
        <v>306000</v>
      </c>
      <c r="T44" s="141" t="s">
        <v>29</v>
      </c>
      <c r="U44" s="113" t="s">
        <v>29</v>
      </c>
      <c r="V44" s="113">
        <v>1</v>
      </c>
      <c r="W44" s="113">
        <v>1</v>
      </c>
      <c r="X44" s="113"/>
      <c r="Y44" s="113"/>
      <c r="Z44" s="113"/>
      <c r="AA44" s="205">
        <v>2</v>
      </c>
      <c r="AB44" s="206"/>
      <c r="AC44" s="66" t="s">
        <v>40</v>
      </c>
    </row>
    <row r="45" spans="1:29" ht="14.4" x14ac:dyDescent="0.3">
      <c r="A45" s="555"/>
      <c r="B45" s="118" t="s">
        <v>118</v>
      </c>
      <c r="C45" s="67" t="s">
        <v>117</v>
      </c>
      <c r="D45" s="73">
        <v>5</v>
      </c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207"/>
      <c r="S45" s="91">
        <f>76500*D45</f>
        <v>382500</v>
      </c>
      <c r="T45" s="121" t="s">
        <v>29</v>
      </c>
      <c r="U45" s="122" t="s">
        <v>29</v>
      </c>
      <c r="V45" s="122">
        <v>1</v>
      </c>
      <c r="W45" s="122">
        <v>1</v>
      </c>
      <c r="X45" s="122"/>
      <c r="Y45" s="122"/>
      <c r="Z45" s="122"/>
      <c r="AA45" s="208">
        <v>3</v>
      </c>
      <c r="AB45" s="209"/>
      <c r="AC45" s="125" t="s">
        <v>40</v>
      </c>
    </row>
    <row r="46" spans="1:29" ht="14.4" x14ac:dyDescent="0.25">
      <c r="A46" s="210"/>
      <c r="C46" s="211"/>
      <c r="D46" s="212" t="s">
        <v>119</v>
      </c>
      <c r="E46" s="213">
        <f t="shared" ref="E46:R46" si="4">SUM(E2:E22)</f>
        <v>191</v>
      </c>
      <c r="F46" s="213">
        <f t="shared" si="4"/>
        <v>5</v>
      </c>
      <c r="G46" s="213">
        <f t="shared" si="4"/>
        <v>0</v>
      </c>
      <c r="H46" s="213">
        <f t="shared" si="4"/>
        <v>0</v>
      </c>
      <c r="I46" s="213">
        <f t="shared" si="4"/>
        <v>0</v>
      </c>
      <c r="J46" s="213">
        <f t="shared" si="4"/>
        <v>4</v>
      </c>
      <c r="K46" s="213">
        <f t="shared" si="4"/>
        <v>5</v>
      </c>
      <c r="L46" s="213">
        <f t="shared" si="4"/>
        <v>9</v>
      </c>
      <c r="M46" s="213">
        <f t="shared" si="4"/>
        <v>3</v>
      </c>
      <c r="N46" s="213">
        <f t="shared" si="4"/>
        <v>6</v>
      </c>
      <c r="O46" s="213">
        <f t="shared" si="4"/>
        <v>8</v>
      </c>
      <c r="P46" s="213">
        <f t="shared" si="4"/>
        <v>171</v>
      </c>
      <c r="Q46" s="213">
        <f t="shared" si="4"/>
        <v>6.0161751470722971</v>
      </c>
      <c r="R46" s="213">
        <f t="shared" si="4"/>
        <v>4.9838248529277029</v>
      </c>
      <c r="S46" s="214">
        <f>SUM(S2:S22)</f>
        <v>36491027.307999991</v>
      </c>
      <c r="T46" s="215"/>
      <c r="U46" s="215"/>
      <c r="V46" s="215"/>
      <c r="W46" s="215"/>
      <c r="X46" s="215"/>
      <c r="Y46" s="215"/>
      <c r="Z46" s="215"/>
      <c r="AA46" s="216"/>
      <c r="AC46" s="4"/>
    </row>
    <row r="47" spans="1:29" ht="14.4" x14ac:dyDescent="0.25">
      <c r="A47" s="210"/>
      <c r="C47" s="211"/>
      <c r="D47" s="212" t="s">
        <v>119</v>
      </c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4">
        <f>SUM(S23:S32)</f>
        <v>4095530.2</v>
      </c>
      <c r="T47" s="215"/>
      <c r="U47" s="215"/>
      <c r="V47" s="215"/>
      <c r="W47" s="215"/>
      <c r="X47" s="215"/>
      <c r="Y47" s="215"/>
      <c r="Z47" s="215"/>
      <c r="AA47" s="216"/>
      <c r="AC47" s="4"/>
    </row>
    <row r="48" spans="1:29" ht="14.4" x14ac:dyDescent="0.3">
      <c r="A48" s="210"/>
      <c r="C48" s="211"/>
      <c r="D48" s="212" t="s">
        <v>119</v>
      </c>
      <c r="E48" s="218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4">
        <f>SUM(S33:S36)</f>
        <v>1062258</v>
      </c>
      <c r="T48" s="215"/>
      <c r="U48" s="215"/>
      <c r="V48" s="215"/>
      <c r="W48" s="215"/>
      <c r="X48" s="215"/>
      <c r="Y48" s="215"/>
      <c r="Z48" s="215"/>
      <c r="AA48" s="216"/>
      <c r="AC48" s="4"/>
    </row>
    <row r="49" spans="2:29" ht="14.4" x14ac:dyDescent="0.3">
      <c r="C49" s="219"/>
      <c r="D49" s="212" t="s">
        <v>119</v>
      </c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0"/>
      <c r="Q49" s="220"/>
      <c r="R49" s="220"/>
      <c r="S49" s="214">
        <f>SUM(S37:S41)</f>
        <v>8991317</v>
      </c>
      <c r="T49" s="215"/>
      <c r="U49" s="215"/>
      <c r="V49" s="215"/>
      <c r="W49" s="215"/>
      <c r="X49" s="215"/>
      <c r="Y49" s="215"/>
      <c r="Z49" s="215"/>
      <c r="AA49" s="216"/>
      <c r="AC49" s="4"/>
    </row>
    <row r="50" spans="2:29" ht="14.4" x14ac:dyDescent="0.3">
      <c r="C50" s="221"/>
      <c r="D50" s="212" t="s">
        <v>119</v>
      </c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14">
        <f>SUM(S42:S45)</f>
        <v>1802500</v>
      </c>
      <c r="T50" s="215"/>
      <c r="U50" s="215"/>
      <c r="V50" s="215"/>
      <c r="W50" s="215"/>
      <c r="X50" s="215"/>
      <c r="Y50" s="215"/>
      <c r="Z50" s="215"/>
      <c r="AA50" s="216"/>
      <c r="AC50" s="4"/>
    </row>
    <row r="51" spans="2:29" x14ac:dyDescent="0.25">
      <c r="D51" s="223"/>
      <c r="S51" s="224"/>
      <c r="T51" s="215"/>
      <c r="U51" s="215"/>
      <c r="V51" s="215"/>
      <c r="W51" s="215"/>
      <c r="X51" s="215"/>
      <c r="Y51" s="215"/>
      <c r="Z51" s="215"/>
      <c r="AA51" s="216"/>
      <c r="AC51" s="4"/>
    </row>
    <row r="52" spans="2:29" x14ac:dyDescent="0.25">
      <c r="D52" s="223"/>
      <c r="S52" s="224"/>
      <c r="T52" s="215"/>
      <c r="U52" s="215"/>
      <c r="V52" s="215"/>
      <c r="W52" s="215"/>
      <c r="X52" s="215"/>
      <c r="Y52" s="215"/>
      <c r="Z52" s="215"/>
      <c r="AA52" s="216"/>
      <c r="AC52" s="4"/>
    </row>
    <row r="53" spans="2:29" x14ac:dyDescent="0.25">
      <c r="D53" s="223"/>
      <c r="S53" s="224"/>
      <c r="T53" s="215"/>
      <c r="U53" s="215"/>
      <c r="V53" s="215"/>
      <c r="W53" s="215"/>
      <c r="X53" s="215"/>
      <c r="Y53" s="215"/>
      <c r="Z53" s="215"/>
      <c r="AA53" s="216"/>
      <c r="AC53" s="4"/>
    </row>
    <row r="54" spans="2:29" ht="14.4" x14ac:dyDescent="0.25">
      <c r="B54" s="225" t="s">
        <v>120</v>
      </c>
      <c r="C54" s="226" t="s">
        <v>121</v>
      </c>
      <c r="D54" s="227" t="s">
        <v>17</v>
      </c>
      <c r="S54" s="224"/>
      <c r="T54" s="215"/>
      <c r="U54" s="215"/>
      <c r="V54" s="215"/>
      <c r="W54" s="215"/>
      <c r="X54" s="215"/>
      <c r="Y54" s="215"/>
      <c r="Z54" s="215"/>
      <c r="AA54" s="216"/>
      <c r="AC54" s="4"/>
    </row>
    <row r="55" spans="2:29" x14ac:dyDescent="0.25">
      <c r="B55" s="194" t="s">
        <v>122</v>
      </c>
      <c r="C55" s="194">
        <v>498</v>
      </c>
      <c r="D55" s="188">
        <v>36491027.307999991</v>
      </c>
      <c r="E55">
        <v>5</v>
      </c>
      <c r="F55">
        <v>0</v>
      </c>
      <c r="G55">
        <v>0</v>
      </c>
      <c r="H55">
        <v>0</v>
      </c>
      <c r="I55">
        <v>4</v>
      </c>
      <c r="J55">
        <v>5</v>
      </c>
      <c r="K55">
        <v>9</v>
      </c>
      <c r="L55">
        <v>3</v>
      </c>
      <c r="M55">
        <v>6</v>
      </c>
      <c r="N55">
        <v>8</v>
      </c>
      <c r="O55">
        <v>171</v>
      </c>
      <c r="P55">
        <v>6.0161751470722971</v>
      </c>
      <c r="Q55">
        <v>4.9838248529277029</v>
      </c>
      <c r="R55">
        <v>48618438.307999998</v>
      </c>
      <c r="S55" s="224"/>
      <c r="T55" s="215"/>
      <c r="U55" s="215"/>
      <c r="V55" s="215"/>
      <c r="W55" s="215"/>
      <c r="X55" s="215"/>
      <c r="Y55" s="215"/>
      <c r="Z55" s="215"/>
      <c r="AA55" s="216"/>
      <c r="AC55" s="4"/>
    </row>
    <row r="56" spans="2:29" x14ac:dyDescent="0.25">
      <c r="B56" s="67" t="s">
        <v>123</v>
      </c>
      <c r="C56" s="138">
        <v>27</v>
      </c>
      <c r="D56" s="145">
        <v>4095530.2</v>
      </c>
      <c r="R56">
        <v>2705930.2</v>
      </c>
      <c r="S56" s="224"/>
      <c r="T56" s="215"/>
      <c r="U56" s="215"/>
      <c r="V56" s="215"/>
      <c r="W56" s="215"/>
      <c r="X56" s="215"/>
      <c r="Y56" s="215"/>
      <c r="Z56" s="215"/>
      <c r="AA56" s="216"/>
      <c r="AC56" s="4"/>
    </row>
    <row r="57" spans="2:29" x14ac:dyDescent="0.25">
      <c r="B57" s="67" t="s">
        <v>91</v>
      </c>
      <c r="C57" s="67">
        <v>52</v>
      </c>
      <c r="D57" s="145">
        <v>1062258</v>
      </c>
      <c r="R57">
        <v>116347412.016</v>
      </c>
      <c r="S57" s="224"/>
      <c r="T57" s="215"/>
      <c r="U57" s="215"/>
      <c r="V57" s="215"/>
      <c r="W57" s="215"/>
      <c r="X57" s="215"/>
      <c r="Y57" s="215"/>
      <c r="Z57" s="215"/>
      <c r="AA57" s="216"/>
      <c r="AC57" s="4"/>
    </row>
    <row r="58" spans="2:29" x14ac:dyDescent="0.25">
      <c r="B58" s="67" t="s">
        <v>99</v>
      </c>
      <c r="C58" s="67">
        <v>16</v>
      </c>
      <c r="D58" s="145">
        <v>8991317</v>
      </c>
      <c r="S58" s="224"/>
      <c r="T58" s="215"/>
      <c r="U58" s="215"/>
      <c r="V58" s="215"/>
      <c r="W58" s="215"/>
      <c r="X58" s="215"/>
      <c r="Y58" s="215"/>
      <c r="Z58" s="215"/>
      <c r="AA58" s="216"/>
      <c r="AC58" s="4"/>
    </row>
    <row r="59" spans="2:29" x14ac:dyDescent="0.25">
      <c r="B59" s="176" t="s">
        <v>111</v>
      </c>
      <c r="C59" s="176">
        <v>32</v>
      </c>
      <c r="D59" s="181">
        <v>1802500</v>
      </c>
      <c r="S59" s="224"/>
      <c r="T59" s="215"/>
      <c r="U59" s="215"/>
      <c r="V59" s="215"/>
      <c r="W59" s="215"/>
      <c r="X59" s="215"/>
      <c r="Y59" s="215"/>
      <c r="Z59" s="215"/>
      <c r="AA59" s="216"/>
      <c r="AC59" s="4"/>
    </row>
    <row r="60" spans="2:29" ht="14.4" x14ac:dyDescent="0.25">
      <c r="B60" s="228"/>
      <c r="C60" s="229"/>
      <c r="D60" s="230">
        <f>SUM(D55:D59)</f>
        <v>52442632.507999994</v>
      </c>
      <c r="S60" s="224"/>
      <c r="T60" s="215"/>
      <c r="U60" s="215"/>
      <c r="V60" s="215"/>
      <c r="W60" s="215"/>
      <c r="X60" s="215"/>
      <c r="Y60" s="215"/>
      <c r="Z60" s="215"/>
      <c r="AA60" s="216"/>
      <c r="AC60" s="4"/>
    </row>
    <row r="61" spans="2:29" x14ac:dyDescent="0.25">
      <c r="D61" s="223"/>
      <c r="S61" s="224"/>
      <c r="T61" s="215"/>
      <c r="U61" s="215"/>
      <c r="V61" s="215"/>
      <c r="W61" s="215"/>
      <c r="X61" s="215"/>
      <c r="Y61" s="215"/>
      <c r="Z61" s="215"/>
      <c r="AA61" s="216"/>
      <c r="AC61" s="4"/>
    </row>
  </sheetData>
  <mergeCells count="6">
    <mergeCell ref="A42:A45"/>
    <mergeCell ref="A2:A4"/>
    <mergeCell ref="A5:A22"/>
    <mergeCell ref="A23:A32"/>
    <mergeCell ref="A33:A36"/>
    <mergeCell ref="A37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F2A1-F372-47AC-8184-7E79EA0625C1}">
  <dimension ref="A1:M245"/>
  <sheetViews>
    <sheetView showGridLines="0" tabSelected="1" workbookViewId="0">
      <pane ySplit="1" topLeftCell="A39" activePane="bottomLeft" state="frozen"/>
      <selection pane="bottomLeft" activeCell="N4" sqref="N4"/>
    </sheetView>
  </sheetViews>
  <sheetFormatPr defaultRowHeight="13.2" x14ac:dyDescent="0.25"/>
  <cols>
    <col min="1" max="2" width="8.6640625" style="237" bestFit="1" customWidth="1"/>
    <col min="3" max="3" width="24.33203125" customWidth="1"/>
    <col min="4" max="4" width="32.6640625" bestFit="1" customWidth="1"/>
    <col min="5" max="5" width="97.44140625" bestFit="1" customWidth="1"/>
    <col min="6" max="7" width="16.5546875" customWidth="1"/>
    <col min="8" max="8" width="16.5546875" hidden="1" customWidth="1"/>
    <col min="9" max="9" width="17.5546875" customWidth="1"/>
    <col min="10" max="10" width="19.33203125" customWidth="1"/>
    <col min="11" max="11" width="12.88671875" customWidth="1"/>
    <col min="12" max="12" width="6.33203125" style="294" customWidth="1"/>
  </cols>
  <sheetData>
    <row r="1" spans="1:13" ht="15" thickBot="1" x14ac:dyDescent="0.35">
      <c r="A1" s="601" t="s">
        <v>124</v>
      </c>
      <c r="B1" s="602"/>
      <c r="C1" s="6" t="s">
        <v>125</v>
      </c>
      <c r="D1" s="232" t="s">
        <v>126</v>
      </c>
      <c r="E1" s="6" t="s">
        <v>1</v>
      </c>
      <c r="F1" s="7" t="s">
        <v>127</v>
      </c>
      <c r="G1" s="7" t="s">
        <v>128</v>
      </c>
      <c r="H1" s="270" t="s">
        <v>129</v>
      </c>
      <c r="I1" s="270" t="s">
        <v>130</v>
      </c>
      <c r="J1" s="270" t="s">
        <v>17</v>
      </c>
      <c r="K1" s="278" t="s">
        <v>26</v>
      </c>
      <c r="L1" s="394" t="s">
        <v>131</v>
      </c>
    </row>
    <row r="2" spans="1:13" ht="15" thickBot="1" x14ac:dyDescent="0.35">
      <c r="A2" s="603" t="s">
        <v>132</v>
      </c>
      <c r="B2" s="603"/>
      <c r="C2" s="372"/>
      <c r="D2" s="238" t="s">
        <v>27</v>
      </c>
      <c r="E2" s="239" t="s">
        <v>28</v>
      </c>
      <c r="F2" s="19">
        <f>PREÇOS!F92</f>
        <v>3</v>
      </c>
      <c r="G2" s="374"/>
      <c r="H2" s="350" t="str">
        <f>IF(K2="SIM","","ALTERAR")</f>
        <v/>
      </c>
      <c r="I2" s="350">
        <f>PREÇOS!E92</f>
        <v>1296562.4138240002</v>
      </c>
      <c r="J2" s="269">
        <f>I2*F2</f>
        <v>3889687.2414720003</v>
      </c>
      <c r="K2" s="279" t="s">
        <v>31</v>
      </c>
      <c r="L2" s="292" t="s">
        <v>133</v>
      </c>
      <c r="M2" t="s">
        <v>134</v>
      </c>
    </row>
    <row r="3" spans="1:13" ht="15" thickBot="1" x14ac:dyDescent="0.35">
      <c r="A3" s="604"/>
      <c r="B3" s="604"/>
      <c r="C3" s="582" t="s">
        <v>135</v>
      </c>
      <c r="D3" s="373" t="s">
        <v>136</v>
      </c>
      <c r="E3" s="241" t="s">
        <v>33</v>
      </c>
      <c r="F3" s="348">
        <f>PREÇOS!F97</f>
        <v>13</v>
      </c>
      <c r="G3" s="577">
        <f>F3+F4</f>
        <v>22</v>
      </c>
      <c r="H3" s="353" t="str">
        <f t="shared" ref="H3" si="0">IF(K3="SIM","","ALTERAR")</f>
        <v/>
      </c>
      <c r="I3" s="356">
        <f>PREÇOS!E97</f>
        <v>183056.64000000001</v>
      </c>
      <c r="J3" s="360">
        <f t="shared" ref="J3" si="1">I3*F3</f>
        <v>2379736.3200000003</v>
      </c>
      <c r="K3" s="280" t="s">
        <v>31</v>
      </c>
      <c r="L3" s="292" t="s">
        <v>133</v>
      </c>
      <c r="M3" t="s">
        <v>134</v>
      </c>
    </row>
    <row r="4" spans="1:13" ht="15" thickBot="1" x14ac:dyDescent="0.35">
      <c r="A4" s="604"/>
      <c r="B4" s="604"/>
      <c r="C4" s="582"/>
      <c r="D4" s="380" t="s">
        <v>137</v>
      </c>
      <c r="E4" s="242" t="s">
        <v>33</v>
      </c>
      <c r="F4" s="349">
        <f>PREÇOS!F98</f>
        <v>9</v>
      </c>
      <c r="G4" s="578"/>
      <c r="H4" s="354" t="str">
        <f t="shared" ref="H4:H57" si="2">IF(K4="SIM","","ALTERAR")</f>
        <v/>
      </c>
      <c r="I4" s="368">
        <f>PREÇOS!E98</f>
        <v>163688.704</v>
      </c>
      <c r="J4" s="360">
        <f t="shared" ref="J4:J26" si="3">I4*F4</f>
        <v>1473198.3359999999</v>
      </c>
      <c r="K4" s="280" t="s">
        <v>31</v>
      </c>
      <c r="L4" s="292" t="s">
        <v>133</v>
      </c>
      <c r="M4" t="s">
        <v>134</v>
      </c>
    </row>
    <row r="5" spans="1:13" ht="15" thickBot="1" x14ac:dyDescent="0.3">
      <c r="A5" s="604"/>
      <c r="B5" s="604"/>
      <c r="C5" s="592" t="s">
        <v>34</v>
      </c>
      <c r="D5" s="391" t="s">
        <v>138</v>
      </c>
      <c r="E5" s="386" t="s">
        <v>35</v>
      </c>
      <c r="F5" s="236">
        <f>PREÇOS!F101</f>
        <v>11</v>
      </c>
      <c r="G5" s="595">
        <f>SUM(F5:F8)</f>
        <v>21</v>
      </c>
      <c r="H5" s="387" t="str">
        <f t="shared" ref="H5:H7" si="4">IF(K5="SIM","","ALTERAR")</f>
        <v>ALTERAR</v>
      </c>
      <c r="I5" s="396">
        <f>INICIAL!$S$4/INICIAL!$D$4</f>
        <v>10606.22</v>
      </c>
      <c r="J5" s="360">
        <f t="shared" ref="J5:J7" si="5">I5*F5</f>
        <v>116668.42</v>
      </c>
      <c r="K5" s="281" t="s">
        <v>40</v>
      </c>
      <c r="L5" s="292" t="s">
        <v>133</v>
      </c>
      <c r="M5" t="s">
        <v>134</v>
      </c>
    </row>
    <row r="6" spans="1:13" ht="15" thickBot="1" x14ac:dyDescent="0.3">
      <c r="A6" s="604"/>
      <c r="B6" s="604"/>
      <c r="C6" s="593"/>
      <c r="D6" s="392" t="s">
        <v>139</v>
      </c>
      <c r="E6" s="388" t="s">
        <v>35</v>
      </c>
      <c r="F6" s="73">
        <f>PREÇOS!F102</f>
        <v>3</v>
      </c>
      <c r="G6" s="596"/>
      <c r="H6" s="354" t="str">
        <f t="shared" ref="H6" si="6">IF(K6="SIM","","ALTERAR")</f>
        <v>ALTERAR</v>
      </c>
      <c r="I6" s="397">
        <f>INICIAL!$S$4/INICIAL!$D$4</f>
        <v>10606.22</v>
      </c>
      <c r="J6" s="360">
        <f t="shared" ref="J6" si="7">I6*F6</f>
        <v>31818.659999999996</v>
      </c>
      <c r="K6" s="281" t="s">
        <v>40</v>
      </c>
      <c r="L6" s="292" t="s">
        <v>133</v>
      </c>
      <c r="M6" t="s">
        <v>134</v>
      </c>
    </row>
    <row r="7" spans="1:13" ht="15" thickBot="1" x14ac:dyDescent="0.3">
      <c r="A7" s="604"/>
      <c r="B7" s="604"/>
      <c r="C7" s="593"/>
      <c r="D7" s="392" t="s">
        <v>140</v>
      </c>
      <c r="E7" s="388" t="s">
        <v>35</v>
      </c>
      <c r="F7" s="73">
        <f>PREÇOS!F103</f>
        <v>1</v>
      </c>
      <c r="G7" s="596"/>
      <c r="H7" s="354" t="str">
        <f t="shared" si="4"/>
        <v>ALTERAR</v>
      </c>
      <c r="I7" s="397">
        <f>INICIAL!$S$4/INICIAL!$D$4</f>
        <v>10606.22</v>
      </c>
      <c r="J7" s="360">
        <f t="shared" si="5"/>
        <v>10606.22</v>
      </c>
      <c r="K7" s="281" t="s">
        <v>40</v>
      </c>
      <c r="L7" s="292" t="s">
        <v>133</v>
      </c>
      <c r="M7" t="s">
        <v>134</v>
      </c>
    </row>
    <row r="8" spans="1:13" ht="15" thickBot="1" x14ac:dyDescent="0.3">
      <c r="A8" s="604"/>
      <c r="B8" s="604"/>
      <c r="C8" s="594"/>
      <c r="D8" s="393" t="s">
        <v>141</v>
      </c>
      <c r="E8" s="389" t="s">
        <v>35</v>
      </c>
      <c r="F8" s="233">
        <f>PREÇOS!F104</f>
        <v>6</v>
      </c>
      <c r="G8" s="597"/>
      <c r="H8" s="390" t="str">
        <f t="shared" si="2"/>
        <v>ALTERAR</v>
      </c>
      <c r="I8" s="398">
        <f>INICIAL!$S$4/INICIAL!$D$4</f>
        <v>10606.22</v>
      </c>
      <c r="J8" s="360">
        <f t="shared" si="3"/>
        <v>63637.319999999992</v>
      </c>
      <c r="K8" s="281" t="s">
        <v>40</v>
      </c>
      <c r="L8" s="292" t="s">
        <v>133</v>
      </c>
      <c r="M8" t="s">
        <v>134</v>
      </c>
    </row>
    <row r="9" spans="1:13" ht="15" thickBot="1" x14ac:dyDescent="0.35">
      <c r="A9" s="604"/>
      <c r="B9" s="604"/>
      <c r="C9" s="586" t="s">
        <v>37</v>
      </c>
      <c r="D9" s="381" t="s">
        <v>41</v>
      </c>
      <c r="E9" s="245" t="s">
        <v>42</v>
      </c>
      <c r="F9" s="369">
        <f>SUM(PREÇOS!F27:F30)</f>
        <v>40</v>
      </c>
      <c r="G9" s="578">
        <f>SUM(F9:F13)</f>
        <v>118</v>
      </c>
      <c r="H9" s="370" t="str">
        <f t="shared" si="2"/>
        <v>ALTERAR</v>
      </c>
      <c r="I9" s="362">
        <f>SUMPRODUCT(PREÇOS!$E$27:$E$30,PREÇOS!$F$27:$F$30)/F9</f>
        <v>65293.326656000005</v>
      </c>
      <c r="J9" s="382">
        <f t="shared" si="3"/>
        <v>2611733.0662400001</v>
      </c>
      <c r="K9" s="384" t="s">
        <v>40</v>
      </c>
      <c r="L9" s="292" t="s">
        <v>133</v>
      </c>
      <c r="M9" t="s">
        <v>134</v>
      </c>
    </row>
    <row r="10" spans="1:13" ht="15" thickBot="1" x14ac:dyDescent="0.35">
      <c r="A10" s="604"/>
      <c r="B10" s="604"/>
      <c r="C10" s="587"/>
      <c r="D10" s="244" t="s">
        <v>142</v>
      </c>
      <c r="E10" s="245" t="s">
        <v>42</v>
      </c>
      <c r="F10" s="369">
        <f>SUM(PREÇOS!$F$5:$F$7)</f>
        <v>26</v>
      </c>
      <c r="G10" s="578"/>
      <c r="H10" s="370" t="str">
        <f t="shared" si="2"/>
        <v>ALTERAR</v>
      </c>
      <c r="I10" s="399">
        <f>SUMPRODUCT(PREÇOS!$E$5:$E$7,PREÇOS!$F$5:$F$7)/F10</f>
        <v>96592.544984615393</v>
      </c>
      <c r="J10" s="382">
        <f t="shared" si="3"/>
        <v>2511406.1696000001</v>
      </c>
      <c r="K10" s="384" t="s">
        <v>40</v>
      </c>
      <c r="L10" s="292" t="s">
        <v>133</v>
      </c>
      <c r="M10" t="s">
        <v>134</v>
      </c>
    </row>
    <row r="11" spans="1:13" ht="15" thickBot="1" x14ac:dyDescent="0.35">
      <c r="A11" s="604"/>
      <c r="B11" s="604"/>
      <c r="C11" s="587"/>
      <c r="D11" s="244" t="s">
        <v>143</v>
      </c>
      <c r="E11" s="245" t="s">
        <v>42</v>
      </c>
      <c r="F11" s="369">
        <f>SUM(PREÇOS!$F$10:$F$11)</f>
        <v>5</v>
      </c>
      <c r="G11" s="578"/>
      <c r="H11" s="370" t="str">
        <f t="shared" si="2"/>
        <v>ALTERAR</v>
      </c>
      <c r="I11" s="362">
        <f>SUMPRODUCT(PREÇOS!$E$10:$E$11,PREÇOS!$F$10:$F$11)/F11</f>
        <v>292250.31608319998</v>
      </c>
      <c r="J11" s="382">
        <f t="shared" si="3"/>
        <v>1461251.580416</v>
      </c>
      <c r="K11" s="384" t="s">
        <v>40</v>
      </c>
      <c r="L11" s="292" t="s">
        <v>133</v>
      </c>
      <c r="M11" t="s">
        <v>134</v>
      </c>
    </row>
    <row r="12" spans="1:13" ht="15" thickBot="1" x14ac:dyDescent="0.35">
      <c r="A12" s="604"/>
      <c r="B12" s="604"/>
      <c r="C12" s="587"/>
      <c r="D12" s="244" t="s">
        <v>144</v>
      </c>
      <c r="E12" s="245" t="s">
        <v>28</v>
      </c>
      <c r="F12" s="369">
        <f>SUM(PREÇOS!F2:F4)</f>
        <v>6</v>
      </c>
      <c r="G12" s="578"/>
      <c r="H12" s="370" t="str">
        <f t="shared" si="2"/>
        <v>ALTERAR</v>
      </c>
      <c r="I12" s="362">
        <f>((PREÇOS!$E$8*PREÇOS!$F$8)+(PREÇOS!$E$2*PREÇOS!$F$2))/F12</f>
        <v>1747940.2158080004</v>
      </c>
      <c r="J12" s="382">
        <f t="shared" si="3"/>
        <v>10487641.294848002</v>
      </c>
      <c r="K12" s="384" t="s">
        <v>40</v>
      </c>
      <c r="L12" s="292" t="s">
        <v>133</v>
      </c>
      <c r="M12" t="s">
        <v>134</v>
      </c>
    </row>
    <row r="13" spans="1:13" ht="15" thickBot="1" x14ac:dyDescent="0.35">
      <c r="A13" s="604"/>
      <c r="B13" s="604"/>
      <c r="C13" s="588"/>
      <c r="D13" s="246" t="s">
        <v>145</v>
      </c>
      <c r="E13" s="247" t="s">
        <v>28</v>
      </c>
      <c r="F13" s="351">
        <f>PREÇOS!$F$8+PREÇOS!$F$12</f>
        <v>41</v>
      </c>
      <c r="G13" s="579"/>
      <c r="H13" s="371" t="str">
        <f t="shared" si="2"/>
        <v>ALTERAR</v>
      </c>
      <c r="I13" s="383">
        <f>((PREÇOS!$F$8*PREÇOS!$E$8)+(PREÇOS!$F$12*PREÇOS!$E$12))/F13</f>
        <v>250456.44992312198</v>
      </c>
      <c r="J13" s="361">
        <f t="shared" si="3"/>
        <v>10268714.446848001</v>
      </c>
      <c r="K13" s="385" t="s">
        <v>40</v>
      </c>
      <c r="L13" s="292" t="s">
        <v>133</v>
      </c>
      <c r="M13" t="s">
        <v>134</v>
      </c>
    </row>
    <row r="14" spans="1:13" ht="15" thickBot="1" x14ac:dyDescent="0.35">
      <c r="A14" s="604"/>
      <c r="B14" s="604"/>
      <c r="C14" s="585" t="s">
        <v>146</v>
      </c>
      <c r="D14" s="248" t="s">
        <v>43</v>
      </c>
      <c r="E14" s="249" t="s">
        <v>44</v>
      </c>
      <c r="F14" s="231">
        <f>PREÇOS!$F$71</f>
        <v>64</v>
      </c>
      <c r="G14" s="589">
        <f>SUM(F14:F16)</f>
        <v>73</v>
      </c>
      <c r="H14" s="357" t="str">
        <f t="shared" si="2"/>
        <v>ALTERAR</v>
      </c>
      <c r="I14" s="357">
        <f>PREÇOS!$E$71</f>
        <v>50914.944000000003</v>
      </c>
      <c r="J14" s="359">
        <f t="shared" si="3"/>
        <v>3258556.4160000002</v>
      </c>
      <c r="K14" s="401" t="s">
        <v>40</v>
      </c>
      <c r="L14" s="292" t="s">
        <v>133</v>
      </c>
      <c r="M14" t="s">
        <v>134</v>
      </c>
    </row>
    <row r="15" spans="1:13" ht="15" thickBot="1" x14ac:dyDescent="0.35">
      <c r="A15" s="604"/>
      <c r="B15" s="604"/>
      <c r="C15" s="585"/>
      <c r="D15" s="250" t="s">
        <v>147</v>
      </c>
      <c r="E15" s="251" t="s">
        <v>44</v>
      </c>
      <c r="F15" s="233">
        <f>PREÇOS!$F$72</f>
        <v>2</v>
      </c>
      <c r="G15" s="589"/>
      <c r="H15" s="363" t="str">
        <f t="shared" si="2"/>
        <v/>
      </c>
      <c r="I15" s="363">
        <f>PREÇOS!$E$72</f>
        <v>292890.62400000001</v>
      </c>
      <c r="J15" s="360">
        <f t="shared" si="3"/>
        <v>585781.24800000002</v>
      </c>
      <c r="K15" s="402" t="s">
        <v>31</v>
      </c>
      <c r="L15" s="292" t="s">
        <v>133</v>
      </c>
      <c r="M15" t="s">
        <v>134</v>
      </c>
    </row>
    <row r="16" spans="1:13" ht="15" thickBot="1" x14ac:dyDescent="0.35">
      <c r="A16" s="604"/>
      <c r="B16" s="604"/>
      <c r="C16" s="585"/>
      <c r="D16" s="252" t="s">
        <v>148</v>
      </c>
      <c r="E16" s="253" t="s">
        <v>44</v>
      </c>
      <c r="F16" s="73">
        <f>PREÇOS!$F$68+PREÇOS!$F$69+PREÇOS!$F$70</f>
        <v>7</v>
      </c>
      <c r="G16" s="589"/>
      <c r="H16" s="358" t="str">
        <f t="shared" si="2"/>
        <v/>
      </c>
      <c r="I16" s="358">
        <f>((PREÇOS!$F$68*PREÇOS!$E$68)+(PREÇOS!$F$69*PREÇOS!$E$69)+(PREÇOS!$F$70*PREÇOS!$E$70))/F16</f>
        <v>124568.15542857142</v>
      </c>
      <c r="J16" s="360">
        <f t="shared" si="3"/>
        <v>871977.08799999999</v>
      </c>
      <c r="K16" s="283" t="s">
        <v>31</v>
      </c>
      <c r="L16" s="292" t="s">
        <v>133</v>
      </c>
      <c r="M16" t="s">
        <v>134</v>
      </c>
    </row>
    <row r="17" spans="1:13" ht="15" thickBot="1" x14ac:dyDescent="0.35">
      <c r="A17" s="604"/>
      <c r="B17" s="604"/>
      <c r="C17" s="580" t="s">
        <v>149</v>
      </c>
      <c r="D17" s="254" t="s">
        <v>46</v>
      </c>
      <c r="E17" s="266" t="s">
        <v>44</v>
      </c>
      <c r="F17" s="263">
        <f>PREÇOS!$F$153</f>
        <v>13</v>
      </c>
      <c r="G17" s="590">
        <f>SUM(F17:F21)</f>
        <v>82</v>
      </c>
      <c r="H17" s="357" t="str">
        <f t="shared" si="2"/>
        <v/>
      </c>
      <c r="I17" s="357">
        <f>PREÇOS!$E$153</f>
        <v>12645.285888000002</v>
      </c>
      <c r="J17" s="360">
        <f t="shared" si="3"/>
        <v>164388.71654400002</v>
      </c>
      <c r="K17" s="235" t="s">
        <v>31</v>
      </c>
      <c r="L17" s="292" t="s">
        <v>133</v>
      </c>
      <c r="M17" t="s">
        <v>134</v>
      </c>
    </row>
    <row r="18" spans="1:13" ht="15" thickBot="1" x14ac:dyDescent="0.35">
      <c r="A18" s="604"/>
      <c r="B18" s="604"/>
      <c r="C18" s="585"/>
      <c r="D18" s="250" t="s">
        <v>47</v>
      </c>
      <c r="E18" s="267" t="s">
        <v>44</v>
      </c>
      <c r="F18" s="264">
        <f>PREÇOS!$F$144</f>
        <v>7</v>
      </c>
      <c r="G18" s="589"/>
      <c r="H18" s="364" t="str">
        <f t="shared" si="2"/>
        <v/>
      </c>
      <c r="I18" s="364">
        <f>PREÇOS!$E$144</f>
        <v>28310.784000000003</v>
      </c>
      <c r="J18" s="360">
        <f t="shared" si="3"/>
        <v>198175.48800000001</v>
      </c>
      <c r="K18" s="280" t="s">
        <v>31</v>
      </c>
      <c r="L18" s="292" t="s">
        <v>133</v>
      </c>
      <c r="M18" t="s">
        <v>134</v>
      </c>
    </row>
    <row r="19" spans="1:13" ht="15" thickBot="1" x14ac:dyDescent="0.35">
      <c r="A19" s="604"/>
      <c r="B19" s="604"/>
      <c r="C19" s="585"/>
      <c r="D19" s="250" t="s">
        <v>48</v>
      </c>
      <c r="E19" s="267" t="s">
        <v>44</v>
      </c>
      <c r="F19" s="264">
        <f>SUM(PREÇOS!$F$156:$F$158)</f>
        <v>35</v>
      </c>
      <c r="G19" s="589"/>
      <c r="H19" s="364" t="str">
        <f t="shared" si="2"/>
        <v/>
      </c>
      <c r="I19" s="364">
        <f>SUMPRODUCT(PREÇOS!$F$156:$F$158,PREÇOS!$E$156:$E$158)/F19</f>
        <v>9275.400543085716</v>
      </c>
      <c r="J19" s="360">
        <f t="shared" si="3"/>
        <v>324639.01900800003</v>
      </c>
      <c r="K19" s="280" t="s">
        <v>31</v>
      </c>
      <c r="L19" s="292" t="s">
        <v>133</v>
      </c>
      <c r="M19" t="s">
        <v>134</v>
      </c>
    </row>
    <row r="20" spans="1:13" ht="15" thickBot="1" x14ac:dyDescent="0.35">
      <c r="A20" s="604"/>
      <c r="B20" s="604"/>
      <c r="C20" s="585"/>
      <c r="D20" s="250" t="s">
        <v>49</v>
      </c>
      <c r="E20" s="267" t="s">
        <v>44</v>
      </c>
      <c r="F20" s="264">
        <f>PREÇOS!$F$152</f>
        <v>12</v>
      </c>
      <c r="G20" s="589"/>
      <c r="H20" s="364" t="str">
        <f t="shared" si="2"/>
        <v/>
      </c>
      <c r="I20" s="364">
        <f>PREÇOS!$E$152</f>
        <v>26433.280000000002</v>
      </c>
      <c r="J20" s="360">
        <f t="shared" si="3"/>
        <v>317199.36000000004</v>
      </c>
      <c r="K20" s="280" t="s">
        <v>31</v>
      </c>
      <c r="L20" s="292" t="s">
        <v>133</v>
      </c>
      <c r="M20" t="s">
        <v>134</v>
      </c>
    </row>
    <row r="21" spans="1:13" ht="15" thickBot="1" x14ac:dyDescent="0.35">
      <c r="A21" s="604"/>
      <c r="B21" s="604"/>
      <c r="C21" s="581"/>
      <c r="D21" s="255" t="s">
        <v>50</v>
      </c>
      <c r="E21" s="268" t="s">
        <v>150</v>
      </c>
      <c r="F21" s="265">
        <f>SUM(PREÇOS!$F$145:$F$148)</f>
        <v>15</v>
      </c>
      <c r="G21" s="591"/>
      <c r="H21" s="363" t="str">
        <f t="shared" si="2"/>
        <v/>
      </c>
      <c r="I21" s="403">
        <f>SUMPRODUCT(PREÇOS!$F$145:$F$148,PREÇOS!$E$145:$E$148)/F21</f>
        <v>30292.0448</v>
      </c>
      <c r="J21" s="360">
        <f t="shared" si="3"/>
        <v>454380.67200000002</v>
      </c>
      <c r="K21" s="280" t="s">
        <v>31</v>
      </c>
      <c r="L21" s="292" t="s">
        <v>133</v>
      </c>
      <c r="M21" t="s">
        <v>134</v>
      </c>
    </row>
    <row r="22" spans="1:13" ht="15" thickBot="1" x14ac:dyDescent="0.35">
      <c r="A22" s="604"/>
      <c r="B22" s="604"/>
      <c r="C22" s="240"/>
      <c r="D22" s="256" t="s">
        <v>52</v>
      </c>
      <c r="E22" s="257" t="s">
        <v>44</v>
      </c>
      <c r="F22" s="195">
        <f>PREÇOS!$F$142</f>
        <v>4</v>
      </c>
      <c r="G22" s="234"/>
      <c r="H22" s="352" t="str">
        <f t="shared" si="2"/>
        <v>ALTERAR</v>
      </c>
      <c r="I22" s="367">
        <f>PREÇOS!$E$142</f>
        <v>272929.79200000002</v>
      </c>
      <c r="J22" s="360">
        <f t="shared" si="3"/>
        <v>1091719.1680000001</v>
      </c>
      <c r="K22" s="401" t="s">
        <v>40</v>
      </c>
      <c r="L22" s="292" t="s">
        <v>133</v>
      </c>
      <c r="M22" t="s">
        <v>134</v>
      </c>
    </row>
    <row r="23" spans="1:13" ht="15" thickBot="1" x14ac:dyDescent="0.35">
      <c r="A23" s="604"/>
      <c r="B23" s="604"/>
      <c r="C23" s="580" t="s">
        <v>151</v>
      </c>
      <c r="D23" s="274" t="s">
        <v>53</v>
      </c>
      <c r="E23" s="260" t="s">
        <v>58</v>
      </c>
      <c r="F23" s="297">
        <f>SUM(PREÇOS!$F$19:$F$22)</f>
        <v>19</v>
      </c>
      <c r="G23" s="598">
        <f>SUM(F23:F26)</f>
        <v>98</v>
      </c>
      <c r="H23" s="356" t="str">
        <f t="shared" si="2"/>
        <v>ALTERAR</v>
      </c>
      <c r="I23" s="404">
        <f>SUMPRODUCT(PREÇOS!$F$19:$F$22,PREÇOS!$E$19:$E$22)/F23</f>
        <v>2144.7024640000004</v>
      </c>
      <c r="J23" s="360">
        <f t="shared" si="3"/>
        <v>40749.346816000005</v>
      </c>
      <c r="K23" s="401" t="s">
        <v>40</v>
      </c>
      <c r="L23" s="292" t="s">
        <v>133</v>
      </c>
      <c r="M23" t="s">
        <v>134</v>
      </c>
    </row>
    <row r="24" spans="1:13" ht="15" thickBot="1" x14ac:dyDescent="0.35">
      <c r="A24" s="604"/>
      <c r="B24" s="604"/>
      <c r="C24" s="585"/>
      <c r="D24" s="275" t="s">
        <v>55</v>
      </c>
      <c r="E24" s="261" t="s">
        <v>56</v>
      </c>
      <c r="F24" s="298">
        <f>SUM(PREÇOS!F31:F34)</f>
        <v>47</v>
      </c>
      <c r="G24" s="599"/>
      <c r="H24" s="364" t="str">
        <f t="shared" si="2"/>
        <v/>
      </c>
      <c r="I24" s="364">
        <f>SUMPRODUCT(PREÇOS!F31:F34,PREÇOS!E31:E34)/F24</f>
        <v>3280.6912000000007</v>
      </c>
      <c r="J24" s="360">
        <f t="shared" si="3"/>
        <v>154192.48640000002</v>
      </c>
      <c r="K24" s="280" t="s">
        <v>31</v>
      </c>
      <c r="L24" s="292" t="s">
        <v>133</v>
      </c>
      <c r="M24" t="s">
        <v>134</v>
      </c>
    </row>
    <row r="25" spans="1:13" ht="15" thickBot="1" x14ac:dyDescent="0.3">
      <c r="A25" s="604"/>
      <c r="B25" s="604"/>
      <c r="C25" s="585"/>
      <c r="D25" s="276" t="s">
        <v>57</v>
      </c>
      <c r="E25" s="261" t="s">
        <v>152</v>
      </c>
      <c r="F25" s="298">
        <f>SUM(PREÇOS!F183:F185)</f>
        <v>23</v>
      </c>
      <c r="G25" s="599"/>
      <c r="H25" s="364" t="str">
        <f t="shared" si="2"/>
        <v/>
      </c>
      <c r="I25" s="364">
        <f>SUMPRODUCT(PREÇOS!F183:F185,PREÇOS!E183:E185)/F25</f>
        <v>4404.7103109565214</v>
      </c>
      <c r="J25" s="360">
        <f t="shared" si="3"/>
        <v>101308.33715199999</v>
      </c>
      <c r="K25" s="280" t="s">
        <v>31</v>
      </c>
      <c r="L25" s="292" t="s">
        <v>133</v>
      </c>
      <c r="M25" t="s">
        <v>134</v>
      </c>
    </row>
    <row r="26" spans="1:13" ht="15" thickBot="1" x14ac:dyDescent="0.3">
      <c r="A26" s="604"/>
      <c r="B26" s="604"/>
      <c r="C26" s="585"/>
      <c r="D26" s="276" t="s">
        <v>153</v>
      </c>
      <c r="E26" s="288" t="s">
        <v>60</v>
      </c>
      <c r="F26" s="306">
        <f>SUM(PREÇOS!F85:F89)</f>
        <v>9</v>
      </c>
      <c r="G26" s="600"/>
      <c r="H26" s="363" t="str">
        <f t="shared" si="2"/>
        <v/>
      </c>
      <c r="I26" s="363">
        <f>SUMPRODUCT(PREÇOS!F85:F89,PREÇOS!E85:E89)/F26</f>
        <v>29147.810417777775</v>
      </c>
      <c r="J26" s="360">
        <f t="shared" si="3"/>
        <v>262330.29375999997</v>
      </c>
      <c r="K26" s="286" t="s">
        <v>31</v>
      </c>
      <c r="L26" s="292" t="s">
        <v>133</v>
      </c>
      <c r="M26" t="s">
        <v>134</v>
      </c>
    </row>
    <row r="27" spans="1:13" ht="14.4" x14ac:dyDescent="0.3">
      <c r="A27" s="604"/>
      <c r="B27" s="604"/>
      <c r="C27" s="580" t="s">
        <v>61</v>
      </c>
      <c r="D27" s="290" t="s">
        <v>154</v>
      </c>
      <c r="E27" s="304" t="s">
        <v>155</v>
      </c>
      <c r="F27" s="295">
        <v>29</v>
      </c>
      <c r="G27" s="583">
        <f>SUM(F27:F28)</f>
        <v>35</v>
      </c>
      <c r="H27" s="365" t="str">
        <f t="shared" si="2"/>
        <v/>
      </c>
      <c r="I27" s="365">
        <f>PREÇOS!E40</f>
        <v>22233.600000000002</v>
      </c>
      <c r="J27" s="299">
        <f t="shared" ref="J27:J58" si="8">I27*F27</f>
        <v>644774.40000000002</v>
      </c>
      <c r="K27" s="302" t="s">
        <v>31</v>
      </c>
      <c r="L27" s="301" t="s">
        <v>133</v>
      </c>
      <c r="M27" t="s">
        <v>134</v>
      </c>
    </row>
    <row r="28" spans="1:13" ht="15" thickBot="1" x14ac:dyDescent="0.35">
      <c r="A28" s="604"/>
      <c r="B28" s="604"/>
      <c r="C28" s="581"/>
      <c r="D28" s="291" t="s">
        <v>156</v>
      </c>
      <c r="E28" s="305" t="s">
        <v>157</v>
      </c>
      <c r="F28" s="296">
        <v>6</v>
      </c>
      <c r="G28" s="584"/>
      <c r="H28" s="366" t="str">
        <f t="shared" si="2"/>
        <v/>
      </c>
      <c r="I28" s="366">
        <f>PREÇOS!E43</f>
        <v>15474.5856</v>
      </c>
      <c r="J28" s="300">
        <f t="shared" si="8"/>
        <v>92847.513600000006</v>
      </c>
      <c r="K28" s="303" t="s">
        <v>31</v>
      </c>
      <c r="L28" s="482" t="s">
        <v>133</v>
      </c>
      <c r="M28" t="s">
        <v>134</v>
      </c>
    </row>
    <row r="29" spans="1:13" ht="15" thickBot="1" x14ac:dyDescent="0.35">
      <c r="A29" s="604"/>
      <c r="B29" s="604"/>
      <c r="C29" s="243"/>
      <c r="D29" s="259" t="s">
        <v>64</v>
      </c>
      <c r="E29" s="289" t="s">
        <v>65</v>
      </c>
      <c r="F29" s="231">
        <f>PREÇOS!F123</f>
        <v>3</v>
      </c>
      <c r="G29" s="277"/>
      <c r="H29" s="356" t="str">
        <f t="shared" si="2"/>
        <v/>
      </c>
      <c r="I29" s="356">
        <f>PREÇOS!E123</f>
        <v>38827.523840000002</v>
      </c>
      <c r="J29" s="359">
        <f t="shared" si="8"/>
        <v>116482.57152</v>
      </c>
      <c r="K29" s="235" t="s">
        <v>31</v>
      </c>
      <c r="L29" s="471" t="s">
        <v>133</v>
      </c>
      <c r="M29" t="s">
        <v>134</v>
      </c>
    </row>
    <row r="30" spans="1:13" ht="15" thickBot="1" x14ac:dyDescent="0.3">
      <c r="A30" s="604"/>
      <c r="B30" s="604"/>
      <c r="C30" s="243"/>
      <c r="D30" s="258" t="s">
        <v>67</v>
      </c>
      <c r="E30" s="261" t="s">
        <v>158</v>
      </c>
      <c r="F30" s="33">
        <f>SUM(PREÇOS!F107:F113)</f>
        <v>53</v>
      </c>
      <c r="G30" s="33"/>
      <c r="H30" s="364" t="str">
        <f t="shared" si="2"/>
        <v/>
      </c>
      <c r="I30" s="364">
        <f>SUMPRODUCT(PREÇOS!F107:F113,PREÇOS!E107:E113)/F30</f>
        <v>40880.904472150956</v>
      </c>
      <c r="J30" s="360">
        <f t="shared" si="8"/>
        <v>2166687.9370240006</v>
      </c>
      <c r="K30" s="280" t="s">
        <v>31</v>
      </c>
      <c r="L30" s="292" t="s">
        <v>133</v>
      </c>
      <c r="M30" t="s">
        <v>134</v>
      </c>
    </row>
    <row r="31" spans="1:13" ht="15" thickBot="1" x14ac:dyDescent="0.35">
      <c r="A31" s="604"/>
      <c r="B31" s="604"/>
      <c r="C31" s="262"/>
      <c r="D31" s="410" t="s">
        <v>69</v>
      </c>
      <c r="E31" s="288" t="s">
        <v>70</v>
      </c>
      <c r="F31" s="73">
        <v>46</v>
      </c>
      <c r="G31" s="195"/>
      <c r="H31" s="411" t="str">
        <f t="shared" si="2"/>
        <v>ALTERAR</v>
      </c>
      <c r="I31" s="411">
        <f>INICIAL!S22/F31</f>
        <v>83148.725826086957</v>
      </c>
      <c r="J31" s="360">
        <f t="shared" si="8"/>
        <v>3824841.3879999998</v>
      </c>
      <c r="K31" s="284" t="s">
        <v>40</v>
      </c>
      <c r="L31" s="293" t="s">
        <v>133</v>
      </c>
      <c r="M31" t="s">
        <v>134</v>
      </c>
    </row>
    <row r="32" spans="1:13" ht="15" customHeight="1" x14ac:dyDescent="0.3">
      <c r="A32" s="610" t="s">
        <v>71</v>
      </c>
      <c r="B32" s="535"/>
      <c r="C32" s="405"/>
      <c r="D32" s="413" t="s">
        <v>72</v>
      </c>
      <c r="E32" s="417" t="s">
        <v>73</v>
      </c>
      <c r="F32" s="297">
        <f>INICIAL!D23</f>
        <v>3</v>
      </c>
      <c r="G32" s="295"/>
      <c r="H32" s="424" t="str">
        <f t="shared" si="2"/>
        <v/>
      </c>
      <c r="I32" s="421">
        <f>INICIAL!S23/F32</f>
        <v>524000</v>
      </c>
      <c r="J32" s="428">
        <f t="shared" si="8"/>
        <v>1572000</v>
      </c>
      <c r="K32" s="105" t="s">
        <v>31</v>
      </c>
      <c r="L32" s="483"/>
      <c r="M32" t="s">
        <v>134</v>
      </c>
    </row>
    <row r="33" spans="1:13" ht="14.4" x14ac:dyDescent="0.3">
      <c r="A33" s="611"/>
      <c r="B33" s="536"/>
      <c r="C33" s="406"/>
      <c r="D33" s="414" t="s">
        <v>74</v>
      </c>
      <c r="E33" s="418" t="s">
        <v>75</v>
      </c>
      <c r="F33" s="298">
        <f>INICIAL!D24</f>
        <v>1</v>
      </c>
      <c r="G33" s="416"/>
      <c r="H33" s="425" t="str">
        <f t="shared" si="2"/>
        <v/>
      </c>
      <c r="I33" s="539">
        <f>INICIAL!S24/F33</f>
        <v>581012.5</v>
      </c>
      <c r="J33" s="429">
        <f t="shared" si="8"/>
        <v>581012.5</v>
      </c>
      <c r="K33" s="117" t="s">
        <v>31</v>
      </c>
      <c r="L33" s="292"/>
      <c r="M33" t="s">
        <v>134</v>
      </c>
    </row>
    <row r="34" spans="1:13" ht="14.4" x14ac:dyDescent="0.3">
      <c r="A34" s="611"/>
      <c r="B34" s="538" t="s">
        <v>159</v>
      </c>
      <c r="C34" s="406"/>
      <c r="D34" s="414" t="s">
        <v>76</v>
      </c>
      <c r="E34" s="419" t="s">
        <v>77</v>
      </c>
      <c r="F34" s="298">
        <f>INICIAL!D25</f>
        <v>5</v>
      </c>
      <c r="G34" s="416"/>
      <c r="H34" s="425" t="str">
        <f t="shared" si="2"/>
        <v/>
      </c>
      <c r="I34" s="422">
        <f>INICIAL!S25/F34</f>
        <v>50000</v>
      </c>
      <c r="J34" s="429">
        <f t="shared" si="8"/>
        <v>250000</v>
      </c>
      <c r="K34" s="117" t="s">
        <v>31</v>
      </c>
      <c r="L34" s="292"/>
      <c r="M34" t="s">
        <v>134</v>
      </c>
    </row>
    <row r="35" spans="1:13" ht="14.4" x14ac:dyDescent="0.3">
      <c r="A35" s="611"/>
      <c r="B35" s="538" t="s">
        <v>159</v>
      </c>
      <c r="C35" s="406"/>
      <c r="D35" s="414" t="s">
        <v>79</v>
      </c>
      <c r="E35" s="418" t="s">
        <v>77</v>
      </c>
      <c r="F35" s="298">
        <f>INICIAL!D26</f>
        <v>5</v>
      </c>
      <c r="G35" s="416"/>
      <c r="H35" s="425" t="str">
        <f t="shared" si="2"/>
        <v/>
      </c>
      <c r="I35" s="422">
        <f>INICIAL!S26/F35</f>
        <v>50000</v>
      </c>
      <c r="J35" s="429">
        <f t="shared" si="8"/>
        <v>250000</v>
      </c>
      <c r="K35" s="117" t="s">
        <v>31</v>
      </c>
      <c r="L35" s="292"/>
      <c r="M35" t="s">
        <v>134</v>
      </c>
    </row>
    <row r="36" spans="1:13" ht="14.4" x14ac:dyDescent="0.3">
      <c r="A36" s="611"/>
      <c r="B36" s="538" t="s">
        <v>159</v>
      </c>
      <c r="C36" s="406"/>
      <c r="D36" s="414" t="s">
        <v>81</v>
      </c>
      <c r="E36" s="418" t="s">
        <v>77</v>
      </c>
      <c r="F36" s="298">
        <f>INICIAL!D27</f>
        <v>5</v>
      </c>
      <c r="G36" s="416"/>
      <c r="H36" s="425" t="str">
        <f t="shared" si="2"/>
        <v/>
      </c>
      <c r="I36" s="422">
        <f>INICIAL!S27/F36</f>
        <v>25000</v>
      </c>
      <c r="J36" s="429">
        <f t="shared" si="8"/>
        <v>125000</v>
      </c>
      <c r="K36" s="117" t="s">
        <v>31</v>
      </c>
      <c r="L36" s="292"/>
      <c r="M36" t="s">
        <v>134</v>
      </c>
    </row>
    <row r="37" spans="1:13" ht="14.4" x14ac:dyDescent="0.3">
      <c r="A37" s="611"/>
      <c r="B37" s="537"/>
      <c r="C37" s="406"/>
      <c r="D37" s="414" t="s">
        <v>83</v>
      </c>
      <c r="E37" s="418" t="s">
        <v>84</v>
      </c>
      <c r="F37" s="298">
        <f>INICIAL!D28</f>
        <v>1</v>
      </c>
      <c r="G37" s="416"/>
      <c r="H37" s="426" t="str">
        <f t="shared" si="2"/>
        <v/>
      </c>
      <c r="I37" s="422">
        <f>PREÇOS!E61</f>
        <v>815232</v>
      </c>
      <c r="J37" s="429">
        <f t="shared" si="8"/>
        <v>815232</v>
      </c>
      <c r="K37" s="117" t="s">
        <v>31</v>
      </c>
      <c r="L37" s="292"/>
      <c r="M37" t="s">
        <v>134</v>
      </c>
    </row>
    <row r="38" spans="1:13" ht="14.4" x14ac:dyDescent="0.3">
      <c r="A38" s="611"/>
      <c r="B38" s="537"/>
      <c r="C38" s="406"/>
      <c r="D38" s="414" t="s">
        <v>85</v>
      </c>
      <c r="E38" s="418" t="s">
        <v>84</v>
      </c>
      <c r="F38" s="298">
        <f>INICIAL!D29</f>
        <v>3</v>
      </c>
      <c r="G38" s="416"/>
      <c r="H38" s="426" t="str">
        <f t="shared" si="2"/>
        <v>ALTERAR</v>
      </c>
      <c r="I38" s="422">
        <f>INICIAL!S29/F38</f>
        <v>31605.900000000005</v>
      </c>
      <c r="J38" s="429">
        <f t="shared" si="8"/>
        <v>94817.700000000012</v>
      </c>
      <c r="K38" s="407" t="s">
        <v>40</v>
      </c>
      <c r="L38" s="292"/>
      <c r="M38" t="s">
        <v>134</v>
      </c>
    </row>
    <row r="39" spans="1:13" ht="14.4" x14ac:dyDescent="0.3">
      <c r="A39" s="611"/>
      <c r="B39" s="537"/>
      <c r="C39" s="406"/>
      <c r="D39" s="414" t="s">
        <v>86</v>
      </c>
      <c r="E39" s="418" t="s">
        <v>84</v>
      </c>
      <c r="F39" s="298">
        <f>INICIAL!D30</f>
        <v>1</v>
      </c>
      <c r="G39" s="416"/>
      <c r="H39" s="426" t="str">
        <f t="shared" si="2"/>
        <v>ALTERAR</v>
      </c>
      <c r="I39" s="422">
        <f>INICIAL!S30/F39</f>
        <v>21400</v>
      </c>
      <c r="J39" s="429">
        <f t="shared" si="8"/>
        <v>21400</v>
      </c>
      <c r="K39" s="407" t="s">
        <v>40</v>
      </c>
      <c r="L39" s="292"/>
      <c r="M39" t="s">
        <v>134</v>
      </c>
    </row>
    <row r="40" spans="1:13" ht="15" thickBot="1" x14ac:dyDescent="0.35">
      <c r="A40" s="611"/>
      <c r="B40" s="538" t="s">
        <v>159</v>
      </c>
      <c r="C40" s="406"/>
      <c r="D40" s="414" t="s">
        <v>87</v>
      </c>
      <c r="E40" s="419" t="s">
        <v>88</v>
      </c>
      <c r="F40" s="298">
        <f>INICIAL!D31</f>
        <v>2</v>
      </c>
      <c r="G40" s="416"/>
      <c r="H40" s="425" t="str">
        <f t="shared" si="2"/>
        <v/>
      </c>
      <c r="I40" s="422">
        <f>INICIAL!S31/F40</f>
        <v>120000</v>
      </c>
      <c r="J40" s="429">
        <f t="shared" si="8"/>
        <v>240000</v>
      </c>
      <c r="K40" s="408" t="s">
        <v>31</v>
      </c>
      <c r="L40" s="292"/>
      <c r="M40" t="s">
        <v>134</v>
      </c>
    </row>
    <row r="41" spans="1:13" ht="15" thickBot="1" x14ac:dyDescent="0.3">
      <c r="A41" s="611"/>
      <c r="B41" s="538" t="s">
        <v>159</v>
      </c>
      <c r="C41" s="406"/>
      <c r="D41" s="415" t="s">
        <v>89</v>
      </c>
      <c r="E41" s="420" t="s">
        <v>90</v>
      </c>
      <c r="F41" s="306">
        <f>INICIAL!D32</f>
        <v>1</v>
      </c>
      <c r="G41" s="296"/>
      <c r="H41" s="427" t="str">
        <f t="shared" si="2"/>
        <v>ALTERAR</v>
      </c>
      <c r="I41" s="423">
        <f>INICIAL!S32/F41</f>
        <v>100000</v>
      </c>
      <c r="J41" s="430">
        <f t="shared" si="8"/>
        <v>100000</v>
      </c>
      <c r="K41" s="409" t="s">
        <v>40</v>
      </c>
      <c r="L41" s="292"/>
      <c r="M41" t="s">
        <v>134</v>
      </c>
    </row>
    <row r="42" spans="1:13" ht="17.25" customHeight="1" thickBot="1" x14ac:dyDescent="0.35">
      <c r="A42" s="605" t="s">
        <v>91</v>
      </c>
      <c r="B42" s="605"/>
      <c r="C42" s="447"/>
      <c r="D42" s="449" t="s">
        <v>92</v>
      </c>
      <c r="E42" s="439" t="s">
        <v>93</v>
      </c>
      <c r="F42" s="431">
        <f>INICIAL!D33</f>
        <v>35</v>
      </c>
      <c r="G42" s="128"/>
      <c r="H42" s="412" t="str">
        <f t="shared" si="2"/>
        <v/>
      </c>
      <c r="I42" s="434">
        <f>INICIAL!S33/F42</f>
        <v>1718.5714285714287</v>
      </c>
      <c r="J42" s="440">
        <f t="shared" si="8"/>
        <v>60150</v>
      </c>
      <c r="K42" s="279" t="s">
        <v>31</v>
      </c>
      <c r="L42" s="292"/>
      <c r="M42" t="s">
        <v>134</v>
      </c>
    </row>
    <row r="43" spans="1:13" ht="17.25" customHeight="1" thickBot="1" x14ac:dyDescent="0.35">
      <c r="A43" s="606"/>
      <c r="B43" s="606"/>
      <c r="C43" s="448"/>
      <c r="D43" s="450" t="s">
        <v>94</v>
      </c>
      <c r="E43" s="439" t="s">
        <v>93</v>
      </c>
      <c r="F43" s="432">
        <f>INICIAL!D34</f>
        <v>1</v>
      </c>
      <c r="G43" s="139"/>
      <c r="H43" s="271" t="str">
        <f t="shared" si="2"/>
        <v>ALTERAR</v>
      </c>
      <c r="I43" s="434">
        <f>INICIAL!S34/F43</f>
        <v>90000</v>
      </c>
      <c r="J43" s="435">
        <f t="shared" si="8"/>
        <v>90000</v>
      </c>
      <c r="K43" s="285" t="s">
        <v>40</v>
      </c>
      <c r="L43" s="292"/>
      <c r="M43" t="s">
        <v>134</v>
      </c>
    </row>
    <row r="44" spans="1:13" ht="17.25" customHeight="1" thickBot="1" x14ac:dyDescent="0.35">
      <c r="A44" s="606"/>
      <c r="B44" s="606"/>
      <c r="C44" s="448"/>
      <c r="D44" s="450" t="s">
        <v>95</v>
      </c>
      <c r="E44" s="433" t="s">
        <v>96</v>
      </c>
      <c r="F44" s="432">
        <f>INICIAL!D35</f>
        <v>2</v>
      </c>
      <c r="G44" s="139"/>
      <c r="H44" s="272" t="str">
        <f t="shared" si="2"/>
        <v/>
      </c>
      <c r="I44" s="434">
        <f>INICIAL!S35/F44</f>
        <v>421054</v>
      </c>
      <c r="J44" s="435">
        <f t="shared" si="8"/>
        <v>842108</v>
      </c>
      <c r="K44" s="280" t="s">
        <v>31</v>
      </c>
      <c r="L44" s="292"/>
      <c r="M44" t="s">
        <v>134</v>
      </c>
    </row>
    <row r="45" spans="1:13" ht="17.25" customHeight="1" thickBot="1" x14ac:dyDescent="0.3">
      <c r="A45" s="606"/>
      <c r="B45" s="606"/>
      <c r="C45" s="448"/>
      <c r="D45" s="490" t="s">
        <v>97</v>
      </c>
      <c r="E45" s="491" t="s">
        <v>98</v>
      </c>
      <c r="F45" s="307">
        <f>INICIAL!D36</f>
        <v>14</v>
      </c>
      <c r="G45" s="147"/>
      <c r="H45" s="273" t="str">
        <f t="shared" si="2"/>
        <v/>
      </c>
      <c r="I45" s="492">
        <f>INICIAL!S36/F45</f>
        <v>5000</v>
      </c>
      <c r="J45" s="435">
        <f t="shared" si="8"/>
        <v>70000</v>
      </c>
      <c r="K45" s="286" t="s">
        <v>31</v>
      </c>
      <c r="L45" s="292"/>
      <c r="M45" t="s">
        <v>134</v>
      </c>
    </row>
    <row r="46" spans="1:13" ht="15" customHeight="1" x14ac:dyDescent="0.3">
      <c r="A46" s="574" t="s">
        <v>99</v>
      </c>
      <c r="B46" s="574"/>
      <c r="C46" s="571" t="s">
        <v>160</v>
      </c>
      <c r="D46" s="506" t="s">
        <v>161</v>
      </c>
      <c r="E46" s="502" t="s">
        <v>101</v>
      </c>
      <c r="F46" s="488">
        <f>PREÇOS!F125</f>
        <v>1</v>
      </c>
      <c r="G46" s="577">
        <f>SUM(F46:F48)</f>
        <v>2</v>
      </c>
      <c r="H46" s="509" t="str">
        <f t="shared" si="2"/>
        <v>ALTERAR</v>
      </c>
      <c r="I46" s="495">
        <f>INICIAL!S37/F46</f>
        <v>5714000</v>
      </c>
      <c r="J46" s="496">
        <f t="shared" si="8"/>
        <v>5714000</v>
      </c>
      <c r="K46" s="497" t="s">
        <v>40</v>
      </c>
      <c r="L46" s="301" t="s">
        <v>133</v>
      </c>
      <c r="M46" t="s">
        <v>134</v>
      </c>
    </row>
    <row r="47" spans="1:13" ht="15" customHeight="1" x14ac:dyDescent="0.3">
      <c r="A47" s="575"/>
      <c r="B47" s="575"/>
      <c r="C47" s="572"/>
      <c r="D47" s="507">
        <v>7150</v>
      </c>
      <c r="E47" s="503" t="s">
        <v>101</v>
      </c>
      <c r="F47" s="489"/>
      <c r="G47" s="578"/>
      <c r="H47" s="510"/>
      <c r="I47" s="533"/>
      <c r="J47" s="494">
        <f t="shared" si="8"/>
        <v>0</v>
      </c>
      <c r="K47" s="498" t="s">
        <v>40</v>
      </c>
      <c r="L47" s="301" t="s">
        <v>133</v>
      </c>
      <c r="M47" t="s">
        <v>134</v>
      </c>
    </row>
    <row r="48" spans="1:13" ht="15" thickBot="1" x14ac:dyDescent="0.35">
      <c r="A48" s="575"/>
      <c r="B48" s="575"/>
      <c r="C48" s="573"/>
      <c r="D48" s="508">
        <v>7160</v>
      </c>
      <c r="E48" s="504" t="s">
        <v>101</v>
      </c>
      <c r="F48" s="505">
        <f>PREÇOS!F132</f>
        <v>1</v>
      </c>
      <c r="G48" s="579"/>
      <c r="H48" s="510"/>
      <c r="I48" s="499">
        <f>PREÇOS!E132</f>
        <v>1486523.6736000001</v>
      </c>
      <c r="J48" s="500">
        <f t="shared" si="8"/>
        <v>1486523.6736000001</v>
      </c>
      <c r="K48" s="501" t="s">
        <v>40</v>
      </c>
      <c r="L48" s="301" t="s">
        <v>133</v>
      </c>
      <c r="M48" t="s">
        <v>134</v>
      </c>
    </row>
    <row r="49" spans="1:13" ht="15" thickBot="1" x14ac:dyDescent="0.35">
      <c r="A49" s="575"/>
      <c r="B49" s="575"/>
      <c r="C49" s="441"/>
      <c r="D49" s="485" t="s">
        <v>102</v>
      </c>
      <c r="E49" s="486" t="s">
        <v>103</v>
      </c>
      <c r="F49" s="432">
        <f>INICIAL!D38</f>
        <v>4</v>
      </c>
      <c r="G49" s="128"/>
      <c r="H49" s="271" t="str">
        <f t="shared" si="2"/>
        <v>ALTERAR</v>
      </c>
      <c r="I49" s="445">
        <f>INICIAL!S38/F49</f>
        <v>524000</v>
      </c>
      <c r="J49" s="493">
        <f t="shared" si="8"/>
        <v>2096000</v>
      </c>
      <c r="K49" s="487" t="s">
        <v>40</v>
      </c>
      <c r="L49" s="292"/>
      <c r="M49" t="s">
        <v>134</v>
      </c>
    </row>
    <row r="50" spans="1:13" ht="15" thickBot="1" x14ac:dyDescent="0.35">
      <c r="A50" s="575"/>
      <c r="B50" s="575"/>
      <c r="C50" s="441"/>
      <c r="D50" s="442" t="s">
        <v>104</v>
      </c>
      <c r="E50" s="443" t="s">
        <v>105</v>
      </c>
      <c r="F50" s="432">
        <f>INICIAL!D39</f>
        <v>1</v>
      </c>
      <c r="G50" s="139"/>
      <c r="H50" s="272" t="str">
        <f t="shared" si="2"/>
        <v/>
      </c>
      <c r="I50" s="445">
        <f>INICIAL!S39/F50</f>
        <v>36780</v>
      </c>
      <c r="J50" s="446">
        <f t="shared" si="8"/>
        <v>36780</v>
      </c>
      <c r="K50" s="280" t="s">
        <v>31</v>
      </c>
      <c r="L50" s="292"/>
      <c r="M50" t="s">
        <v>134</v>
      </c>
    </row>
    <row r="51" spans="1:13" ht="15" thickBot="1" x14ac:dyDescent="0.35">
      <c r="A51" s="575"/>
      <c r="B51" s="575"/>
      <c r="C51" s="441"/>
      <c r="D51" s="444" t="s">
        <v>107</v>
      </c>
      <c r="E51" s="443" t="s">
        <v>162</v>
      </c>
      <c r="F51" s="432">
        <f>INICIAL!D40</f>
        <v>4</v>
      </c>
      <c r="G51" s="234"/>
      <c r="H51" s="355" t="str">
        <f t="shared" si="2"/>
        <v>ALTERAR</v>
      </c>
      <c r="I51" s="445">
        <f>INICIAL!S40/F51</f>
        <v>102000</v>
      </c>
      <c r="J51" s="446">
        <f t="shared" si="8"/>
        <v>408000</v>
      </c>
      <c r="K51" s="285" t="s">
        <v>40</v>
      </c>
      <c r="L51" s="292"/>
      <c r="M51" t="s">
        <v>134</v>
      </c>
    </row>
    <row r="52" spans="1:13" ht="14.4" x14ac:dyDescent="0.3">
      <c r="A52" s="576"/>
      <c r="B52" s="576"/>
      <c r="C52" s="441"/>
      <c r="D52" s="476" t="s">
        <v>109</v>
      </c>
      <c r="E52" s="477" t="s">
        <v>110</v>
      </c>
      <c r="F52" s="307">
        <f>INICIAL!D41</f>
        <v>4</v>
      </c>
      <c r="G52" s="147"/>
      <c r="H52" s="478" t="str">
        <f t="shared" si="2"/>
        <v>ALTERAR</v>
      </c>
      <c r="I52" s="479">
        <f>INICIAL!S41/F52</f>
        <v>184134.25</v>
      </c>
      <c r="J52" s="446">
        <f t="shared" si="8"/>
        <v>736537</v>
      </c>
      <c r="K52" s="480" t="s">
        <v>40</v>
      </c>
      <c r="L52" s="481"/>
      <c r="M52" t="s">
        <v>134</v>
      </c>
    </row>
    <row r="53" spans="1:13" ht="17.25" customHeight="1" x14ac:dyDescent="0.3">
      <c r="A53" s="612" t="s">
        <v>163</v>
      </c>
      <c r="B53" s="607"/>
      <c r="C53" s="463"/>
      <c r="D53" s="552" t="s">
        <v>164</v>
      </c>
      <c r="E53" s="467" t="s">
        <v>165</v>
      </c>
      <c r="F53" s="468">
        <v>21</v>
      </c>
      <c r="G53" s="236"/>
      <c r="H53" s="469" t="str">
        <f t="shared" si="2"/>
        <v>ALTERAR</v>
      </c>
      <c r="I53" s="470">
        <f>INICIAL!S42/F53</f>
        <v>9333.3333333333339</v>
      </c>
      <c r="J53" s="438">
        <f t="shared" si="8"/>
        <v>196000</v>
      </c>
      <c r="K53" s="282" t="s">
        <v>40</v>
      </c>
      <c r="L53" s="471"/>
      <c r="M53" t="s">
        <v>134</v>
      </c>
    </row>
    <row r="54" spans="1:13" ht="17.25" customHeight="1" x14ac:dyDescent="0.3">
      <c r="A54" s="613"/>
      <c r="B54" s="608"/>
      <c r="C54" s="464"/>
      <c r="D54" s="550" t="s">
        <v>166</v>
      </c>
      <c r="E54" s="467" t="s">
        <v>167</v>
      </c>
      <c r="F54" s="128">
        <v>13</v>
      </c>
      <c r="G54" s="195"/>
      <c r="H54" s="551"/>
      <c r="I54" s="437"/>
      <c r="J54" s="438"/>
      <c r="K54" s="487"/>
      <c r="L54" s="483"/>
    </row>
    <row r="55" spans="1:13" ht="17.25" customHeight="1" x14ac:dyDescent="0.3">
      <c r="A55" s="613"/>
      <c r="B55" s="608"/>
      <c r="C55" s="464"/>
      <c r="D55" s="466" t="s">
        <v>114</v>
      </c>
      <c r="E55" s="436" t="s">
        <v>115</v>
      </c>
      <c r="F55" s="128">
        <f>INICIAL!D43</f>
        <v>3</v>
      </c>
      <c r="G55" s="73"/>
      <c r="H55" s="272" t="str">
        <f t="shared" si="2"/>
        <v>ALTERAR</v>
      </c>
      <c r="I55" s="437">
        <f>INICIAL!S43/F55</f>
        <v>306000</v>
      </c>
      <c r="J55" s="438">
        <f t="shared" si="8"/>
        <v>918000</v>
      </c>
      <c r="K55" s="285" t="s">
        <v>40</v>
      </c>
      <c r="L55" s="292"/>
      <c r="M55" t="s">
        <v>134</v>
      </c>
    </row>
    <row r="56" spans="1:13" ht="17.25" customHeight="1" x14ac:dyDescent="0.3">
      <c r="A56" s="613"/>
      <c r="B56" s="608"/>
      <c r="C56" s="464"/>
      <c r="D56" s="466" t="s">
        <v>168</v>
      </c>
      <c r="E56" s="436" t="s">
        <v>169</v>
      </c>
      <c r="F56" s="128">
        <f>INICIAL!D44</f>
        <v>4</v>
      </c>
      <c r="G56" s="73"/>
      <c r="H56" s="272" t="str">
        <f t="shared" si="2"/>
        <v>ALTERAR</v>
      </c>
      <c r="I56" s="437">
        <f>INICIAL!S44/F56</f>
        <v>76500</v>
      </c>
      <c r="J56" s="438">
        <f t="shared" si="8"/>
        <v>306000</v>
      </c>
      <c r="K56" s="285" t="s">
        <v>40</v>
      </c>
      <c r="L56" s="292"/>
    </row>
    <row r="57" spans="1:13" ht="17.25" customHeight="1" x14ac:dyDescent="0.3">
      <c r="A57" s="614"/>
      <c r="B57" s="609"/>
      <c r="C57" s="465"/>
      <c r="D57" s="472" t="s">
        <v>170</v>
      </c>
      <c r="E57" s="473" t="s">
        <v>171</v>
      </c>
      <c r="F57" s="474">
        <f>INICIAL!D45</f>
        <v>5</v>
      </c>
      <c r="G57" s="233"/>
      <c r="H57" s="475" t="str">
        <f t="shared" si="2"/>
        <v>ALTERAR</v>
      </c>
      <c r="I57" s="518">
        <f>INICIAL!S45/F57</f>
        <v>76500</v>
      </c>
      <c r="J57" s="438">
        <f t="shared" si="8"/>
        <v>382500</v>
      </c>
      <c r="K57" s="287" t="s">
        <v>40</v>
      </c>
      <c r="L57" s="293"/>
    </row>
    <row r="58" spans="1:13" ht="14.4" x14ac:dyDescent="0.3">
      <c r="A58" s="562" t="s">
        <v>159</v>
      </c>
      <c r="B58" s="562"/>
      <c r="C58" s="511"/>
      <c r="D58" s="512" t="s">
        <v>172</v>
      </c>
      <c r="E58" s="515" t="s">
        <v>173</v>
      </c>
      <c r="F58" s="529">
        <v>9</v>
      </c>
      <c r="G58" s="236"/>
      <c r="H58" s="469" t="str">
        <f t="shared" ref="H58:H61" si="9">IF(K58="SIM","","ALTERAR")</f>
        <v>ALTERAR</v>
      </c>
      <c r="I58" s="521"/>
      <c r="J58" s="522">
        <f t="shared" si="8"/>
        <v>0</v>
      </c>
      <c r="K58" s="516" t="s">
        <v>40</v>
      </c>
      <c r="L58" s="471" t="s">
        <v>133</v>
      </c>
    </row>
    <row r="59" spans="1:13" ht="14.4" x14ac:dyDescent="0.3">
      <c r="A59" s="563"/>
      <c r="B59" s="563"/>
      <c r="C59" s="565" t="s">
        <v>174</v>
      </c>
      <c r="D59" s="512" t="s">
        <v>175</v>
      </c>
      <c r="E59" s="526" t="s">
        <v>176</v>
      </c>
      <c r="F59" s="431">
        <v>2</v>
      </c>
      <c r="G59" s="568">
        <f>SUM(F59:F61)</f>
        <v>16</v>
      </c>
      <c r="H59" s="519" t="str">
        <f t="shared" si="9"/>
        <v>ALTERAR</v>
      </c>
      <c r="I59" s="530"/>
      <c r="J59" s="523">
        <f t="shared" ref="J59:J61" si="10">I59*F59</f>
        <v>0</v>
      </c>
      <c r="K59" s="407" t="s">
        <v>40</v>
      </c>
      <c r="L59" s="292" t="s">
        <v>133</v>
      </c>
    </row>
    <row r="60" spans="1:13" ht="14.4" x14ac:dyDescent="0.3">
      <c r="A60" s="563"/>
      <c r="B60" s="563"/>
      <c r="C60" s="566"/>
      <c r="D60" s="513" t="s">
        <v>177</v>
      </c>
      <c r="E60" s="527" t="s">
        <v>178</v>
      </c>
      <c r="F60" s="432">
        <v>6</v>
      </c>
      <c r="G60" s="569"/>
      <c r="H60" s="519" t="str">
        <f t="shared" si="9"/>
        <v>ALTERAR</v>
      </c>
      <c r="I60" s="531"/>
      <c r="J60" s="524">
        <f t="shared" si="10"/>
        <v>0</v>
      </c>
      <c r="K60" s="407" t="s">
        <v>40</v>
      </c>
      <c r="L60" s="292" t="s">
        <v>133</v>
      </c>
    </row>
    <row r="61" spans="1:13" ht="15" thickBot="1" x14ac:dyDescent="0.35">
      <c r="A61" s="564"/>
      <c r="B61" s="564"/>
      <c r="C61" s="567"/>
      <c r="D61" s="514" t="s">
        <v>179</v>
      </c>
      <c r="E61" s="528" t="s">
        <v>180</v>
      </c>
      <c r="F61" s="484">
        <v>8</v>
      </c>
      <c r="G61" s="570"/>
      <c r="H61" s="520" t="str">
        <f t="shared" si="9"/>
        <v>ALTERAR</v>
      </c>
      <c r="I61" s="532"/>
      <c r="J61" s="525">
        <f t="shared" si="10"/>
        <v>0</v>
      </c>
      <c r="K61" s="517" t="s">
        <v>40</v>
      </c>
      <c r="L61" s="293" t="s">
        <v>133</v>
      </c>
    </row>
    <row r="62" spans="1:13" x14ac:dyDescent="0.25">
      <c r="A62" s="457"/>
      <c r="B62" s="457"/>
      <c r="G62" s="223"/>
      <c r="H62" s="223"/>
      <c r="I62" s="223"/>
      <c r="J62" s="224"/>
      <c r="K62" s="4"/>
    </row>
    <row r="63" spans="1:13" x14ac:dyDescent="0.25">
      <c r="A63" s="457"/>
      <c r="B63" s="457"/>
      <c r="G63" s="223"/>
      <c r="H63" s="223"/>
      <c r="I63" s="223"/>
      <c r="J63" s="224"/>
      <c r="K63" s="4"/>
    </row>
    <row r="64" spans="1:13" x14ac:dyDescent="0.25">
      <c r="A64" s="457"/>
      <c r="B64" s="457"/>
      <c r="G64" s="223"/>
      <c r="H64" s="223"/>
      <c r="I64" s="223"/>
      <c r="J64" s="224"/>
      <c r="K64" s="4"/>
    </row>
    <row r="65" spans="1:11" x14ac:dyDescent="0.25">
      <c r="A65" s="457"/>
      <c r="B65" s="457"/>
      <c r="G65" s="223"/>
      <c r="H65" s="223"/>
      <c r="I65" s="223"/>
      <c r="J65" s="224"/>
      <c r="K65" s="4"/>
    </row>
    <row r="66" spans="1:11" x14ac:dyDescent="0.25">
      <c r="A66" s="457"/>
      <c r="B66" s="457"/>
      <c r="G66" s="223"/>
      <c r="H66" s="223"/>
      <c r="I66" s="223"/>
      <c r="J66" s="224"/>
      <c r="K66" s="4"/>
    </row>
    <row r="67" spans="1:11" ht="13.8" thickBot="1" x14ac:dyDescent="0.3">
      <c r="A67" s="457"/>
      <c r="B67" s="457"/>
      <c r="G67" s="223"/>
      <c r="H67" s="223"/>
      <c r="I67" s="223"/>
    </row>
    <row r="68" spans="1:11" ht="15" thickBot="1" x14ac:dyDescent="0.3">
      <c r="A68" s="457"/>
      <c r="B68" s="457"/>
      <c r="D68" s="458" t="s">
        <v>120</v>
      </c>
      <c r="E68" s="226" t="s">
        <v>121</v>
      </c>
      <c r="F68" s="227" t="s">
        <v>17</v>
      </c>
      <c r="G68" s="223"/>
      <c r="H68" s="223"/>
      <c r="I68" s="223"/>
    </row>
    <row r="69" spans="1:11" x14ac:dyDescent="0.25">
      <c r="A69" s="457"/>
      <c r="B69" s="457"/>
      <c r="D69" s="459" t="s">
        <v>122</v>
      </c>
      <c r="E69" s="455">
        <f>SUM(F2:F31)</f>
        <v>558</v>
      </c>
      <c r="F69" s="451">
        <f>SUM(J2:J31)</f>
        <v>49977130.525247999</v>
      </c>
    </row>
    <row r="70" spans="1:11" x14ac:dyDescent="0.25">
      <c r="A70" s="457"/>
      <c r="B70" s="457"/>
      <c r="D70" s="460" t="s">
        <v>123</v>
      </c>
      <c r="E70" s="462">
        <f>SUM(F32:F41)</f>
        <v>27</v>
      </c>
      <c r="F70" s="452">
        <f>SUM(J32:J41)</f>
        <v>4049462.2</v>
      </c>
    </row>
    <row r="71" spans="1:11" x14ac:dyDescent="0.25">
      <c r="A71" s="457"/>
      <c r="B71" s="457"/>
      <c r="D71" s="460" t="s">
        <v>91</v>
      </c>
      <c r="E71" s="89">
        <f>SUM(F42:F45)</f>
        <v>52</v>
      </c>
      <c r="F71" s="453">
        <f>SUM(J42:J45)</f>
        <v>1062258</v>
      </c>
    </row>
    <row r="72" spans="1:11" x14ac:dyDescent="0.25">
      <c r="A72" s="457"/>
      <c r="B72" s="457"/>
      <c r="D72" s="460" t="s">
        <v>99</v>
      </c>
      <c r="E72" s="89">
        <f>SUM(F46:F52)</f>
        <v>15</v>
      </c>
      <c r="F72" s="453">
        <f>SUM(J46:J52)</f>
        <v>10477840.673599999</v>
      </c>
    </row>
    <row r="73" spans="1:11" ht="13.8" thickBot="1" x14ac:dyDescent="0.3">
      <c r="A73" s="457"/>
      <c r="B73" s="457"/>
      <c r="D73" s="461" t="s">
        <v>111</v>
      </c>
      <c r="E73" s="456">
        <f>SUM(F53:F57)</f>
        <v>46</v>
      </c>
      <c r="F73" s="454">
        <f>SUM(J53:J57)</f>
        <v>1802500</v>
      </c>
    </row>
    <row r="74" spans="1:11" ht="15" thickBot="1" x14ac:dyDescent="0.3">
      <c r="A74" s="457"/>
      <c r="B74" s="457"/>
      <c r="D74" s="211"/>
      <c r="E74" s="229"/>
      <c r="F74" s="230">
        <f>SUM(F69:F73)</f>
        <v>67369191.398847997</v>
      </c>
    </row>
    <row r="75" spans="1:11" x14ac:dyDescent="0.25">
      <c r="A75" s="457"/>
      <c r="B75" s="457"/>
    </row>
    <row r="76" spans="1:11" x14ac:dyDescent="0.25">
      <c r="A76" s="457"/>
      <c r="B76" s="457"/>
    </row>
    <row r="77" spans="1:11" x14ac:dyDescent="0.25">
      <c r="A77" s="457"/>
      <c r="B77" s="457"/>
    </row>
    <row r="78" spans="1:11" x14ac:dyDescent="0.25">
      <c r="A78" s="457"/>
      <c r="B78" s="457"/>
    </row>
    <row r="79" spans="1:11" x14ac:dyDescent="0.25">
      <c r="A79" s="457"/>
      <c r="B79" s="457"/>
    </row>
    <row r="80" spans="1:11" x14ac:dyDescent="0.25">
      <c r="A80" s="457"/>
      <c r="B80" s="457"/>
    </row>
    <row r="81" spans="1:2" x14ac:dyDescent="0.25">
      <c r="A81" s="457"/>
      <c r="B81" s="457"/>
    </row>
    <row r="82" spans="1:2" x14ac:dyDescent="0.25">
      <c r="A82" s="457"/>
      <c r="B82" s="457"/>
    </row>
    <row r="83" spans="1:2" x14ac:dyDescent="0.25">
      <c r="A83" s="457"/>
      <c r="B83" s="457"/>
    </row>
    <row r="84" spans="1:2" x14ac:dyDescent="0.25">
      <c r="A84" s="457"/>
      <c r="B84" s="457"/>
    </row>
    <row r="85" spans="1:2" x14ac:dyDescent="0.25">
      <c r="A85" s="457"/>
      <c r="B85" s="457"/>
    </row>
    <row r="86" spans="1:2" x14ac:dyDescent="0.25">
      <c r="A86" s="457"/>
      <c r="B86" s="457"/>
    </row>
    <row r="87" spans="1:2" x14ac:dyDescent="0.25">
      <c r="A87" s="457"/>
      <c r="B87" s="457"/>
    </row>
    <row r="88" spans="1:2" x14ac:dyDescent="0.25">
      <c r="A88" s="457"/>
      <c r="B88" s="457"/>
    </row>
    <row r="89" spans="1:2" x14ac:dyDescent="0.25">
      <c r="A89" s="457"/>
      <c r="B89" s="457"/>
    </row>
    <row r="90" spans="1:2" x14ac:dyDescent="0.25">
      <c r="A90" s="457"/>
      <c r="B90" s="457"/>
    </row>
    <row r="91" spans="1:2" x14ac:dyDescent="0.25">
      <c r="A91" s="457"/>
      <c r="B91" s="457"/>
    </row>
    <row r="92" spans="1:2" x14ac:dyDescent="0.25">
      <c r="A92" s="457"/>
      <c r="B92" s="457"/>
    </row>
    <row r="93" spans="1:2" x14ac:dyDescent="0.25">
      <c r="A93" s="457"/>
      <c r="B93" s="457"/>
    </row>
    <row r="94" spans="1:2" x14ac:dyDescent="0.25">
      <c r="A94" s="457"/>
      <c r="B94" s="457"/>
    </row>
    <row r="95" spans="1:2" x14ac:dyDescent="0.25">
      <c r="A95" s="457"/>
      <c r="B95" s="457"/>
    </row>
    <row r="96" spans="1:2" x14ac:dyDescent="0.25">
      <c r="A96" s="457"/>
      <c r="B96" s="457"/>
    </row>
    <row r="97" spans="1:2" x14ac:dyDescent="0.25">
      <c r="A97" s="457"/>
      <c r="B97" s="457"/>
    </row>
    <row r="98" spans="1:2" x14ac:dyDescent="0.25">
      <c r="A98" s="457"/>
      <c r="B98" s="457"/>
    </row>
    <row r="99" spans="1:2" x14ac:dyDescent="0.25">
      <c r="A99" s="457"/>
      <c r="B99" s="457"/>
    </row>
    <row r="100" spans="1:2" x14ac:dyDescent="0.25">
      <c r="A100" s="457"/>
      <c r="B100" s="457"/>
    </row>
    <row r="101" spans="1:2" x14ac:dyDescent="0.25">
      <c r="A101" s="457"/>
      <c r="B101" s="457"/>
    </row>
    <row r="102" spans="1:2" x14ac:dyDescent="0.25">
      <c r="A102" s="457"/>
      <c r="B102" s="457"/>
    </row>
    <row r="103" spans="1:2" x14ac:dyDescent="0.25">
      <c r="A103" s="457"/>
      <c r="B103" s="457"/>
    </row>
    <row r="104" spans="1:2" x14ac:dyDescent="0.25">
      <c r="A104" s="457"/>
      <c r="B104" s="457"/>
    </row>
    <row r="105" spans="1:2" x14ac:dyDescent="0.25">
      <c r="A105" s="457"/>
      <c r="B105" s="457"/>
    </row>
    <row r="106" spans="1:2" x14ac:dyDescent="0.25">
      <c r="A106" s="457"/>
      <c r="B106" s="457"/>
    </row>
    <row r="107" spans="1:2" x14ac:dyDescent="0.25">
      <c r="A107" s="457"/>
      <c r="B107" s="457"/>
    </row>
    <row r="108" spans="1:2" x14ac:dyDescent="0.25">
      <c r="A108" s="457"/>
      <c r="B108" s="457"/>
    </row>
    <row r="109" spans="1:2" x14ac:dyDescent="0.25">
      <c r="A109" s="457"/>
      <c r="B109" s="457"/>
    </row>
    <row r="110" spans="1:2" x14ac:dyDescent="0.25">
      <c r="A110" s="457"/>
      <c r="B110" s="457"/>
    </row>
    <row r="111" spans="1:2" x14ac:dyDescent="0.25">
      <c r="A111" s="457"/>
      <c r="B111" s="457"/>
    </row>
    <row r="112" spans="1:2" x14ac:dyDescent="0.25">
      <c r="A112" s="457"/>
      <c r="B112" s="457"/>
    </row>
    <row r="113" spans="1:2" x14ac:dyDescent="0.25">
      <c r="A113" s="457"/>
      <c r="B113" s="457"/>
    </row>
    <row r="114" spans="1:2" x14ac:dyDescent="0.25">
      <c r="A114" s="457"/>
      <c r="B114" s="457"/>
    </row>
    <row r="115" spans="1:2" x14ac:dyDescent="0.25">
      <c r="A115" s="457"/>
      <c r="B115" s="457"/>
    </row>
    <row r="116" spans="1:2" x14ac:dyDescent="0.25">
      <c r="A116" s="457"/>
      <c r="B116" s="457"/>
    </row>
    <row r="117" spans="1:2" x14ac:dyDescent="0.25">
      <c r="A117" s="457"/>
      <c r="B117" s="457"/>
    </row>
    <row r="118" spans="1:2" x14ac:dyDescent="0.25">
      <c r="A118" s="457"/>
      <c r="B118" s="457"/>
    </row>
    <row r="119" spans="1:2" x14ac:dyDescent="0.25">
      <c r="A119" s="457"/>
      <c r="B119" s="457"/>
    </row>
    <row r="120" spans="1:2" x14ac:dyDescent="0.25">
      <c r="A120" s="457"/>
      <c r="B120" s="457"/>
    </row>
    <row r="121" spans="1:2" x14ac:dyDescent="0.25">
      <c r="A121" s="457"/>
      <c r="B121" s="457"/>
    </row>
    <row r="122" spans="1:2" x14ac:dyDescent="0.25">
      <c r="A122" s="457"/>
      <c r="B122" s="457"/>
    </row>
    <row r="123" spans="1:2" x14ac:dyDescent="0.25">
      <c r="A123" s="457"/>
      <c r="B123" s="457"/>
    </row>
    <row r="124" spans="1:2" x14ac:dyDescent="0.25">
      <c r="A124" s="457"/>
      <c r="B124" s="457"/>
    </row>
    <row r="125" spans="1:2" x14ac:dyDescent="0.25">
      <c r="A125" s="457"/>
      <c r="B125" s="457"/>
    </row>
    <row r="126" spans="1:2" x14ac:dyDescent="0.25">
      <c r="A126" s="457"/>
      <c r="B126" s="457"/>
    </row>
    <row r="127" spans="1:2" x14ac:dyDescent="0.25">
      <c r="A127" s="457"/>
      <c r="B127" s="457"/>
    </row>
    <row r="128" spans="1:2" x14ac:dyDescent="0.25">
      <c r="A128" s="457"/>
      <c r="B128" s="457"/>
    </row>
    <row r="129" spans="1:2" x14ac:dyDescent="0.25">
      <c r="A129" s="457"/>
      <c r="B129" s="457"/>
    </row>
    <row r="130" spans="1:2" x14ac:dyDescent="0.25">
      <c r="A130" s="457"/>
      <c r="B130" s="457"/>
    </row>
    <row r="131" spans="1:2" x14ac:dyDescent="0.25">
      <c r="A131" s="457"/>
      <c r="B131" s="457"/>
    </row>
    <row r="132" spans="1:2" x14ac:dyDescent="0.25">
      <c r="A132" s="457"/>
      <c r="B132" s="457"/>
    </row>
    <row r="133" spans="1:2" x14ac:dyDescent="0.25">
      <c r="A133" s="457"/>
      <c r="B133" s="457"/>
    </row>
    <row r="134" spans="1:2" x14ac:dyDescent="0.25">
      <c r="A134" s="457"/>
      <c r="B134" s="457"/>
    </row>
    <row r="135" spans="1:2" x14ac:dyDescent="0.25">
      <c r="A135" s="457"/>
      <c r="B135" s="457"/>
    </row>
    <row r="136" spans="1:2" x14ac:dyDescent="0.25">
      <c r="A136" s="457"/>
      <c r="B136" s="457"/>
    </row>
    <row r="137" spans="1:2" x14ac:dyDescent="0.25">
      <c r="A137" s="457"/>
      <c r="B137" s="457"/>
    </row>
    <row r="138" spans="1:2" x14ac:dyDescent="0.25">
      <c r="A138" s="457"/>
      <c r="B138" s="457"/>
    </row>
    <row r="139" spans="1:2" x14ac:dyDescent="0.25">
      <c r="A139" s="457"/>
      <c r="B139" s="457"/>
    </row>
    <row r="140" spans="1:2" x14ac:dyDescent="0.25">
      <c r="A140" s="457"/>
      <c r="B140" s="457"/>
    </row>
    <row r="141" spans="1:2" x14ac:dyDescent="0.25">
      <c r="A141" s="457"/>
      <c r="B141" s="457"/>
    </row>
    <row r="142" spans="1:2" x14ac:dyDescent="0.25">
      <c r="A142" s="457"/>
      <c r="B142" s="457"/>
    </row>
    <row r="143" spans="1:2" x14ac:dyDescent="0.25">
      <c r="A143" s="457"/>
      <c r="B143" s="457"/>
    </row>
    <row r="144" spans="1:2" x14ac:dyDescent="0.25">
      <c r="A144" s="457"/>
      <c r="B144" s="457"/>
    </row>
    <row r="145" spans="1:2" x14ac:dyDescent="0.25">
      <c r="A145" s="457"/>
      <c r="B145" s="457"/>
    </row>
    <row r="146" spans="1:2" x14ac:dyDescent="0.25">
      <c r="A146" s="457"/>
      <c r="B146" s="457"/>
    </row>
    <row r="147" spans="1:2" x14ac:dyDescent="0.25">
      <c r="A147" s="457"/>
      <c r="B147" s="457"/>
    </row>
    <row r="148" spans="1:2" x14ac:dyDescent="0.25">
      <c r="A148" s="457"/>
      <c r="B148" s="457"/>
    </row>
    <row r="149" spans="1:2" x14ac:dyDescent="0.25">
      <c r="A149" s="457"/>
      <c r="B149" s="457"/>
    </row>
    <row r="150" spans="1:2" x14ac:dyDescent="0.25">
      <c r="A150" s="457"/>
      <c r="B150" s="457"/>
    </row>
    <row r="151" spans="1:2" x14ac:dyDescent="0.25">
      <c r="A151" s="457"/>
      <c r="B151" s="457"/>
    </row>
    <row r="152" spans="1:2" x14ac:dyDescent="0.25">
      <c r="A152" s="457"/>
      <c r="B152" s="457"/>
    </row>
    <row r="153" spans="1:2" x14ac:dyDescent="0.25">
      <c r="A153" s="457"/>
      <c r="B153" s="457"/>
    </row>
    <row r="154" spans="1:2" x14ac:dyDescent="0.25">
      <c r="A154" s="457"/>
      <c r="B154" s="457"/>
    </row>
    <row r="155" spans="1:2" x14ac:dyDescent="0.25">
      <c r="A155" s="457"/>
      <c r="B155" s="457"/>
    </row>
    <row r="156" spans="1:2" x14ac:dyDescent="0.25">
      <c r="A156" s="457"/>
      <c r="B156" s="457"/>
    </row>
    <row r="157" spans="1:2" x14ac:dyDescent="0.25">
      <c r="A157" s="457"/>
      <c r="B157" s="457"/>
    </row>
    <row r="158" spans="1:2" x14ac:dyDescent="0.25">
      <c r="A158" s="457"/>
      <c r="B158" s="457"/>
    </row>
    <row r="159" spans="1:2" x14ac:dyDescent="0.25">
      <c r="A159" s="457"/>
      <c r="B159" s="457"/>
    </row>
    <row r="160" spans="1:2" x14ac:dyDescent="0.25">
      <c r="A160" s="457"/>
      <c r="B160" s="457"/>
    </row>
    <row r="161" spans="1:2" x14ac:dyDescent="0.25">
      <c r="A161" s="457"/>
      <c r="B161" s="457"/>
    </row>
    <row r="162" spans="1:2" x14ac:dyDescent="0.25">
      <c r="A162" s="457"/>
      <c r="B162" s="457"/>
    </row>
    <row r="163" spans="1:2" x14ac:dyDescent="0.25">
      <c r="A163" s="457"/>
      <c r="B163" s="457"/>
    </row>
    <row r="164" spans="1:2" x14ac:dyDescent="0.25">
      <c r="A164" s="457"/>
      <c r="B164" s="457"/>
    </row>
    <row r="165" spans="1:2" x14ac:dyDescent="0.25">
      <c r="A165" s="457"/>
      <c r="B165" s="457"/>
    </row>
    <row r="166" spans="1:2" x14ac:dyDescent="0.25">
      <c r="A166" s="457"/>
      <c r="B166" s="457"/>
    </row>
    <row r="167" spans="1:2" x14ac:dyDescent="0.25">
      <c r="A167" s="457"/>
      <c r="B167" s="457"/>
    </row>
    <row r="168" spans="1:2" x14ac:dyDescent="0.25">
      <c r="A168" s="457"/>
      <c r="B168" s="457"/>
    </row>
    <row r="169" spans="1:2" x14ac:dyDescent="0.25">
      <c r="A169" s="457"/>
      <c r="B169" s="457"/>
    </row>
    <row r="170" spans="1:2" x14ac:dyDescent="0.25">
      <c r="A170" s="457"/>
      <c r="B170" s="457"/>
    </row>
    <row r="171" spans="1:2" x14ac:dyDescent="0.25">
      <c r="A171" s="457"/>
      <c r="B171" s="457"/>
    </row>
    <row r="172" spans="1:2" x14ac:dyDescent="0.25">
      <c r="A172" s="457"/>
      <c r="B172" s="457"/>
    </row>
    <row r="173" spans="1:2" x14ac:dyDescent="0.25">
      <c r="A173" s="457"/>
      <c r="B173" s="457"/>
    </row>
    <row r="174" spans="1:2" x14ac:dyDescent="0.25">
      <c r="A174" s="457"/>
      <c r="B174" s="457"/>
    </row>
    <row r="175" spans="1:2" x14ac:dyDescent="0.25">
      <c r="A175" s="457"/>
      <c r="B175" s="457"/>
    </row>
    <row r="176" spans="1:2" x14ac:dyDescent="0.25">
      <c r="A176" s="457"/>
      <c r="B176" s="457"/>
    </row>
    <row r="177" spans="1:2" x14ac:dyDescent="0.25">
      <c r="A177" s="457"/>
      <c r="B177" s="457"/>
    </row>
    <row r="178" spans="1:2" x14ac:dyDescent="0.25">
      <c r="A178" s="457"/>
      <c r="B178" s="457"/>
    </row>
    <row r="179" spans="1:2" x14ac:dyDescent="0.25">
      <c r="A179" s="457"/>
      <c r="B179" s="457"/>
    </row>
    <row r="180" spans="1:2" x14ac:dyDescent="0.25">
      <c r="A180" s="457"/>
      <c r="B180" s="457"/>
    </row>
    <row r="181" spans="1:2" x14ac:dyDescent="0.25">
      <c r="A181" s="457"/>
      <c r="B181" s="457"/>
    </row>
    <row r="182" spans="1:2" x14ac:dyDescent="0.25">
      <c r="A182" s="457"/>
      <c r="B182" s="457"/>
    </row>
    <row r="183" spans="1:2" x14ac:dyDescent="0.25">
      <c r="A183" s="457"/>
      <c r="B183" s="457"/>
    </row>
    <row r="184" spans="1:2" x14ac:dyDescent="0.25">
      <c r="A184" s="457"/>
      <c r="B184" s="457"/>
    </row>
    <row r="185" spans="1:2" x14ac:dyDescent="0.25">
      <c r="A185" s="457"/>
      <c r="B185" s="457"/>
    </row>
    <row r="186" spans="1:2" x14ac:dyDescent="0.25">
      <c r="A186" s="457"/>
      <c r="B186" s="457"/>
    </row>
    <row r="187" spans="1:2" x14ac:dyDescent="0.25">
      <c r="A187" s="457"/>
      <c r="B187" s="457"/>
    </row>
    <row r="188" spans="1:2" x14ac:dyDescent="0.25">
      <c r="A188" s="457"/>
      <c r="B188" s="457"/>
    </row>
    <row r="189" spans="1:2" x14ac:dyDescent="0.25">
      <c r="A189" s="457"/>
      <c r="B189" s="457"/>
    </row>
    <row r="190" spans="1:2" x14ac:dyDescent="0.25">
      <c r="A190" s="457"/>
      <c r="B190" s="457"/>
    </row>
    <row r="191" spans="1:2" x14ac:dyDescent="0.25">
      <c r="A191" s="457"/>
      <c r="B191" s="457"/>
    </row>
    <row r="192" spans="1:2" x14ac:dyDescent="0.25">
      <c r="A192" s="457"/>
      <c r="B192" s="457"/>
    </row>
    <row r="193" spans="1:2" x14ac:dyDescent="0.25">
      <c r="A193" s="457"/>
      <c r="B193" s="457"/>
    </row>
    <row r="194" spans="1:2" x14ac:dyDescent="0.25">
      <c r="A194" s="457"/>
      <c r="B194" s="457"/>
    </row>
    <row r="195" spans="1:2" x14ac:dyDescent="0.25">
      <c r="A195" s="457"/>
      <c r="B195" s="457"/>
    </row>
    <row r="196" spans="1:2" x14ac:dyDescent="0.25">
      <c r="A196" s="457"/>
      <c r="B196" s="457"/>
    </row>
    <row r="197" spans="1:2" x14ac:dyDescent="0.25">
      <c r="A197" s="457"/>
      <c r="B197" s="457"/>
    </row>
    <row r="198" spans="1:2" x14ac:dyDescent="0.25">
      <c r="A198" s="457"/>
      <c r="B198" s="457"/>
    </row>
    <row r="199" spans="1:2" x14ac:dyDescent="0.25">
      <c r="A199" s="457"/>
      <c r="B199" s="457"/>
    </row>
    <row r="200" spans="1:2" x14ac:dyDescent="0.25">
      <c r="A200" s="457"/>
      <c r="B200" s="457"/>
    </row>
    <row r="201" spans="1:2" x14ac:dyDescent="0.25">
      <c r="A201" s="457"/>
      <c r="B201" s="457"/>
    </row>
    <row r="202" spans="1:2" x14ac:dyDescent="0.25">
      <c r="A202" s="457"/>
      <c r="B202" s="457"/>
    </row>
    <row r="203" spans="1:2" x14ac:dyDescent="0.25">
      <c r="A203" s="457"/>
      <c r="B203" s="457"/>
    </row>
    <row r="204" spans="1:2" x14ac:dyDescent="0.25">
      <c r="A204" s="457"/>
      <c r="B204" s="457"/>
    </row>
    <row r="205" spans="1:2" x14ac:dyDescent="0.25">
      <c r="A205" s="457"/>
      <c r="B205" s="457"/>
    </row>
    <row r="206" spans="1:2" x14ac:dyDescent="0.25">
      <c r="A206" s="457"/>
      <c r="B206" s="457"/>
    </row>
    <row r="207" spans="1:2" x14ac:dyDescent="0.25">
      <c r="A207" s="457"/>
      <c r="B207" s="457"/>
    </row>
    <row r="208" spans="1:2" x14ac:dyDescent="0.25">
      <c r="A208" s="457"/>
      <c r="B208" s="457"/>
    </row>
    <row r="209" spans="1:2" x14ac:dyDescent="0.25">
      <c r="A209" s="457"/>
      <c r="B209" s="457"/>
    </row>
    <row r="210" spans="1:2" x14ac:dyDescent="0.25">
      <c r="A210" s="457"/>
      <c r="B210" s="457"/>
    </row>
    <row r="211" spans="1:2" x14ac:dyDescent="0.25">
      <c r="A211" s="457"/>
      <c r="B211" s="457"/>
    </row>
    <row r="212" spans="1:2" x14ac:dyDescent="0.25">
      <c r="A212" s="457"/>
      <c r="B212" s="457"/>
    </row>
    <row r="213" spans="1:2" x14ac:dyDescent="0.25">
      <c r="A213" s="457"/>
      <c r="B213" s="457"/>
    </row>
    <row r="214" spans="1:2" x14ac:dyDescent="0.25">
      <c r="A214" s="457"/>
      <c r="B214" s="457"/>
    </row>
    <row r="215" spans="1:2" x14ac:dyDescent="0.25">
      <c r="A215" s="457"/>
      <c r="B215" s="457"/>
    </row>
    <row r="216" spans="1:2" x14ac:dyDescent="0.25">
      <c r="A216" s="457"/>
      <c r="B216" s="457"/>
    </row>
    <row r="217" spans="1:2" x14ac:dyDescent="0.25">
      <c r="A217" s="457"/>
      <c r="B217" s="457"/>
    </row>
    <row r="218" spans="1:2" x14ac:dyDescent="0.25">
      <c r="A218" s="457"/>
      <c r="B218" s="457"/>
    </row>
    <row r="219" spans="1:2" x14ac:dyDescent="0.25">
      <c r="A219" s="457"/>
      <c r="B219" s="457"/>
    </row>
    <row r="220" spans="1:2" x14ac:dyDescent="0.25">
      <c r="A220" s="457"/>
      <c r="B220" s="457"/>
    </row>
    <row r="221" spans="1:2" x14ac:dyDescent="0.25">
      <c r="A221" s="457"/>
      <c r="B221" s="457"/>
    </row>
    <row r="222" spans="1:2" x14ac:dyDescent="0.25">
      <c r="A222" s="457"/>
      <c r="B222" s="457"/>
    </row>
    <row r="223" spans="1:2" x14ac:dyDescent="0.25">
      <c r="A223" s="457"/>
      <c r="B223" s="457"/>
    </row>
    <row r="224" spans="1:2" x14ac:dyDescent="0.25">
      <c r="A224" s="457"/>
      <c r="B224" s="457"/>
    </row>
    <row r="225" spans="1:2" x14ac:dyDescent="0.25">
      <c r="A225" s="457"/>
      <c r="B225" s="457"/>
    </row>
    <row r="226" spans="1:2" x14ac:dyDescent="0.25">
      <c r="A226" s="457"/>
      <c r="B226" s="457"/>
    </row>
    <row r="227" spans="1:2" x14ac:dyDescent="0.25">
      <c r="A227" s="457"/>
      <c r="B227" s="457"/>
    </row>
    <row r="228" spans="1:2" x14ac:dyDescent="0.25">
      <c r="A228" s="457"/>
      <c r="B228" s="457"/>
    </row>
    <row r="229" spans="1:2" x14ac:dyDescent="0.25">
      <c r="A229" s="457"/>
      <c r="B229" s="457"/>
    </row>
    <row r="230" spans="1:2" x14ac:dyDescent="0.25">
      <c r="A230" s="457"/>
      <c r="B230" s="457"/>
    </row>
    <row r="231" spans="1:2" x14ac:dyDescent="0.25">
      <c r="A231" s="457"/>
      <c r="B231" s="457"/>
    </row>
    <row r="232" spans="1:2" x14ac:dyDescent="0.25">
      <c r="A232" s="457"/>
      <c r="B232" s="457"/>
    </row>
    <row r="233" spans="1:2" x14ac:dyDescent="0.25">
      <c r="A233" s="457"/>
      <c r="B233" s="457"/>
    </row>
    <row r="234" spans="1:2" x14ac:dyDescent="0.25">
      <c r="A234" s="457"/>
      <c r="B234" s="457"/>
    </row>
    <row r="235" spans="1:2" x14ac:dyDescent="0.25">
      <c r="A235" s="457"/>
      <c r="B235" s="457"/>
    </row>
    <row r="236" spans="1:2" x14ac:dyDescent="0.25">
      <c r="A236" s="457"/>
      <c r="B236" s="457"/>
    </row>
    <row r="237" spans="1:2" x14ac:dyDescent="0.25">
      <c r="A237" s="457"/>
      <c r="B237" s="457"/>
    </row>
    <row r="238" spans="1:2" x14ac:dyDescent="0.25">
      <c r="A238" s="457"/>
      <c r="B238" s="457"/>
    </row>
    <row r="239" spans="1:2" x14ac:dyDescent="0.25">
      <c r="A239" s="457"/>
      <c r="B239" s="457"/>
    </row>
    <row r="240" spans="1:2" x14ac:dyDescent="0.25">
      <c r="A240" s="457"/>
      <c r="B240" s="457"/>
    </row>
    <row r="241" spans="1:2" x14ac:dyDescent="0.25">
      <c r="A241" s="457"/>
      <c r="B241" s="457"/>
    </row>
    <row r="242" spans="1:2" x14ac:dyDescent="0.25">
      <c r="A242" s="457"/>
      <c r="B242" s="457"/>
    </row>
    <row r="243" spans="1:2" x14ac:dyDescent="0.25">
      <c r="A243" s="457"/>
      <c r="B243" s="457"/>
    </row>
    <row r="244" spans="1:2" x14ac:dyDescent="0.25">
      <c r="A244" s="457"/>
      <c r="B244" s="457"/>
    </row>
    <row r="245" spans="1:2" x14ac:dyDescent="0.25">
      <c r="A245" s="457"/>
      <c r="B245" s="457"/>
    </row>
  </sheetData>
  <autoFilter ref="A1:L1" xr:uid="{D886F2A1-F372-47AC-8184-7E79EA0625C1}">
    <filterColumn colId="0" showButton="0"/>
  </autoFilter>
  <mergeCells count="30">
    <mergeCell ref="A1:B1"/>
    <mergeCell ref="B2:B31"/>
    <mergeCell ref="B42:B45"/>
    <mergeCell ref="B46:B52"/>
    <mergeCell ref="B53:B57"/>
    <mergeCell ref="A2:A31"/>
    <mergeCell ref="A32:A41"/>
    <mergeCell ref="A42:A45"/>
    <mergeCell ref="A53:A57"/>
    <mergeCell ref="C27:C28"/>
    <mergeCell ref="C3:C4"/>
    <mergeCell ref="G27:G28"/>
    <mergeCell ref="C14:C16"/>
    <mergeCell ref="C9:C13"/>
    <mergeCell ref="G9:G13"/>
    <mergeCell ref="C17:C21"/>
    <mergeCell ref="G14:G16"/>
    <mergeCell ref="G17:G21"/>
    <mergeCell ref="G3:G4"/>
    <mergeCell ref="C5:C8"/>
    <mergeCell ref="G5:G8"/>
    <mergeCell ref="C23:C26"/>
    <mergeCell ref="G23:G26"/>
    <mergeCell ref="A58:A61"/>
    <mergeCell ref="C59:C61"/>
    <mergeCell ref="G59:G61"/>
    <mergeCell ref="C46:C48"/>
    <mergeCell ref="A46:A52"/>
    <mergeCell ref="G46:G48"/>
    <mergeCell ref="B58:B61"/>
  </mergeCells>
  <conditionalFormatting sqref="L2:L61">
    <cfRule type="containsText" dxfId="1" priority="2" operator="containsText" text="N">
      <formula>NOT(ISERROR(SEARCH("N",L2)))</formula>
    </cfRule>
  </conditionalFormatting>
  <conditionalFormatting sqref="L2:L61">
    <cfRule type="cellIs" dxfId="0" priority="1" operator="equal">
      <formula>"S"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C5CA-815D-4D80-B607-9FEF1D0A5107}">
  <dimension ref="A1:M240"/>
  <sheetViews>
    <sheetView workbookViewId="0">
      <pane ySplit="1" topLeftCell="A203" activePane="bottomLeft" state="frozen"/>
      <selection pane="bottomLeft" activeCell="A213" sqref="A213:C221"/>
    </sheetView>
  </sheetViews>
  <sheetFormatPr defaultColWidth="9.109375" defaultRowHeight="13.2" x14ac:dyDescent="0.25"/>
  <cols>
    <col min="1" max="1" width="35.109375" customWidth="1"/>
    <col min="2" max="2" width="45.6640625" customWidth="1"/>
    <col min="3" max="3" width="29.5546875" customWidth="1"/>
    <col min="4" max="8" width="23.88671875" customWidth="1"/>
    <col min="9" max="9" width="85.44140625" customWidth="1"/>
    <col min="10" max="10" width="9.6640625" hidden="1" customWidth="1"/>
  </cols>
  <sheetData>
    <row r="1" spans="1:13" ht="21" x14ac:dyDescent="0.4">
      <c r="A1" s="308" t="s">
        <v>181</v>
      </c>
      <c r="B1" s="308" t="s">
        <v>182</v>
      </c>
      <c r="C1" s="308" t="s">
        <v>183</v>
      </c>
      <c r="D1" s="309" t="s">
        <v>184</v>
      </c>
      <c r="E1" s="308" t="s">
        <v>185</v>
      </c>
      <c r="F1" s="308" t="s">
        <v>186</v>
      </c>
      <c r="G1" s="310" t="s">
        <v>187</v>
      </c>
      <c r="H1" s="308" t="s">
        <v>188</v>
      </c>
      <c r="I1" s="308" t="s">
        <v>189</v>
      </c>
      <c r="J1" s="294"/>
    </row>
    <row r="2" spans="1:13" x14ac:dyDescent="0.25">
      <c r="A2" s="1" t="s">
        <v>190</v>
      </c>
      <c r="B2" s="1" t="s">
        <v>191</v>
      </c>
      <c r="C2" s="1" t="s">
        <v>192</v>
      </c>
      <c r="D2" s="311">
        <v>41370</v>
      </c>
      <c r="E2" s="312">
        <f>D2*K2</f>
        <v>204400.89600000001</v>
      </c>
      <c r="F2" s="395">
        <v>3</v>
      </c>
      <c r="G2" s="311">
        <f t="shared" ref="G2:G4" si="0">D2*F2</f>
        <v>124110</v>
      </c>
      <c r="H2" s="314">
        <f>(F2*E2)</f>
        <v>613202.68800000008</v>
      </c>
      <c r="I2" s="343" t="s">
        <v>193</v>
      </c>
      <c r="J2" t="e" vm="1">
        <v>#VALUE!</v>
      </c>
      <c r="K2" s="376" cm="1">
        <f t="array" ref="K2">_FV(J2,"Preço",TRUE)</f>
        <v>4.9408000000000003</v>
      </c>
      <c r="L2" s="377" t="s">
        <v>194</v>
      </c>
      <c r="M2" s="375"/>
    </row>
    <row r="3" spans="1:13" x14ac:dyDescent="0.25">
      <c r="A3" s="1" t="s">
        <v>190</v>
      </c>
      <c r="B3" s="1" t="s">
        <v>195</v>
      </c>
      <c r="C3" s="1" t="s">
        <v>192</v>
      </c>
      <c r="D3" s="534">
        <v>41370</v>
      </c>
      <c r="E3" s="312">
        <f>D3*K2</f>
        <v>204400.89600000001</v>
      </c>
      <c r="F3" s="395">
        <v>2</v>
      </c>
      <c r="G3" s="311">
        <f t="shared" si="0"/>
        <v>82740</v>
      </c>
      <c r="H3" s="314">
        <f>(F3*E3)</f>
        <v>408801.79200000002</v>
      </c>
      <c r="I3" s="343"/>
      <c r="K3" s="378">
        <v>5.01</v>
      </c>
      <c r="L3" s="379" t="s">
        <v>196</v>
      </c>
      <c r="M3" s="375"/>
    </row>
    <row r="4" spans="1:13" x14ac:dyDescent="0.25">
      <c r="A4" s="1" t="s">
        <v>190</v>
      </c>
      <c r="B4" s="1" t="s">
        <v>197</v>
      </c>
      <c r="C4" s="1" t="s">
        <v>192</v>
      </c>
      <c r="D4" s="534">
        <v>41370</v>
      </c>
      <c r="E4" s="312">
        <f>D4*K2</f>
        <v>204400.89600000001</v>
      </c>
      <c r="F4" s="395">
        <v>1</v>
      </c>
      <c r="G4" s="311">
        <f t="shared" si="0"/>
        <v>41370</v>
      </c>
      <c r="H4" s="314">
        <f>(F4*E4)</f>
        <v>204400.89600000001</v>
      </c>
      <c r="I4" s="343"/>
      <c r="M4" s="375"/>
    </row>
    <row r="5" spans="1:13" x14ac:dyDescent="0.25">
      <c r="A5" s="1" t="s">
        <v>190</v>
      </c>
      <c r="B5" s="1" t="s">
        <v>198</v>
      </c>
      <c r="C5" s="1" t="s">
        <v>42</v>
      </c>
      <c r="D5" s="311">
        <v>18515</v>
      </c>
      <c r="E5" s="312">
        <f>K2*D5</f>
        <v>91478.912000000011</v>
      </c>
      <c r="F5" s="347">
        <v>11</v>
      </c>
      <c r="G5" s="311">
        <f t="shared" ref="G5:G68" si="1">D5*F5</f>
        <v>203665</v>
      </c>
      <c r="H5" s="314">
        <f>(F5*E5)</f>
        <v>1006268.0320000001</v>
      </c>
      <c r="I5" s="344" t="s">
        <v>199</v>
      </c>
      <c r="J5" s="294" t="str">
        <f>""</f>
        <v/>
      </c>
    </row>
    <row r="6" spans="1:13" x14ac:dyDescent="0.25">
      <c r="A6" s="1" t="s">
        <v>190</v>
      </c>
      <c r="B6" s="1" t="s">
        <v>200</v>
      </c>
      <c r="C6" s="1" t="s">
        <v>42</v>
      </c>
      <c r="D6" s="311">
        <v>19241</v>
      </c>
      <c r="E6" s="312">
        <f>K2*D6</f>
        <v>95065.93280000001</v>
      </c>
      <c r="F6" s="313">
        <v>8</v>
      </c>
      <c r="G6" s="311">
        <f t="shared" si="1"/>
        <v>153928</v>
      </c>
      <c r="H6" s="314">
        <f t="shared" ref="H6:H68" si="2">F6*E6</f>
        <v>760527.46240000008</v>
      </c>
      <c r="I6" s="344" t="s">
        <v>201</v>
      </c>
      <c r="J6" s="294" t="str">
        <f>""</f>
        <v/>
      </c>
    </row>
    <row r="7" spans="1:13" x14ac:dyDescent="0.25">
      <c r="A7" s="1" t="s">
        <v>190</v>
      </c>
      <c r="B7" s="1" t="s">
        <v>202</v>
      </c>
      <c r="C7" s="1" t="s">
        <v>42</v>
      </c>
      <c r="D7" s="311">
        <v>21529.5</v>
      </c>
      <c r="E7" s="312">
        <f>K2*D7</f>
        <v>106372.95360000001</v>
      </c>
      <c r="F7" s="313">
        <v>7</v>
      </c>
      <c r="G7" s="311">
        <f t="shared" si="1"/>
        <v>150706.5</v>
      </c>
      <c r="H7" s="314">
        <f t="shared" si="2"/>
        <v>744610.67520000006</v>
      </c>
      <c r="I7" s="344" t="s">
        <v>203</v>
      </c>
      <c r="J7" s="294" t="str">
        <f>""</f>
        <v/>
      </c>
    </row>
    <row r="8" spans="1:13" x14ac:dyDescent="0.25">
      <c r="A8" s="1" t="s">
        <v>190</v>
      </c>
      <c r="B8" s="1" t="s">
        <v>204</v>
      </c>
      <c r="C8" s="1" t="s">
        <v>192</v>
      </c>
      <c r="D8" s="311">
        <v>54014.879999999997</v>
      </c>
      <c r="E8" s="312">
        <f>K2*D8</f>
        <v>266876.71910400002</v>
      </c>
      <c r="F8" s="347">
        <v>37</v>
      </c>
      <c r="G8" s="311">
        <f t="shared" si="1"/>
        <v>1998550.5599999998</v>
      </c>
      <c r="H8" s="314">
        <f t="shared" si="2"/>
        <v>9874438.6068480015</v>
      </c>
      <c r="I8" s="344" t="s">
        <v>205</v>
      </c>
      <c r="J8" s="294" t="str">
        <f>""</f>
        <v/>
      </c>
    </row>
    <row r="9" spans="1:13" x14ac:dyDescent="0.25">
      <c r="A9" s="1" t="s">
        <v>190</v>
      </c>
      <c r="B9" s="1" t="s">
        <v>206</v>
      </c>
      <c r="C9" s="1" t="s">
        <v>142</v>
      </c>
      <c r="D9" s="311">
        <v>20350</v>
      </c>
      <c r="E9" s="312">
        <f>K2*D9</f>
        <v>100545.28000000001</v>
      </c>
      <c r="F9" s="313">
        <v>3</v>
      </c>
      <c r="G9" s="311">
        <f t="shared" si="1"/>
        <v>61050</v>
      </c>
      <c r="H9" s="314">
        <f t="shared" si="2"/>
        <v>301635.84000000003</v>
      </c>
      <c r="I9" s="344" t="s">
        <v>207</v>
      </c>
      <c r="J9" s="294" t="str">
        <f>""</f>
        <v/>
      </c>
    </row>
    <row r="10" spans="1:13" x14ac:dyDescent="0.25">
      <c r="A10" s="1" t="s">
        <v>190</v>
      </c>
      <c r="B10" s="1" t="s">
        <v>208</v>
      </c>
      <c r="C10" s="1" t="s">
        <v>209</v>
      </c>
      <c r="D10" s="311">
        <v>32416.51</v>
      </c>
      <c r="E10" s="312">
        <f>K2*D10</f>
        <v>160163.492608</v>
      </c>
      <c r="F10" s="346">
        <v>2</v>
      </c>
      <c r="G10" s="311">
        <f t="shared" si="1"/>
        <v>64833.02</v>
      </c>
      <c r="H10" s="314">
        <f t="shared" si="2"/>
        <v>320326.985216</v>
      </c>
      <c r="I10" s="344" t="s">
        <v>210</v>
      </c>
      <c r="J10" s="294" t="str">
        <f>""</f>
        <v/>
      </c>
    </row>
    <row r="11" spans="1:13" x14ac:dyDescent="0.25">
      <c r="A11" s="1" t="s">
        <v>190</v>
      </c>
      <c r="B11" s="1" t="s">
        <v>211</v>
      </c>
      <c r="C11" s="1" t="s">
        <v>42</v>
      </c>
      <c r="D11" s="311">
        <v>76973</v>
      </c>
      <c r="E11" s="312">
        <f>K2*D11</f>
        <v>380308.19840000005</v>
      </c>
      <c r="F11" s="346">
        <v>3</v>
      </c>
      <c r="G11" s="311">
        <f t="shared" si="1"/>
        <v>230919</v>
      </c>
      <c r="H11" s="314">
        <f t="shared" si="2"/>
        <v>1140924.5952000001</v>
      </c>
      <c r="I11" s="344" t="s">
        <v>201</v>
      </c>
      <c r="J11" s="294" t="str">
        <f>""</f>
        <v/>
      </c>
    </row>
    <row r="12" spans="1:13" x14ac:dyDescent="0.25">
      <c r="A12" s="1" t="s">
        <v>190</v>
      </c>
      <c r="B12" s="1" t="s">
        <v>212</v>
      </c>
      <c r="C12" s="1" t="s">
        <v>192</v>
      </c>
      <c r="D12" s="311">
        <v>19950</v>
      </c>
      <c r="E12" s="312">
        <f>K2*D12</f>
        <v>98568.960000000006</v>
      </c>
      <c r="F12" s="346">
        <v>4</v>
      </c>
      <c r="G12" s="311">
        <f t="shared" si="1"/>
        <v>79800</v>
      </c>
      <c r="H12" s="314">
        <f t="shared" si="2"/>
        <v>394275.84000000003</v>
      </c>
      <c r="I12" s="344" t="s">
        <v>201</v>
      </c>
      <c r="J12" s="294" t="str">
        <f>""</f>
        <v/>
      </c>
    </row>
    <row r="13" spans="1:13" x14ac:dyDescent="0.25">
      <c r="A13" s="1" t="s">
        <v>190</v>
      </c>
      <c r="B13" s="1" t="s">
        <v>29</v>
      </c>
      <c r="C13" s="1" t="s">
        <v>213</v>
      </c>
      <c r="D13" s="311">
        <v>33817</v>
      </c>
      <c r="E13" s="312">
        <f>K2*D13</f>
        <v>167083.03360000002</v>
      </c>
      <c r="F13" s="313">
        <v>1</v>
      </c>
      <c r="G13" s="311">
        <f t="shared" si="1"/>
        <v>33817</v>
      </c>
      <c r="H13" s="314">
        <f t="shared" si="2"/>
        <v>167083.03360000002</v>
      </c>
      <c r="I13" s="344" t="s">
        <v>214</v>
      </c>
      <c r="J13" s="294" t="str">
        <f>""</f>
        <v/>
      </c>
    </row>
    <row r="14" spans="1:13" x14ac:dyDescent="0.25">
      <c r="A14" s="1" t="s">
        <v>190</v>
      </c>
      <c r="B14" s="1" t="s">
        <v>215</v>
      </c>
      <c r="C14" s="1" t="s">
        <v>213</v>
      </c>
      <c r="D14" s="311">
        <v>33817</v>
      </c>
      <c r="E14" s="312">
        <f>K2*D14</f>
        <v>167083.03360000002</v>
      </c>
      <c r="F14" s="313">
        <v>1</v>
      </c>
      <c r="G14" s="311">
        <f t="shared" si="1"/>
        <v>33817</v>
      </c>
      <c r="H14" s="314">
        <f t="shared" si="2"/>
        <v>167083.03360000002</v>
      </c>
      <c r="I14" s="344" t="s">
        <v>214</v>
      </c>
      <c r="J14" s="294" t="str">
        <f>""</f>
        <v/>
      </c>
    </row>
    <row r="15" spans="1:13" x14ac:dyDescent="0.25">
      <c r="A15" s="1" t="s">
        <v>216</v>
      </c>
      <c r="B15" s="1">
        <v>801</v>
      </c>
      <c r="C15" s="1" t="s">
        <v>217</v>
      </c>
      <c r="D15" s="315">
        <v>235.81</v>
      </c>
      <c r="E15" s="312">
        <f>K2*D15</f>
        <v>1165.090048</v>
      </c>
      <c r="F15" s="313">
        <v>4</v>
      </c>
      <c r="G15" s="311">
        <f t="shared" si="1"/>
        <v>943.24</v>
      </c>
      <c r="H15" s="314">
        <f t="shared" si="2"/>
        <v>4660.3601920000001</v>
      </c>
      <c r="I15" s="345" t="s">
        <v>218</v>
      </c>
      <c r="J15" s="294" t="str">
        <f>""</f>
        <v/>
      </c>
    </row>
    <row r="16" spans="1:13" x14ac:dyDescent="0.25">
      <c r="A16" s="3" t="s">
        <v>219</v>
      </c>
      <c r="B16" s="3" t="s">
        <v>220</v>
      </c>
      <c r="C16" s="3" t="s">
        <v>221</v>
      </c>
      <c r="D16" s="311">
        <v>6950</v>
      </c>
      <c r="E16" s="312">
        <f>K2*D16</f>
        <v>34338.560000000005</v>
      </c>
      <c r="F16" s="3">
        <v>3</v>
      </c>
      <c r="G16" s="311">
        <f t="shared" si="1"/>
        <v>20850</v>
      </c>
      <c r="H16" s="316">
        <f t="shared" si="2"/>
        <v>103015.68000000002</v>
      </c>
      <c r="I16" s="344" t="s">
        <v>222</v>
      </c>
      <c r="J16" s="294" t="str">
        <f>""</f>
        <v/>
      </c>
    </row>
    <row r="17" spans="1:10" x14ac:dyDescent="0.25">
      <c r="A17" s="1" t="s">
        <v>219</v>
      </c>
      <c r="B17" s="1" t="s">
        <v>223</v>
      </c>
      <c r="C17" s="1" t="s">
        <v>66</v>
      </c>
      <c r="D17" s="311">
        <v>5125</v>
      </c>
      <c r="E17" s="312">
        <f>K2*D17</f>
        <v>25321.600000000002</v>
      </c>
      <c r="F17" s="313">
        <v>4</v>
      </c>
      <c r="G17" s="311">
        <f t="shared" si="1"/>
        <v>20500</v>
      </c>
      <c r="H17" s="314">
        <f t="shared" si="2"/>
        <v>101286.40000000001</v>
      </c>
      <c r="I17" s="344" t="s">
        <v>224</v>
      </c>
      <c r="J17" s="294" t="str">
        <f>""</f>
        <v/>
      </c>
    </row>
    <row r="18" spans="1:10" x14ac:dyDescent="0.25">
      <c r="A18" s="1" t="s">
        <v>219</v>
      </c>
      <c r="B18" s="1" t="s">
        <v>225</v>
      </c>
      <c r="C18" s="1" t="s">
        <v>226</v>
      </c>
      <c r="D18" s="311">
        <v>6950</v>
      </c>
      <c r="E18" s="312">
        <f>K2*D18</f>
        <v>34338.560000000005</v>
      </c>
      <c r="F18" s="313">
        <v>1</v>
      </c>
      <c r="G18" s="311">
        <f t="shared" si="1"/>
        <v>6950</v>
      </c>
      <c r="H18" s="314">
        <f t="shared" si="2"/>
        <v>34338.560000000005</v>
      </c>
      <c r="I18" s="344" t="s">
        <v>227</v>
      </c>
      <c r="J18" s="294" t="str">
        <f>""</f>
        <v/>
      </c>
    </row>
    <row r="19" spans="1:10" x14ac:dyDescent="0.25">
      <c r="A19" s="1" t="s">
        <v>228</v>
      </c>
      <c r="B19" s="1">
        <v>5108</v>
      </c>
      <c r="C19" s="1" t="s">
        <v>56</v>
      </c>
      <c r="D19" s="315">
        <v>434.08</v>
      </c>
      <c r="E19" s="312">
        <f>K2*D19</f>
        <v>2144.702464</v>
      </c>
      <c r="F19" s="346">
        <v>1</v>
      </c>
      <c r="G19" s="311">
        <f t="shared" si="1"/>
        <v>434.08</v>
      </c>
      <c r="H19" s="314">
        <f t="shared" si="2"/>
        <v>2144.702464</v>
      </c>
      <c r="I19" s="344" t="s">
        <v>229</v>
      </c>
      <c r="J19" s="294" t="str">
        <f>""</f>
        <v/>
      </c>
    </row>
    <row r="20" spans="1:10" x14ac:dyDescent="0.25">
      <c r="A20" s="1" t="s">
        <v>228</v>
      </c>
      <c r="B20" s="1">
        <v>5103</v>
      </c>
      <c r="C20" s="1" t="s">
        <v>56</v>
      </c>
      <c r="D20" s="315">
        <v>434.08</v>
      </c>
      <c r="E20" s="312">
        <f>K2*D20</f>
        <v>2144.702464</v>
      </c>
      <c r="F20" s="346">
        <v>1</v>
      </c>
      <c r="G20" s="311">
        <f t="shared" si="1"/>
        <v>434.08</v>
      </c>
      <c r="H20" s="314">
        <f t="shared" si="2"/>
        <v>2144.702464</v>
      </c>
      <c r="I20" s="344" t="s">
        <v>230</v>
      </c>
      <c r="J20" s="294" t="str">
        <f>""</f>
        <v/>
      </c>
    </row>
    <row r="21" spans="1:10" x14ac:dyDescent="0.25">
      <c r="A21" s="1" t="s">
        <v>228</v>
      </c>
      <c r="B21" s="1">
        <v>5106</v>
      </c>
      <c r="C21" s="1" t="s">
        <v>56</v>
      </c>
      <c r="D21" s="315">
        <v>434.08</v>
      </c>
      <c r="E21" s="312">
        <f>K2*D21</f>
        <v>2144.702464</v>
      </c>
      <c r="F21" s="395">
        <v>16</v>
      </c>
      <c r="G21" s="311">
        <f t="shared" si="1"/>
        <v>6945.28</v>
      </c>
      <c r="H21" s="314"/>
      <c r="I21" s="344" t="s">
        <v>230</v>
      </c>
      <c r="J21" s="294" t="str">
        <f>""</f>
        <v/>
      </c>
    </row>
    <row r="22" spans="1:10" x14ac:dyDescent="0.25">
      <c r="A22" s="1" t="s">
        <v>228</v>
      </c>
      <c r="B22" s="1">
        <v>85106</v>
      </c>
      <c r="C22" s="1" t="s">
        <v>56</v>
      </c>
      <c r="D22" s="315">
        <v>434.08</v>
      </c>
      <c r="E22" s="312">
        <f>K2*D22</f>
        <v>2144.702464</v>
      </c>
      <c r="F22" s="346">
        <v>1</v>
      </c>
      <c r="G22" s="311">
        <f t="shared" si="1"/>
        <v>434.08</v>
      </c>
      <c r="H22" s="314">
        <f t="shared" si="2"/>
        <v>2144.702464</v>
      </c>
      <c r="I22" s="344" t="s">
        <v>230</v>
      </c>
      <c r="J22" s="294" t="str">
        <f>""</f>
        <v/>
      </c>
    </row>
    <row r="23" spans="1:10" x14ac:dyDescent="0.25">
      <c r="A23" s="1" t="s">
        <v>231</v>
      </c>
      <c r="B23" s="1" t="s">
        <v>232</v>
      </c>
      <c r="C23" s="1" t="s">
        <v>233</v>
      </c>
      <c r="D23" s="311">
        <v>2000</v>
      </c>
      <c r="E23" s="312">
        <f>K2*D23</f>
        <v>9881.6</v>
      </c>
      <c r="F23" s="313">
        <v>3</v>
      </c>
      <c r="G23" s="311">
        <f t="shared" si="1"/>
        <v>6000</v>
      </c>
      <c r="H23" s="314">
        <f t="shared" si="2"/>
        <v>29644.800000000003</v>
      </c>
      <c r="I23" s="344" t="s">
        <v>227</v>
      </c>
      <c r="J23" s="294" t="str">
        <f>""</f>
        <v/>
      </c>
    </row>
    <row r="24" spans="1:10" x14ac:dyDescent="0.25">
      <c r="A24" s="1" t="s">
        <v>231</v>
      </c>
      <c r="B24" s="1" t="s">
        <v>234</v>
      </c>
      <c r="C24" s="1" t="s">
        <v>233</v>
      </c>
      <c r="D24" s="311">
        <v>2000</v>
      </c>
      <c r="E24" s="312">
        <f>K2*D24</f>
        <v>9881.6</v>
      </c>
      <c r="F24" s="313">
        <v>5</v>
      </c>
      <c r="G24" s="311">
        <f t="shared" si="1"/>
        <v>10000</v>
      </c>
      <c r="H24" s="314">
        <f t="shared" si="2"/>
        <v>49408</v>
      </c>
      <c r="I24" s="344" t="s">
        <v>227</v>
      </c>
      <c r="J24" s="294" t="str">
        <f>""</f>
        <v/>
      </c>
    </row>
    <row r="25" spans="1:10" x14ac:dyDescent="0.25">
      <c r="A25" s="1" t="s">
        <v>231</v>
      </c>
      <c r="B25" s="1" t="s">
        <v>235</v>
      </c>
      <c r="C25" s="1" t="s">
        <v>236</v>
      </c>
      <c r="D25" s="311">
        <v>2000</v>
      </c>
      <c r="E25" s="312">
        <f>K2*D25</f>
        <v>9881.6</v>
      </c>
      <c r="F25" s="313">
        <v>2</v>
      </c>
      <c r="G25" s="311"/>
      <c r="H25" s="314">
        <f t="shared" si="2"/>
        <v>19763.2</v>
      </c>
      <c r="I25" s="344" t="s">
        <v>237</v>
      </c>
      <c r="J25" s="294" t="str">
        <f>""</f>
        <v/>
      </c>
    </row>
    <row r="26" spans="1:10" x14ac:dyDescent="0.25">
      <c r="A26" s="1" t="s">
        <v>231</v>
      </c>
      <c r="B26" s="1" t="s">
        <v>238</v>
      </c>
      <c r="C26" s="1" t="s">
        <v>236</v>
      </c>
      <c r="D26" s="311">
        <v>979</v>
      </c>
      <c r="E26" s="312">
        <f>K2*D26</f>
        <v>4837.0432000000001</v>
      </c>
      <c r="F26" s="313">
        <v>2</v>
      </c>
      <c r="G26" s="311">
        <f t="shared" si="1"/>
        <v>1958</v>
      </c>
      <c r="H26" s="314">
        <f t="shared" si="2"/>
        <v>9674.0864000000001</v>
      </c>
      <c r="I26" s="344" t="s">
        <v>239</v>
      </c>
      <c r="J26" s="294" t="str">
        <f>""</f>
        <v/>
      </c>
    </row>
    <row r="27" spans="1:10" x14ac:dyDescent="0.25">
      <c r="A27" s="1" t="s">
        <v>240</v>
      </c>
      <c r="B27" s="1" t="s">
        <v>241</v>
      </c>
      <c r="C27" s="1" t="s">
        <v>42</v>
      </c>
      <c r="D27" s="311">
        <v>15219.3</v>
      </c>
      <c r="E27" s="312">
        <f>K2*D27</f>
        <v>75195.517439999996</v>
      </c>
      <c r="F27" s="347">
        <v>21</v>
      </c>
      <c r="G27" s="311">
        <f t="shared" si="1"/>
        <v>319605.3</v>
      </c>
      <c r="H27" s="314">
        <f t="shared" si="2"/>
        <v>1579105.8662399999</v>
      </c>
      <c r="I27" s="344" t="s">
        <v>242</v>
      </c>
      <c r="J27" s="294" t="str">
        <f>""</f>
        <v/>
      </c>
    </row>
    <row r="28" spans="1:10" x14ac:dyDescent="0.25">
      <c r="A28" s="1" t="s">
        <v>240</v>
      </c>
      <c r="B28" s="1" t="s">
        <v>243</v>
      </c>
      <c r="C28" s="1" t="s">
        <v>42</v>
      </c>
      <c r="D28" s="311">
        <v>11000</v>
      </c>
      <c r="E28" s="312">
        <f>K2*D28</f>
        <v>54348.800000000003</v>
      </c>
      <c r="F28" s="346">
        <v>3</v>
      </c>
      <c r="G28" s="311">
        <f t="shared" si="1"/>
        <v>33000</v>
      </c>
      <c r="H28" s="314">
        <f t="shared" si="2"/>
        <v>163046.40000000002</v>
      </c>
      <c r="I28" s="344" t="s">
        <v>244</v>
      </c>
      <c r="J28" s="294" t="str">
        <f>""</f>
        <v/>
      </c>
    </row>
    <row r="29" spans="1:10" x14ac:dyDescent="0.25">
      <c r="A29" s="1" t="s">
        <v>240</v>
      </c>
      <c r="B29" s="1" t="s">
        <v>245</v>
      </c>
      <c r="C29" s="1" t="s">
        <v>42</v>
      </c>
      <c r="D29" s="311">
        <v>11000</v>
      </c>
      <c r="E29" s="312">
        <f>K2*D29</f>
        <v>54348.800000000003</v>
      </c>
      <c r="F29" s="347">
        <v>12</v>
      </c>
      <c r="G29" s="311">
        <f t="shared" si="1"/>
        <v>132000</v>
      </c>
      <c r="H29" s="314">
        <f t="shared" si="2"/>
        <v>652185.60000000009</v>
      </c>
      <c r="I29" s="344" t="s">
        <v>210</v>
      </c>
      <c r="J29" s="294" t="str">
        <f>""</f>
        <v/>
      </c>
    </row>
    <row r="30" spans="1:10" x14ac:dyDescent="0.25">
      <c r="A30" s="1" t="s">
        <v>240</v>
      </c>
      <c r="B30" s="1"/>
      <c r="C30" s="1" t="s">
        <v>42</v>
      </c>
      <c r="D30" s="311">
        <v>11000</v>
      </c>
      <c r="E30" s="312">
        <f>K2*D30</f>
        <v>54348.800000000003</v>
      </c>
      <c r="F30" s="347">
        <v>4</v>
      </c>
      <c r="G30" s="311">
        <f t="shared" si="1"/>
        <v>44000</v>
      </c>
      <c r="H30" s="314">
        <f t="shared" si="2"/>
        <v>217395.20000000001</v>
      </c>
      <c r="I30" s="344" t="s">
        <v>244</v>
      </c>
      <c r="J30" s="294" t="str">
        <f>""</f>
        <v/>
      </c>
    </row>
    <row r="31" spans="1:10" x14ac:dyDescent="0.25">
      <c r="A31" s="1" t="s">
        <v>246</v>
      </c>
      <c r="B31" s="1" t="s">
        <v>247</v>
      </c>
      <c r="C31" s="1" t="s">
        <v>56</v>
      </c>
      <c r="D31" s="311">
        <v>664</v>
      </c>
      <c r="E31" s="312">
        <f>K2*D31</f>
        <v>3280.6912000000002</v>
      </c>
      <c r="F31" s="346">
        <v>5</v>
      </c>
      <c r="G31" s="311">
        <f t="shared" si="1"/>
        <v>3320</v>
      </c>
      <c r="H31" s="314">
        <f t="shared" si="2"/>
        <v>16403.456000000002</v>
      </c>
      <c r="I31" s="344" t="s">
        <v>248</v>
      </c>
      <c r="J31" s="294" t="str">
        <f>""</f>
        <v/>
      </c>
    </row>
    <row r="32" spans="1:10" x14ac:dyDescent="0.25">
      <c r="A32" s="1" t="s">
        <v>246</v>
      </c>
      <c r="B32" s="1" t="s">
        <v>249</v>
      </c>
      <c r="C32" s="1" t="s">
        <v>56</v>
      </c>
      <c r="D32" s="311">
        <v>664</v>
      </c>
      <c r="E32" s="312">
        <f>K2*D32</f>
        <v>3280.6912000000002</v>
      </c>
      <c r="F32" s="395">
        <v>37</v>
      </c>
      <c r="G32" s="311">
        <f t="shared" si="1"/>
        <v>24568</v>
      </c>
      <c r="H32" s="314">
        <f t="shared" si="2"/>
        <v>121385.57440000001</v>
      </c>
      <c r="I32" s="344" t="s">
        <v>250</v>
      </c>
      <c r="J32" s="294" t="str">
        <f>""</f>
        <v/>
      </c>
    </row>
    <row r="33" spans="1:10" x14ac:dyDescent="0.25">
      <c r="A33" s="1" t="s">
        <v>246</v>
      </c>
      <c r="B33" s="1" t="s">
        <v>251</v>
      </c>
      <c r="C33" s="1" t="s">
        <v>56</v>
      </c>
      <c r="D33" s="311">
        <v>664</v>
      </c>
      <c r="E33" s="312">
        <f>K2*D33</f>
        <v>3280.6912000000002</v>
      </c>
      <c r="F33" s="346">
        <v>3</v>
      </c>
      <c r="G33" s="311">
        <f t="shared" si="1"/>
        <v>1992</v>
      </c>
      <c r="H33" s="314">
        <f t="shared" si="2"/>
        <v>9842.0735999999997</v>
      </c>
      <c r="I33" s="344" t="s">
        <v>248</v>
      </c>
      <c r="J33" s="294" t="str">
        <f>""</f>
        <v/>
      </c>
    </row>
    <row r="34" spans="1:10" x14ac:dyDescent="0.25">
      <c r="A34" s="1" t="s">
        <v>246</v>
      </c>
      <c r="B34" s="1" t="s">
        <v>252</v>
      </c>
      <c r="C34" s="1" t="s">
        <v>56</v>
      </c>
      <c r="D34" s="311">
        <v>664</v>
      </c>
      <c r="E34" s="312">
        <f>K2*D34</f>
        <v>3280.6912000000002</v>
      </c>
      <c r="F34" s="346">
        <v>2</v>
      </c>
      <c r="G34" s="311">
        <f t="shared" si="1"/>
        <v>1328</v>
      </c>
      <c r="H34" s="314">
        <f t="shared" si="2"/>
        <v>6561.3824000000004</v>
      </c>
      <c r="I34" s="344" t="s">
        <v>248</v>
      </c>
      <c r="J34" s="294" t="str">
        <f>""</f>
        <v/>
      </c>
    </row>
    <row r="35" spans="1:10" x14ac:dyDescent="0.25">
      <c r="A35" s="1" t="s">
        <v>253</v>
      </c>
      <c r="B35" s="1" t="s">
        <v>254</v>
      </c>
      <c r="C35" s="1" t="s">
        <v>255</v>
      </c>
      <c r="D35" s="311">
        <v>5052</v>
      </c>
      <c r="E35" s="312">
        <f>K2*D35</f>
        <v>24960.921600000001</v>
      </c>
      <c r="F35" s="313">
        <v>1</v>
      </c>
      <c r="G35" s="311">
        <f t="shared" si="1"/>
        <v>5052</v>
      </c>
      <c r="H35" s="314">
        <f t="shared" si="2"/>
        <v>24960.921600000001</v>
      </c>
      <c r="I35" s="344" t="s">
        <v>256</v>
      </c>
      <c r="J35" s="294" t="str">
        <f>""</f>
        <v/>
      </c>
    </row>
    <row r="36" spans="1:10" x14ac:dyDescent="0.25">
      <c r="A36" s="1" t="s">
        <v>253</v>
      </c>
      <c r="B36" s="1" t="s">
        <v>257</v>
      </c>
      <c r="C36" s="1" t="s">
        <v>255</v>
      </c>
      <c r="D36" s="311">
        <v>12500</v>
      </c>
      <c r="E36" s="312">
        <f>K2*D36</f>
        <v>61760.000000000007</v>
      </c>
      <c r="F36" s="313">
        <v>5</v>
      </c>
      <c r="G36" s="311">
        <f t="shared" si="1"/>
        <v>62500</v>
      </c>
      <c r="H36" s="314">
        <f t="shared" si="2"/>
        <v>308800.00000000006</v>
      </c>
      <c r="I36" s="344" t="s">
        <v>258</v>
      </c>
      <c r="J36" s="294" t="str">
        <f>""</f>
        <v/>
      </c>
    </row>
    <row r="37" spans="1:10" x14ac:dyDescent="0.25">
      <c r="A37" s="1" t="s">
        <v>253</v>
      </c>
      <c r="B37" s="1" t="s">
        <v>259</v>
      </c>
      <c r="C37" s="1" t="s">
        <v>255</v>
      </c>
      <c r="D37" s="311">
        <v>5052</v>
      </c>
      <c r="E37" s="312">
        <f>K2*D37</f>
        <v>24960.921600000001</v>
      </c>
      <c r="F37" s="313">
        <v>18</v>
      </c>
      <c r="G37" s="311">
        <f t="shared" si="1"/>
        <v>90936</v>
      </c>
      <c r="H37" s="314">
        <f t="shared" si="2"/>
        <v>449296.58880000003</v>
      </c>
      <c r="I37" s="344" t="s">
        <v>260</v>
      </c>
      <c r="J37" s="294" t="str">
        <f>""</f>
        <v/>
      </c>
    </row>
    <row r="38" spans="1:10" x14ac:dyDescent="0.25">
      <c r="A38" s="1" t="s">
        <v>253</v>
      </c>
      <c r="B38" s="1" t="s">
        <v>261</v>
      </c>
      <c r="C38" s="1" t="s">
        <v>255</v>
      </c>
      <c r="D38" s="311">
        <v>5052</v>
      </c>
      <c r="E38" s="312">
        <f>K2*D38</f>
        <v>24960.921600000001</v>
      </c>
      <c r="F38" s="313">
        <v>1</v>
      </c>
      <c r="G38" s="311">
        <f t="shared" si="1"/>
        <v>5052</v>
      </c>
      <c r="H38" s="314">
        <f t="shared" si="2"/>
        <v>24960.921600000001</v>
      </c>
      <c r="I38" s="344" t="s">
        <v>256</v>
      </c>
      <c r="J38" s="294" t="str">
        <f>""</f>
        <v/>
      </c>
    </row>
    <row r="39" spans="1:10" x14ac:dyDescent="0.25">
      <c r="A39" s="1" t="s">
        <v>253</v>
      </c>
      <c r="B39" s="1" t="s">
        <v>262</v>
      </c>
      <c r="C39" s="1" t="s">
        <v>263</v>
      </c>
      <c r="D39" s="311">
        <v>3500</v>
      </c>
      <c r="E39" s="312">
        <f>K2*D39</f>
        <v>17292.8</v>
      </c>
      <c r="F39" s="313">
        <v>7</v>
      </c>
      <c r="G39" s="311">
        <f t="shared" si="1"/>
        <v>24500</v>
      </c>
      <c r="H39" s="314">
        <f t="shared" si="2"/>
        <v>121049.59999999999</v>
      </c>
      <c r="I39" s="344" t="s">
        <v>244</v>
      </c>
      <c r="J39" s="294" t="str">
        <f>""</f>
        <v/>
      </c>
    </row>
    <row r="40" spans="1:10" x14ac:dyDescent="0.25">
      <c r="A40" s="1" t="s">
        <v>253</v>
      </c>
      <c r="B40" s="1" t="s">
        <v>154</v>
      </c>
      <c r="C40" s="1" t="s">
        <v>263</v>
      </c>
      <c r="D40" s="311">
        <v>4500</v>
      </c>
      <c r="E40" s="312">
        <f>K2*D40</f>
        <v>22233.600000000002</v>
      </c>
      <c r="F40" s="313">
        <v>19</v>
      </c>
      <c r="G40" s="311">
        <f t="shared" si="1"/>
        <v>85500</v>
      </c>
      <c r="H40" s="314">
        <f t="shared" si="2"/>
        <v>422438.40000000002</v>
      </c>
      <c r="I40" s="344" t="s">
        <v>264</v>
      </c>
      <c r="J40" s="294" t="str">
        <f>""</f>
        <v/>
      </c>
    </row>
    <row r="41" spans="1:10" x14ac:dyDescent="0.25">
      <c r="A41" s="1" t="s">
        <v>253</v>
      </c>
      <c r="B41" s="1" t="s">
        <v>265</v>
      </c>
      <c r="C41" s="1" t="s">
        <v>263</v>
      </c>
      <c r="D41" s="311">
        <v>971</v>
      </c>
      <c r="E41" s="312">
        <f>K2*D41</f>
        <v>4797.5168000000003</v>
      </c>
      <c r="F41" s="313">
        <v>1</v>
      </c>
      <c r="G41" s="311">
        <f t="shared" si="1"/>
        <v>971</v>
      </c>
      <c r="H41" s="314">
        <f t="shared" si="2"/>
        <v>4797.5168000000003</v>
      </c>
      <c r="I41" s="344" t="s">
        <v>266</v>
      </c>
      <c r="J41" s="294" t="str">
        <f>""</f>
        <v/>
      </c>
    </row>
    <row r="42" spans="1:10" x14ac:dyDescent="0.25">
      <c r="A42" s="1" t="s">
        <v>253</v>
      </c>
      <c r="B42" s="1" t="s">
        <v>267</v>
      </c>
      <c r="C42" s="1" t="s">
        <v>268</v>
      </c>
      <c r="D42" s="311">
        <v>6315.66</v>
      </c>
      <c r="E42" s="312">
        <f>K2*D42</f>
        <v>31204.412928000002</v>
      </c>
      <c r="F42" s="313">
        <v>6</v>
      </c>
      <c r="G42" s="311">
        <f t="shared" si="1"/>
        <v>37893.96</v>
      </c>
      <c r="H42" s="314">
        <f t="shared" si="2"/>
        <v>187226.477568</v>
      </c>
      <c r="I42" s="344" t="s">
        <v>269</v>
      </c>
      <c r="J42" s="294" t="str">
        <f>""</f>
        <v/>
      </c>
    </row>
    <row r="43" spans="1:10" x14ac:dyDescent="0.25">
      <c r="A43" s="1" t="s">
        <v>253</v>
      </c>
      <c r="B43" s="1" t="s">
        <v>156</v>
      </c>
      <c r="C43" s="1" t="s">
        <v>270</v>
      </c>
      <c r="D43" s="311">
        <v>3132</v>
      </c>
      <c r="E43" s="312">
        <f>K2*D43</f>
        <v>15474.5856</v>
      </c>
      <c r="F43" s="313">
        <v>10</v>
      </c>
      <c r="G43" s="311">
        <f t="shared" si="1"/>
        <v>31320</v>
      </c>
      <c r="H43" s="314">
        <f t="shared" si="2"/>
        <v>154745.856</v>
      </c>
      <c r="I43" s="344" t="s">
        <v>271</v>
      </c>
      <c r="J43" s="294" t="str">
        <f>""</f>
        <v/>
      </c>
    </row>
    <row r="44" spans="1:10" x14ac:dyDescent="0.25">
      <c r="A44" s="1" t="s">
        <v>272</v>
      </c>
      <c r="B44" s="1" t="s">
        <v>29</v>
      </c>
      <c r="C44" s="3" t="s">
        <v>273</v>
      </c>
      <c r="D44" s="311">
        <v>6440</v>
      </c>
      <c r="E44" s="312">
        <f>K2*D44</f>
        <v>31818.752</v>
      </c>
      <c r="F44" s="313">
        <v>2</v>
      </c>
      <c r="G44" s="311">
        <f t="shared" si="1"/>
        <v>12880</v>
      </c>
      <c r="H44" s="314">
        <f t="shared" si="2"/>
        <v>63637.504000000001</v>
      </c>
      <c r="I44" s="344" t="s">
        <v>199</v>
      </c>
      <c r="J44" s="294" t="str">
        <f>""</f>
        <v/>
      </c>
    </row>
    <row r="45" spans="1:10" ht="14.4" x14ac:dyDescent="0.3">
      <c r="A45" s="317" t="s">
        <v>274</v>
      </c>
      <c r="B45" s="1" t="s">
        <v>275</v>
      </c>
      <c r="C45" s="3" t="s">
        <v>276</v>
      </c>
      <c r="D45" s="315">
        <v>9264.98</v>
      </c>
      <c r="E45" s="312">
        <f>K2*D45</f>
        <v>45776.413183999997</v>
      </c>
      <c r="F45" s="313">
        <v>1</v>
      </c>
      <c r="G45" s="311">
        <f t="shared" si="1"/>
        <v>9264.98</v>
      </c>
      <c r="H45" s="314">
        <f>F45*E45</f>
        <v>45776.413183999997</v>
      </c>
      <c r="I45" s="344" t="s">
        <v>277</v>
      </c>
      <c r="J45" s="294" t="str">
        <f>""</f>
        <v/>
      </c>
    </row>
    <row r="46" spans="1:10" x14ac:dyDescent="0.25">
      <c r="A46" s="1" t="s">
        <v>278</v>
      </c>
      <c r="B46" s="1" t="s">
        <v>279</v>
      </c>
      <c r="C46" s="1" t="s">
        <v>280</v>
      </c>
      <c r="D46" s="311">
        <v>57960</v>
      </c>
      <c r="E46" s="312">
        <f>K2*D46</f>
        <v>286368.76800000004</v>
      </c>
      <c r="F46" s="313">
        <v>4</v>
      </c>
      <c r="G46" s="311">
        <f t="shared" si="1"/>
        <v>231840</v>
      </c>
      <c r="H46" s="314">
        <f t="shared" si="2"/>
        <v>1145475.0720000002</v>
      </c>
      <c r="I46" s="344" t="s">
        <v>199</v>
      </c>
      <c r="J46" s="294" t="str">
        <f>""</f>
        <v/>
      </c>
    </row>
    <row r="47" spans="1:10" x14ac:dyDescent="0.25">
      <c r="A47" s="1" t="s">
        <v>281</v>
      </c>
      <c r="B47" s="1" t="s">
        <v>282</v>
      </c>
      <c r="C47" s="1" t="s">
        <v>283</v>
      </c>
      <c r="D47" s="311">
        <v>4935</v>
      </c>
      <c r="E47" s="314">
        <f>K2*D47</f>
        <v>24382.848000000002</v>
      </c>
      <c r="F47" s="313">
        <v>1</v>
      </c>
      <c r="G47" s="311">
        <f t="shared" si="1"/>
        <v>4935</v>
      </c>
      <c r="H47" s="314">
        <f t="shared" si="2"/>
        <v>24382.848000000002</v>
      </c>
      <c r="I47" s="344" t="s">
        <v>284</v>
      </c>
      <c r="J47" s="294" t="str">
        <f>""</f>
        <v/>
      </c>
    </row>
    <row r="48" spans="1:10" x14ac:dyDescent="0.25">
      <c r="A48" s="1" t="s">
        <v>285</v>
      </c>
      <c r="B48" s="1" t="s">
        <v>286</v>
      </c>
      <c r="C48" s="3" t="s">
        <v>287</v>
      </c>
      <c r="D48" s="311">
        <v>105159</v>
      </c>
      <c r="E48" s="314">
        <f>K2*D48</f>
        <v>519569.58720000001</v>
      </c>
      <c r="F48" s="313">
        <v>1</v>
      </c>
      <c r="G48" s="311">
        <f t="shared" si="1"/>
        <v>105159</v>
      </c>
      <c r="H48" s="314">
        <f t="shared" si="2"/>
        <v>519569.58720000001</v>
      </c>
      <c r="I48" s="344" t="s">
        <v>288</v>
      </c>
      <c r="J48" s="294" t="str">
        <f>""</f>
        <v/>
      </c>
    </row>
    <row r="49" spans="1:10" x14ac:dyDescent="0.25">
      <c r="A49" s="1" t="s">
        <v>289</v>
      </c>
      <c r="B49" s="1" t="s">
        <v>290</v>
      </c>
      <c r="C49" s="1" t="s">
        <v>291</v>
      </c>
      <c r="D49" s="311">
        <v>2250</v>
      </c>
      <c r="E49" s="314">
        <f>K2*D49</f>
        <v>11116.800000000001</v>
      </c>
      <c r="F49" s="313">
        <v>16</v>
      </c>
      <c r="G49" s="311">
        <f t="shared" si="1"/>
        <v>36000</v>
      </c>
      <c r="H49" s="314">
        <f t="shared" si="2"/>
        <v>177868.80000000002</v>
      </c>
      <c r="I49" s="344" t="s">
        <v>224</v>
      </c>
      <c r="J49" s="294" t="str">
        <f>""</f>
        <v/>
      </c>
    </row>
    <row r="50" spans="1:10" x14ac:dyDescent="0.25">
      <c r="A50" s="1" t="s">
        <v>289</v>
      </c>
      <c r="B50" s="1" t="s">
        <v>292</v>
      </c>
      <c r="C50" s="1" t="s">
        <v>291</v>
      </c>
      <c r="D50" s="311">
        <v>3355</v>
      </c>
      <c r="E50" s="314">
        <f>K2*D50</f>
        <v>16576.384000000002</v>
      </c>
      <c r="F50" s="313">
        <v>16</v>
      </c>
      <c r="G50" s="311">
        <f t="shared" si="1"/>
        <v>53680</v>
      </c>
      <c r="H50" s="314">
        <f t="shared" si="2"/>
        <v>265222.14400000003</v>
      </c>
      <c r="I50" s="344" t="s">
        <v>224</v>
      </c>
      <c r="J50" s="294" t="str">
        <f>""</f>
        <v/>
      </c>
    </row>
    <row r="51" spans="1:10" x14ac:dyDescent="0.25">
      <c r="A51" s="1" t="s">
        <v>289</v>
      </c>
      <c r="B51" s="1" t="s">
        <v>293</v>
      </c>
      <c r="C51" s="1" t="s">
        <v>291</v>
      </c>
      <c r="D51" s="311">
        <v>2980</v>
      </c>
      <c r="E51" s="314">
        <f>K2*D51</f>
        <v>14723.584000000001</v>
      </c>
      <c r="F51" s="313">
        <v>1</v>
      </c>
      <c r="G51" s="311">
        <f t="shared" si="1"/>
        <v>2980</v>
      </c>
      <c r="H51" s="314">
        <f t="shared" si="2"/>
        <v>14723.584000000001</v>
      </c>
      <c r="I51" s="344" t="s">
        <v>224</v>
      </c>
      <c r="J51" s="294" t="str">
        <f>""</f>
        <v/>
      </c>
    </row>
    <row r="52" spans="1:10" x14ac:dyDescent="0.25">
      <c r="A52" s="1" t="s">
        <v>294</v>
      </c>
      <c r="B52" s="1" t="s">
        <v>295</v>
      </c>
      <c r="C52" s="1" t="s">
        <v>296</v>
      </c>
      <c r="D52" s="315">
        <v>547.30999999999995</v>
      </c>
      <c r="E52" s="314">
        <f>K2*D52</f>
        <v>2704.1492479999997</v>
      </c>
      <c r="F52" s="313">
        <v>1</v>
      </c>
      <c r="G52" s="311">
        <f t="shared" si="1"/>
        <v>547.30999999999995</v>
      </c>
      <c r="H52" s="314">
        <f t="shared" si="2"/>
        <v>2704.1492479999997</v>
      </c>
      <c r="I52" s="344" t="s">
        <v>297</v>
      </c>
      <c r="J52" s="294" t="str">
        <f>""</f>
        <v/>
      </c>
    </row>
    <row r="53" spans="1:10" x14ac:dyDescent="0.25">
      <c r="A53" s="1" t="s">
        <v>294</v>
      </c>
      <c r="B53" s="1" t="s">
        <v>298</v>
      </c>
      <c r="C53" s="1" t="s">
        <v>299</v>
      </c>
      <c r="D53" s="315">
        <v>956.11</v>
      </c>
      <c r="E53" s="314">
        <f>K2*D53</f>
        <v>4723.9482880000005</v>
      </c>
      <c r="F53" s="313">
        <v>1</v>
      </c>
      <c r="G53" s="311">
        <f t="shared" si="1"/>
        <v>956.11</v>
      </c>
      <c r="H53" s="314">
        <f t="shared" si="2"/>
        <v>4723.9482880000005</v>
      </c>
      <c r="I53" s="344" t="s">
        <v>300</v>
      </c>
      <c r="J53" s="294" t="str">
        <f>""</f>
        <v/>
      </c>
    </row>
    <row r="54" spans="1:10" x14ac:dyDescent="0.25">
      <c r="A54" s="1" t="s">
        <v>294</v>
      </c>
      <c r="B54" s="1" t="s">
        <v>301</v>
      </c>
      <c r="C54" s="1" t="s">
        <v>302</v>
      </c>
      <c r="D54" s="315">
        <v>1499.95</v>
      </c>
      <c r="E54" s="314">
        <f>K2*D54</f>
        <v>7410.9529600000005</v>
      </c>
      <c r="F54" s="313">
        <v>3</v>
      </c>
      <c r="G54" s="311">
        <f t="shared" si="1"/>
        <v>4499.8500000000004</v>
      </c>
      <c r="H54" s="314">
        <f t="shared" si="2"/>
        <v>22232.85888</v>
      </c>
      <c r="I54" s="344" t="s">
        <v>303</v>
      </c>
      <c r="J54" s="294" t="str">
        <f>""</f>
        <v/>
      </c>
    </row>
    <row r="55" spans="1:10" x14ac:dyDescent="0.25">
      <c r="A55" s="1" t="s">
        <v>294</v>
      </c>
      <c r="B55" s="1">
        <v>131</v>
      </c>
      <c r="C55" s="1" t="s">
        <v>304</v>
      </c>
      <c r="D55" s="315">
        <v>561.1</v>
      </c>
      <c r="E55" s="314">
        <f>K2*D55</f>
        <v>2772.2828800000002</v>
      </c>
      <c r="F55" s="313">
        <v>2</v>
      </c>
      <c r="G55" s="311">
        <f t="shared" si="1"/>
        <v>1122.2</v>
      </c>
      <c r="H55" s="314">
        <f t="shared" si="2"/>
        <v>5544.5657600000004</v>
      </c>
      <c r="I55" s="344" t="s">
        <v>297</v>
      </c>
      <c r="J55" s="294" t="str">
        <f>""</f>
        <v/>
      </c>
    </row>
    <row r="56" spans="1:10" x14ac:dyDescent="0.25">
      <c r="A56" s="1" t="s">
        <v>294</v>
      </c>
      <c r="B56" s="1">
        <v>132</v>
      </c>
      <c r="C56" s="1" t="s">
        <v>304</v>
      </c>
      <c r="D56" s="315">
        <v>807.27</v>
      </c>
      <c r="E56" s="314">
        <f>K2*D56</f>
        <v>3988.559616</v>
      </c>
      <c r="F56" s="313">
        <v>3</v>
      </c>
      <c r="G56" s="311">
        <f t="shared" si="1"/>
        <v>2421.81</v>
      </c>
      <c r="H56" s="314">
        <f t="shared" si="2"/>
        <v>11965.678848</v>
      </c>
      <c r="I56" s="344" t="s">
        <v>297</v>
      </c>
      <c r="J56" s="294" t="str">
        <f>""</f>
        <v/>
      </c>
    </row>
    <row r="57" spans="1:10" x14ac:dyDescent="0.25">
      <c r="A57" s="1" t="s">
        <v>305</v>
      </c>
      <c r="B57" s="1" t="s">
        <v>306</v>
      </c>
      <c r="C57" s="1" t="s">
        <v>307</v>
      </c>
      <c r="D57" s="311">
        <v>477</v>
      </c>
      <c r="E57" s="314">
        <f>K2*D57</f>
        <v>2356.7616000000003</v>
      </c>
      <c r="F57" s="313">
        <v>2</v>
      </c>
      <c r="G57" s="311">
        <f t="shared" si="1"/>
        <v>954</v>
      </c>
      <c r="H57" s="314">
        <f t="shared" si="2"/>
        <v>4713.5232000000005</v>
      </c>
      <c r="I57" s="345" t="s">
        <v>308</v>
      </c>
      <c r="J57" s="294" t="str">
        <f>""</f>
        <v/>
      </c>
    </row>
    <row r="58" spans="1:10" x14ac:dyDescent="0.25">
      <c r="A58" s="1" t="s">
        <v>309</v>
      </c>
      <c r="B58" s="1" t="s">
        <v>310</v>
      </c>
      <c r="C58" s="1" t="s">
        <v>311</v>
      </c>
      <c r="D58" s="311">
        <v>6054.77</v>
      </c>
      <c r="E58" s="314">
        <f>K2*D58</f>
        <v>29915.407616000004</v>
      </c>
      <c r="F58" s="313">
        <v>5</v>
      </c>
      <c r="G58" s="311">
        <f t="shared" si="1"/>
        <v>30273.850000000002</v>
      </c>
      <c r="H58" s="314">
        <f t="shared" si="2"/>
        <v>149577.03808000003</v>
      </c>
      <c r="I58" s="344" t="s">
        <v>312</v>
      </c>
      <c r="J58" s="294" t="str">
        <f>""</f>
        <v/>
      </c>
    </row>
    <row r="59" spans="1:10" x14ac:dyDescent="0.25">
      <c r="A59" s="1" t="s">
        <v>309</v>
      </c>
      <c r="B59" s="1" t="s">
        <v>313</v>
      </c>
      <c r="C59" s="1" t="s">
        <v>311</v>
      </c>
      <c r="D59" s="311">
        <v>6054.77</v>
      </c>
      <c r="E59" s="314">
        <f>K2*D59</f>
        <v>29915.407616000004</v>
      </c>
      <c r="F59" s="313">
        <v>15</v>
      </c>
      <c r="G59" s="311">
        <f t="shared" si="1"/>
        <v>90821.55</v>
      </c>
      <c r="H59" s="314">
        <f t="shared" si="2"/>
        <v>448731.11424000008</v>
      </c>
      <c r="I59" s="344" t="s">
        <v>312</v>
      </c>
      <c r="J59" s="294" t="str">
        <f>""</f>
        <v/>
      </c>
    </row>
    <row r="60" spans="1:10" x14ac:dyDescent="0.25">
      <c r="A60" s="1" t="s">
        <v>314</v>
      </c>
      <c r="B60" s="1" t="s">
        <v>315</v>
      </c>
      <c r="C60" s="1" t="s">
        <v>316</v>
      </c>
      <c r="D60" s="311">
        <v>19768</v>
      </c>
      <c r="E60" s="314">
        <f>K2*D60</f>
        <v>97669.734400000001</v>
      </c>
      <c r="F60" s="313">
        <v>8</v>
      </c>
      <c r="G60" s="311">
        <f t="shared" si="1"/>
        <v>158144</v>
      </c>
      <c r="H60" s="314">
        <f t="shared" si="2"/>
        <v>781357.87520000001</v>
      </c>
      <c r="I60" s="344" t="s">
        <v>317</v>
      </c>
      <c r="J60" s="294" t="str">
        <f>""</f>
        <v/>
      </c>
    </row>
    <row r="61" spans="1:10" x14ac:dyDescent="0.25">
      <c r="A61" s="1" t="s">
        <v>318</v>
      </c>
      <c r="B61" s="1" t="s">
        <v>319</v>
      </c>
      <c r="C61" s="1" t="s">
        <v>311</v>
      </c>
      <c r="D61" s="311">
        <v>165000</v>
      </c>
      <c r="E61" s="314">
        <f>K2*D61</f>
        <v>815232</v>
      </c>
      <c r="F61" s="313">
        <v>1</v>
      </c>
      <c r="G61" s="311">
        <f t="shared" si="1"/>
        <v>165000</v>
      </c>
      <c r="H61" s="314">
        <f t="shared" si="2"/>
        <v>815232</v>
      </c>
      <c r="I61" s="344" t="s">
        <v>320</v>
      </c>
      <c r="J61" s="294" t="str">
        <f>""</f>
        <v/>
      </c>
    </row>
    <row r="62" spans="1:10" x14ac:dyDescent="0.25">
      <c r="A62" s="318" t="s">
        <v>321</v>
      </c>
      <c r="B62" s="318" t="s">
        <v>322</v>
      </c>
      <c r="C62" s="1" t="s">
        <v>66</v>
      </c>
      <c r="D62" s="311"/>
      <c r="E62" s="314">
        <f>K2*D62</f>
        <v>0</v>
      </c>
      <c r="F62" s="313">
        <v>3</v>
      </c>
      <c r="G62" s="311">
        <f t="shared" si="1"/>
        <v>0</v>
      </c>
      <c r="H62" s="314">
        <f t="shared" si="2"/>
        <v>0</v>
      </c>
      <c r="I62" s="344"/>
      <c r="J62" s="294" t="str">
        <f>""</f>
        <v/>
      </c>
    </row>
    <row r="63" spans="1:10" x14ac:dyDescent="0.25">
      <c r="A63" s="1" t="s">
        <v>323</v>
      </c>
      <c r="B63" s="1" t="s">
        <v>324</v>
      </c>
      <c r="C63" s="1" t="s">
        <v>325</v>
      </c>
      <c r="D63" s="311">
        <v>8665</v>
      </c>
      <c r="E63" s="314">
        <f>K2*D63</f>
        <v>42812.031999999999</v>
      </c>
      <c r="F63" s="313">
        <v>3</v>
      </c>
      <c r="G63" s="311">
        <f t="shared" si="1"/>
        <v>25995</v>
      </c>
      <c r="H63" s="314">
        <f t="shared" si="2"/>
        <v>128436.09599999999</v>
      </c>
      <c r="I63" s="344" t="s">
        <v>326</v>
      </c>
      <c r="J63" s="294" t="str">
        <f>""</f>
        <v/>
      </c>
    </row>
    <row r="64" spans="1:10" x14ac:dyDescent="0.25">
      <c r="A64" s="1" t="s">
        <v>323</v>
      </c>
      <c r="B64" s="1" t="s">
        <v>327</v>
      </c>
      <c r="C64" s="1" t="s">
        <v>328</v>
      </c>
      <c r="D64" s="319">
        <v>8940.1200000000008</v>
      </c>
      <c r="E64" s="314">
        <f>K2*D64</f>
        <v>44171.34489600001</v>
      </c>
      <c r="F64" s="313">
        <v>1</v>
      </c>
      <c r="G64" s="311">
        <f t="shared" si="1"/>
        <v>8940.1200000000008</v>
      </c>
      <c r="H64" s="314">
        <f t="shared" si="2"/>
        <v>44171.34489600001</v>
      </c>
      <c r="I64" s="344" t="s">
        <v>329</v>
      </c>
      <c r="J64" s="294" t="str">
        <f>""</f>
        <v/>
      </c>
    </row>
    <row r="65" spans="1:10" x14ac:dyDescent="0.25">
      <c r="A65" s="1" t="s">
        <v>323</v>
      </c>
      <c r="B65" s="1" t="s">
        <v>330</v>
      </c>
      <c r="C65" s="1" t="s">
        <v>328</v>
      </c>
      <c r="D65" s="311">
        <v>8940.1200000000008</v>
      </c>
      <c r="E65" s="314">
        <f>K2*D65</f>
        <v>44171.34489600001</v>
      </c>
      <c r="F65" s="313">
        <v>2</v>
      </c>
      <c r="G65" s="311">
        <f t="shared" si="1"/>
        <v>17880.240000000002</v>
      </c>
      <c r="H65" s="314">
        <f t="shared" si="2"/>
        <v>88342.689792000019</v>
      </c>
      <c r="I65" s="344" t="s">
        <v>329</v>
      </c>
      <c r="J65" s="294" t="str">
        <f>""</f>
        <v/>
      </c>
    </row>
    <row r="66" spans="1:10" x14ac:dyDescent="0.25">
      <c r="A66" s="1" t="s">
        <v>323</v>
      </c>
      <c r="B66" s="1" t="s">
        <v>331</v>
      </c>
      <c r="C66" s="1" t="s">
        <v>328</v>
      </c>
      <c r="D66" s="311">
        <v>8940.1200000000008</v>
      </c>
      <c r="E66" s="314">
        <f>K2*D66</f>
        <v>44171.34489600001</v>
      </c>
      <c r="F66" s="313">
        <v>1</v>
      </c>
      <c r="G66" s="311">
        <f t="shared" si="1"/>
        <v>8940.1200000000008</v>
      </c>
      <c r="H66" s="314">
        <f t="shared" si="2"/>
        <v>44171.34489600001</v>
      </c>
      <c r="I66" s="344" t="s">
        <v>329</v>
      </c>
      <c r="J66" s="294" t="str">
        <f>""</f>
        <v/>
      </c>
    </row>
    <row r="67" spans="1:10" x14ac:dyDescent="0.25">
      <c r="A67" s="1" t="s">
        <v>323</v>
      </c>
      <c r="B67" s="1" t="s">
        <v>332</v>
      </c>
      <c r="C67" s="1" t="s">
        <v>291</v>
      </c>
      <c r="D67" s="311">
        <v>25060</v>
      </c>
      <c r="E67" s="314">
        <f>K2*D67</f>
        <v>123816.448</v>
      </c>
      <c r="F67" s="313">
        <v>8</v>
      </c>
      <c r="G67" s="311">
        <f t="shared" si="1"/>
        <v>200480</v>
      </c>
      <c r="H67" s="314">
        <f t="shared" si="2"/>
        <v>990531.58400000003</v>
      </c>
      <c r="I67" s="344" t="s">
        <v>224</v>
      </c>
      <c r="J67" s="294" t="str">
        <f>""</f>
        <v/>
      </c>
    </row>
    <row r="68" spans="1:10" x14ac:dyDescent="0.25">
      <c r="A68" s="1" t="s">
        <v>323</v>
      </c>
      <c r="B68" s="1" t="s">
        <v>333</v>
      </c>
      <c r="C68" s="1" t="s">
        <v>291</v>
      </c>
      <c r="D68" s="311">
        <v>25750</v>
      </c>
      <c r="E68" s="314">
        <f>K2*D68</f>
        <v>127225.60000000001</v>
      </c>
      <c r="F68" s="346">
        <v>5</v>
      </c>
      <c r="G68" s="311">
        <f t="shared" si="1"/>
        <v>128750</v>
      </c>
      <c r="H68" s="314">
        <f t="shared" si="2"/>
        <v>636128</v>
      </c>
      <c r="I68" s="344" t="s">
        <v>224</v>
      </c>
      <c r="J68" s="294" t="str">
        <f>""</f>
        <v/>
      </c>
    </row>
    <row r="69" spans="1:10" x14ac:dyDescent="0.25">
      <c r="A69" s="1" t="s">
        <v>323</v>
      </c>
      <c r="B69" s="1" t="s">
        <v>334</v>
      </c>
      <c r="C69" s="1" t="s">
        <v>291</v>
      </c>
      <c r="D69" s="311">
        <v>25935</v>
      </c>
      <c r="E69" s="314">
        <f>K2*D69</f>
        <v>128139.648</v>
      </c>
      <c r="F69" s="346">
        <v>1</v>
      </c>
      <c r="G69" s="311">
        <f t="shared" ref="G69:G136" si="3">D69*F69</f>
        <v>25935</v>
      </c>
      <c r="H69" s="314">
        <f t="shared" ref="H69:H100" si="4">F69*E69</f>
        <v>128139.648</v>
      </c>
      <c r="I69" s="344" t="s">
        <v>224</v>
      </c>
      <c r="J69" s="294" t="str">
        <f>""</f>
        <v/>
      </c>
    </row>
    <row r="70" spans="1:10" x14ac:dyDescent="0.25">
      <c r="A70" s="1" t="s">
        <v>323</v>
      </c>
      <c r="B70" s="1" t="s">
        <v>335</v>
      </c>
      <c r="C70" s="1" t="s">
        <v>291</v>
      </c>
      <c r="D70" s="311">
        <v>21800</v>
      </c>
      <c r="E70" s="314">
        <f>K2*D70</f>
        <v>107709.44</v>
      </c>
      <c r="F70" s="346">
        <v>1</v>
      </c>
      <c r="G70" s="311">
        <f t="shared" si="3"/>
        <v>21800</v>
      </c>
      <c r="H70" s="314">
        <f t="shared" si="4"/>
        <v>107709.44</v>
      </c>
      <c r="I70" s="344" t="s">
        <v>224</v>
      </c>
      <c r="J70" s="294" t="str">
        <f>""</f>
        <v/>
      </c>
    </row>
    <row r="71" spans="1:10" x14ac:dyDescent="0.25">
      <c r="A71" s="1" t="s">
        <v>323</v>
      </c>
      <c r="B71" s="1" t="s">
        <v>336</v>
      </c>
      <c r="C71" s="1" t="s">
        <v>291</v>
      </c>
      <c r="D71" s="311">
        <v>10305</v>
      </c>
      <c r="E71" s="314">
        <f>K2*D71</f>
        <v>50914.944000000003</v>
      </c>
      <c r="F71" s="395">
        <v>64</v>
      </c>
      <c r="G71" s="311">
        <f t="shared" si="3"/>
        <v>659520</v>
      </c>
      <c r="H71" s="314">
        <f t="shared" si="4"/>
        <v>3258556.4160000002</v>
      </c>
      <c r="I71" s="344" t="s">
        <v>224</v>
      </c>
      <c r="J71" s="294" t="str">
        <f>""</f>
        <v/>
      </c>
    </row>
    <row r="72" spans="1:10" x14ac:dyDescent="0.25">
      <c r="A72" s="1" t="s">
        <v>323</v>
      </c>
      <c r="B72" s="1" t="s">
        <v>337</v>
      </c>
      <c r="C72" s="1" t="s">
        <v>291</v>
      </c>
      <c r="D72" s="311">
        <v>59280</v>
      </c>
      <c r="E72" s="314">
        <f>K2*D72</f>
        <v>292890.62400000001</v>
      </c>
      <c r="F72" s="346">
        <v>2</v>
      </c>
      <c r="G72" s="311">
        <f t="shared" si="3"/>
        <v>118560</v>
      </c>
      <c r="H72" s="314">
        <f t="shared" si="4"/>
        <v>585781.24800000002</v>
      </c>
      <c r="I72" s="344" t="s">
        <v>224</v>
      </c>
      <c r="J72" s="294" t="str">
        <f>""</f>
        <v/>
      </c>
    </row>
    <row r="73" spans="1:10" x14ac:dyDescent="0.25">
      <c r="A73" s="1" t="s">
        <v>323</v>
      </c>
      <c r="B73" s="1" t="s">
        <v>338</v>
      </c>
      <c r="C73" s="1" t="s">
        <v>339</v>
      </c>
      <c r="D73" s="311">
        <v>21661</v>
      </c>
      <c r="E73" s="314">
        <f>K2*D73</f>
        <v>107022.6688</v>
      </c>
      <c r="F73" s="313">
        <v>1</v>
      </c>
      <c r="G73" s="311">
        <f t="shared" si="3"/>
        <v>21661</v>
      </c>
      <c r="H73" s="314">
        <f t="shared" si="4"/>
        <v>107022.6688</v>
      </c>
      <c r="I73" s="344" t="s">
        <v>340</v>
      </c>
      <c r="J73" s="294" t="str">
        <f>""</f>
        <v/>
      </c>
    </row>
    <row r="74" spans="1:10" x14ac:dyDescent="0.25">
      <c r="A74" s="1" t="s">
        <v>341</v>
      </c>
      <c r="B74" s="1" t="s">
        <v>342</v>
      </c>
      <c r="C74" s="1" t="s">
        <v>343</v>
      </c>
      <c r="D74" s="315">
        <v>100.34</v>
      </c>
      <c r="E74" s="314">
        <f>K2*D74</f>
        <v>495.75987200000003</v>
      </c>
      <c r="F74" s="313">
        <v>9</v>
      </c>
      <c r="G74" s="311">
        <f t="shared" si="3"/>
        <v>903.06000000000006</v>
      </c>
      <c r="H74" s="314">
        <f t="shared" si="4"/>
        <v>4461.8388480000003</v>
      </c>
      <c r="I74" s="345" t="s">
        <v>344</v>
      </c>
      <c r="J74" s="294" t="str">
        <f>""</f>
        <v/>
      </c>
    </row>
    <row r="75" spans="1:10" x14ac:dyDescent="0.25">
      <c r="A75" s="318" t="s">
        <v>345</v>
      </c>
      <c r="B75" s="318" t="s">
        <v>346</v>
      </c>
      <c r="C75" s="1" t="s">
        <v>347</v>
      </c>
      <c r="D75" s="311"/>
      <c r="E75" s="314">
        <f>K2*D75</f>
        <v>0</v>
      </c>
      <c r="F75" s="313">
        <v>3</v>
      </c>
      <c r="G75" s="311">
        <f t="shared" si="3"/>
        <v>0</v>
      </c>
      <c r="H75" s="314">
        <f t="shared" si="4"/>
        <v>0</v>
      </c>
      <c r="I75" s="344"/>
      <c r="J75" s="294" t="str">
        <f>""</f>
        <v/>
      </c>
    </row>
    <row r="76" spans="1:10" x14ac:dyDescent="0.25">
      <c r="A76" s="1" t="s">
        <v>348</v>
      </c>
      <c r="B76" s="1" t="s">
        <v>349</v>
      </c>
      <c r="C76" s="1" t="s">
        <v>350</v>
      </c>
      <c r="D76" s="311">
        <v>25554.66</v>
      </c>
      <c r="E76" s="314">
        <f>K2*D76</f>
        <v>126260.46412800001</v>
      </c>
      <c r="F76" s="313">
        <v>3</v>
      </c>
      <c r="G76" s="311">
        <f t="shared" si="3"/>
        <v>76663.98</v>
      </c>
      <c r="H76" s="314">
        <f t="shared" si="4"/>
        <v>378781.39238400001</v>
      </c>
      <c r="I76" s="344" t="s">
        <v>351</v>
      </c>
      <c r="J76" s="294" t="str">
        <f>""</f>
        <v/>
      </c>
    </row>
    <row r="77" spans="1:10" x14ac:dyDescent="0.25">
      <c r="A77" s="1" t="s">
        <v>352</v>
      </c>
      <c r="B77" s="1" t="s">
        <v>353</v>
      </c>
      <c r="C77" s="1" t="s">
        <v>354</v>
      </c>
      <c r="D77" s="311">
        <v>1672.43</v>
      </c>
      <c r="E77" s="314">
        <f>K2*D77</f>
        <v>8263.1421440000013</v>
      </c>
      <c r="F77" s="313">
        <v>1</v>
      </c>
      <c r="G77" s="311">
        <f t="shared" si="3"/>
        <v>1672.43</v>
      </c>
      <c r="H77" s="314">
        <f t="shared" si="4"/>
        <v>8263.1421440000013</v>
      </c>
      <c r="I77" s="344" t="s">
        <v>355</v>
      </c>
      <c r="J77" s="294" t="str">
        <f>""</f>
        <v/>
      </c>
    </row>
    <row r="78" spans="1:10" x14ac:dyDescent="0.25">
      <c r="A78" s="1" t="s">
        <v>356</v>
      </c>
      <c r="B78" s="1" t="s">
        <v>357</v>
      </c>
      <c r="C78" s="1" t="s">
        <v>358</v>
      </c>
      <c r="D78" s="311">
        <v>60800</v>
      </c>
      <c r="E78" s="314">
        <f>K2*D78</f>
        <v>300400.64000000001</v>
      </c>
      <c r="F78" s="313">
        <v>3</v>
      </c>
      <c r="G78" s="311">
        <f t="shared" si="3"/>
        <v>182400</v>
      </c>
      <c r="H78" s="314">
        <f t="shared" si="4"/>
        <v>901201.92000000004</v>
      </c>
      <c r="I78" s="344" t="s">
        <v>359</v>
      </c>
      <c r="J78" s="294" t="str">
        <f>""</f>
        <v/>
      </c>
    </row>
    <row r="79" spans="1:10" x14ac:dyDescent="0.25">
      <c r="A79" s="1" t="s">
        <v>360</v>
      </c>
      <c r="B79" s="1" t="s">
        <v>361</v>
      </c>
      <c r="C79" s="1" t="s">
        <v>192</v>
      </c>
      <c r="D79" s="311">
        <v>8450</v>
      </c>
      <c r="E79" s="314">
        <f>K2*D79</f>
        <v>41749.760000000002</v>
      </c>
      <c r="F79" s="313">
        <v>1</v>
      </c>
      <c r="G79" s="311">
        <f t="shared" si="3"/>
        <v>8450</v>
      </c>
      <c r="H79" s="314">
        <f t="shared" si="4"/>
        <v>41749.760000000002</v>
      </c>
      <c r="I79" s="344" t="s">
        <v>362</v>
      </c>
      <c r="J79" s="294" t="str">
        <f>""</f>
        <v/>
      </c>
    </row>
    <row r="80" spans="1:10" x14ac:dyDescent="0.25">
      <c r="A80" s="1" t="s">
        <v>360</v>
      </c>
      <c r="B80" s="1" t="s">
        <v>363</v>
      </c>
      <c r="C80" s="1" t="s">
        <v>192</v>
      </c>
      <c r="D80" s="311">
        <v>8450</v>
      </c>
      <c r="E80" s="314">
        <f>K2*D80</f>
        <v>41749.760000000002</v>
      </c>
      <c r="F80" s="313">
        <v>3</v>
      </c>
      <c r="G80" s="311">
        <f t="shared" si="3"/>
        <v>25350</v>
      </c>
      <c r="H80" s="314">
        <f t="shared" si="4"/>
        <v>125249.28</v>
      </c>
      <c r="I80" s="344" t="s">
        <v>364</v>
      </c>
      <c r="J80" s="294" t="str">
        <f>""</f>
        <v/>
      </c>
    </row>
    <row r="81" spans="1:10" x14ac:dyDescent="0.25">
      <c r="A81" s="1" t="s">
        <v>365</v>
      </c>
      <c r="B81" s="1" t="s">
        <v>366</v>
      </c>
      <c r="C81" s="1" t="s">
        <v>367</v>
      </c>
      <c r="D81" s="315">
        <v>284.08999999999997</v>
      </c>
      <c r="E81" s="314">
        <f>K2*D81</f>
        <v>1403.6318719999999</v>
      </c>
      <c r="F81" s="313">
        <v>2</v>
      </c>
      <c r="G81" s="311">
        <f t="shared" si="3"/>
        <v>568.17999999999995</v>
      </c>
      <c r="H81" s="314">
        <f t="shared" si="4"/>
        <v>2807.2637439999999</v>
      </c>
      <c r="I81" s="344" t="s">
        <v>297</v>
      </c>
      <c r="J81" s="294" t="str">
        <f>""</f>
        <v/>
      </c>
    </row>
    <row r="82" spans="1:10" x14ac:dyDescent="0.25">
      <c r="A82" s="1" t="s">
        <v>365</v>
      </c>
      <c r="B82" s="1" t="s">
        <v>368</v>
      </c>
      <c r="C82" s="1" t="s">
        <v>367</v>
      </c>
      <c r="D82" s="315">
        <v>222.99</v>
      </c>
      <c r="E82" s="314">
        <f>K2*D82</f>
        <v>1101.748992</v>
      </c>
      <c r="F82" s="313">
        <v>1</v>
      </c>
      <c r="G82" s="311">
        <f t="shared" si="3"/>
        <v>222.99</v>
      </c>
      <c r="H82" s="314">
        <f t="shared" si="4"/>
        <v>1101.748992</v>
      </c>
      <c r="I82" s="344" t="s">
        <v>297</v>
      </c>
      <c r="J82" s="294" t="str">
        <f>""</f>
        <v/>
      </c>
    </row>
    <row r="83" spans="1:10" x14ac:dyDescent="0.25">
      <c r="A83" s="1" t="s">
        <v>369</v>
      </c>
      <c r="B83" s="1" t="s">
        <v>370</v>
      </c>
      <c r="C83" s="1" t="s">
        <v>367</v>
      </c>
      <c r="D83" s="315">
        <v>259.33</v>
      </c>
      <c r="E83" s="314">
        <f>K2*D83</f>
        <v>1281.2976639999999</v>
      </c>
      <c r="F83" s="313">
        <v>2</v>
      </c>
      <c r="G83" s="311">
        <f t="shared" si="3"/>
        <v>518.66</v>
      </c>
      <c r="H83" s="314">
        <f t="shared" si="4"/>
        <v>2562.5953279999999</v>
      </c>
      <c r="I83" s="344" t="s">
        <v>297</v>
      </c>
      <c r="J83" s="294" t="str">
        <f>""</f>
        <v/>
      </c>
    </row>
    <row r="84" spans="1:10" x14ac:dyDescent="0.25">
      <c r="A84" s="1" t="s">
        <v>371</v>
      </c>
      <c r="B84" s="1" t="s">
        <v>372</v>
      </c>
      <c r="C84" s="1" t="s">
        <v>367</v>
      </c>
      <c r="D84" s="315">
        <v>121.41</v>
      </c>
      <c r="E84" s="314">
        <f>K2*D84</f>
        <v>599.862528</v>
      </c>
      <c r="F84" s="313">
        <v>3</v>
      </c>
      <c r="G84" s="311">
        <f t="shared" si="3"/>
        <v>364.23</v>
      </c>
      <c r="H84" s="314">
        <f t="shared" si="4"/>
        <v>1799.5875839999999</v>
      </c>
      <c r="I84" s="344" t="s">
        <v>297</v>
      </c>
      <c r="J84" s="294" t="str">
        <f>""</f>
        <v/>
      </c>
    </row>
    <row r="85" spans="1:10" x14ac:dyDescent="0.25">
      <c r="A85" s="1" t="s">
        <v>373</v>
      </c>
      <c r="B85" s="1" t="s">
        <v>374</v>
      </c>
      <c r="C85" s="1" t="s">
        <v>375</v>
      </c>
      <c r="D85" s="311">
        <v>8022.94</v>
      </c>
      <c r="E85" s="314">
        <f>K2*D85</f>
        <v>39639.741952000004</v>
      </c>
      <c r="F85" s="346">
        <v>1</v>
      </c>
      <c r="G85" s="311">
        <f t="shared" si="3"/>
        <v>8022.94</v>
      </c>
      <c r="H85" s="314">
        <f t="shared" si="4"/>
        <v>39639.741952000004</v>
      </c>
      <c r="I85" s="344" t="s">
        <v>227</v>
      </c>
      <c r="J85" s="294" t="str">
        <f>""</f>
        <v/>
      </c>
    </row>
    <row r="86" spans="1:10" x14ac:dyDescent="0.25">
      <c r="A86" s="1" t="s">
        <v>373</v>
      </c>
      <c r="B86" s="1" t="s">
        <v>376</v>
      </c>
      <c r="C86" s="1" t="s">
        <v>375</v>
      </c>
      <c r="D86" s="311">
        <v>8022.94</v>
      </c>
      <c r="E86" s="314">
        <f>K2*D86</f>
        <v>39639.741952000004</v>
      </c>
      <c r="F86" s="346">
        <v>1</v>
      </c>
      <c r="G86" s="311">
        <f t="shared" si="3"/>
        <v>8022.94</v>
      </c>
      <c r="H86" s="314">
        <f t="shared" si="4"/>
        <v>39639.741952000004</v>
      </c>
      <c r="I86" s="344" t="s">
        <v>227</v>
      </c>
      <c r="J86" s="294" t="str">
        <f>""</f>
        <v/>
      </c>
    </row>
    <row r="87" spans="1:10" x14ac:dyDescent="0.25">
      <c r="A87" s="1" t="s">
        <v>373</v>
      </c>
      <c r="B87" s="1" t="s">
        <v>377</v>
      </c>
      <c r="C87" s="1" t="s">
        <v>375</v>
      </c>
      <c r="D87" s="311">
        <v>8022.94</v>
      </c>
      <c r="E87" s="314">
        <f>K2*D87</f>
        <v>39639.741952000004</v>
      </c>
      <c r="F87" s="395">
        <v>3</v>
      </c>
      <c r="G87" s="311">
        <f t="shared" si="3"/>
        <v>24068.82</v>
      </c>
      <c r="H87" s="314">
        <f t="shared" si="4"/>
        <v>118919.225856</v>
      </c>
      <c r="I87" s="344" t="s">
        <v>378</v>
      </c>
      <c r="J87" s="294" t="str">
        <f>""</f>
        <v/>
      </c>
    </row>
    <row r="88" spans="1:10" x14ac:dyDescent="0.25">
      <c r="A88" s="1" t="s">
        <v>373</v>
      </c>
      <c r="B88" s="1" t="s">
        <v>379</v>
      </c>
      <c r="C88" s="1" t="s">
        <v>380</v>
      </c>
      <c r="D88" s="311">
        <v>3245</v>
      </c>
      <c r="E88" s="314">
        <f>K2*D88</f>
        <v>16032.896000000001</v>
      </c>
      <c r="F88" s="395">
        <v>3</v>
      </c>
      <c r="G88" s="311">
        <f t="shared" si="3"/>
        <v>9735</v>
      </c>
      <c r="H88" s="314">
        <f t="shared" si="4"/>
        <v>48098.688000000002</v>
      </c>
      <c r="I88" s="344" t="s">
        <v>381</v>
      </c>
      <c r="J88" s="294" t="str">
        <f>""</f>
        <v/>
      </c>
    </row>
    <row r="89" spans="1:10" x14ac:dyDescent="0.25">
      <c r="A89" s="1" t="s">
        <v>373</v>
      </c>
      <c r="B89" s="1" t="s">
        <v>382</v>
      </c>
      <c r="C89" s="1" t="s">
        <v>380</v>
      </c>
      <c r="D89" s="311">
        <v>3245</v>
      </c>
      <c r="E89" s="314">
        <f>K2*D89</f>
        <v>16032.896000000001</v>
      </c>
      <c r="F89" s="313">
        <v>1</v>
      </c>
      <c r="G89" s="311">
        <f t="shared" si="3"/>
        <v>3245</v>
      </c>
      <c r="H89" s="314">
        <f t="shared" si="4"/>
        <v>16032.896000000001</v>
      </c>
      <c r="I89" s="344" t="s">
        <v>381</v>
      </c>
      <c r="J89" s="294" t="str">
        <f>""</f>
        <v/>
      </c>
    </row>
    <row r="90" spans="1:10" x14ac:dyDescent="0.25">
      <c r="A90" s="1" t="s">
        <v>383</v>
      </c>
      <c r="B90" s="1" t="s">
        <v>384</v>
      </c>
      <c r="C90" s="1" t="s">
        <v>385</v>
      </c>
      <c r="D90" s="311">
        <v>14000</v>
      </c>
      <c r="E90" s="314">
        <f>K2*D90</f>
        <v>69171.199999999997</v>
      </c>
      <c r="F90" s="313">
        <v>1</v>
      </c>
      <c r="G90" s="311">
        <f t="shared" si="3"/>
        <v>14000</v>
      </c>
      <c r="H90" s="314">
        <f t="shared" si="4"/>
        <v>69171.199999999997</v>
      </c>
      <c r="I90" s="344" t="s">
        <v>386</v>
      </c>
      <c r="J90" s="294" t="str">
        <f>""</f>
        <v/>
      </c>
    </row>
    <row r="91" spans="1:10" x14ac:dyDescent="0.25">
      <c r="A91" s="1" t="s">
        <v>387</v>
      </c>
      <c r="B91" s="1" t="s">
        <v>388</v>
      </c>
      <c r="C91" s="1" t="s">
        <v>389</v>
      </c>
      <c r="D91" s="311">
        <v>1750</v>
      </c>
      <c r="E91" s="314">
        <f>K2*D91</f>
        <v>8646.4</v>
      </c>
      <c r="F91" s="313">
        <v>28</v>
      </c>
      <c r="G91" s="311">
        <f t="shared" si="3"/>
        <v>49000</v>
      </c>
      <c r="H91" s="314">
        <f t="shared" si="4"/>
        <v>242099.19999999998</v>
      </c>
      <c r="I91" s="344" t="s">
        <v>390</v>
      </c>
      <c r="J91" s="294" t="str">
        <f>""</f>
        <v/>
      </c>
    </row>
    <row r="92" spans="1:10" x14ac:dyDescent="0.25">
      <c r="A92" s="1" t="s">
        <v>391</v>
      </c>
      <c r="B92" s="1" t="s">
        <v>392</v>
      </c>
      <c r="C92" s="1" t="s">
        <v>192</v>
      </c>
      <c r="D92" s="311">
        <v>262419.53000000003</v>
      </c>
      <c r="E92" s="314">
        <f>K2*D92</f>
        <v>1296562.4138240002</v>
      </c>
      <c r="F92" s="313">
        <v>3</v>
      </c>
      <c r="G92" s="311">
        <f t="shared" si="3"/>
        <v>787258.59000000008</v>
      </c>
      <c r="H92" s="314">
        <f t="shared" si="4"/>
        <v>3889687.2414720003</v>
      </c>
      <c r="I92" s="344" t="s">
        <v>393</v>
      </c>
      <c r="J92" s="294" t="str">
        <f>""</f>
        <v/>
      </c>
    </row>
    <row r="93" spans="1:10" x14ac:dyDescent="0.25">
      <c r="A93" s="1" t="s">
        <v>394</v>
      </c>
      <c r="B93" s="1" t="s">
        <v>395</v>
      </c>
      <c r="C93" s="1" t="s">
        <v>236</v>
      </c>
      <c r="D93" s="311">
        <v>4940</v>
      </c>
      <c r="E93" s="314">
        <f>K2*D93</f>
        <v>24407.552</v>
      </c>
      <c r="F93" s="313">
        <v>1</v>
      </c>
      <c r="G93" s="311">
        <f t="shared" si="3"/>
        <v>4940</v>
      </c>
      <c r="H93" s="314">
        <f t="shared" si="4"/>
        <v>24407.552</v>
      </c>
      <c r="I93" s="344" t="s">
        <v>396</v>
      </c>
      <c r="J93" s="294" t="str">
        <f>""</f>
        <v/>
      </c>
    </row>
    <row r="94" spans="1:10" x14ac:dyDescent="0.25">
      <c r="A94" s="1" t="s">
        <v>394</v>
      </c>
      <c r="B94" s="1" t="s">
        <v>397</v>
      </c>
      <c r="C94" s="1" t="s">
        <v>233</v>
      </c>
      <c r="D94" s="311">
        <v>13000</v>
      </c>
      <c r="E94" s="314">
        <f>K2*D94</f>
        <v>64230.400000000001</v>
      </c>
      <c r="F94" s="313">
        <v>1</v>
      </c>
      <c r="G94" s="311">
        <f t="shared" si="3"/>
        <v>13000</v>
      </c>
      <c r="H94" s="314">
        <f t="shared" si="4"/>
        <v>64230.400000000001</v>
      </c>
      <c r="I94" s="344" t="s">
        <v>398</v>
      </c>
      <c r="J94" s="294" t="str">
        <f>""</f>
        <v/>
      </c>
    </row>
    <row r="95" spans="1:10" x14ac:dyDescent="0.25">
      <c r="A95" s="1" t="s">
        <v>394</v>
      </c>
      <c r="B95" s="1" t="s">
        <v>399</v>
      </c>
      <c r="C95" s="1" t="s">
        <v>233</v>
      </c>
      <c r="D95" s="311">
        <v>13000</v>
      </c>
      <c r="E95" s="314">
        <f>K2*D95</f>
        <v>64230.400000000001</v>
      </c>
      <c r="F95" s="313">
        <v>6</v>
      </c>
      <c r="G95" s="311">
        <f t="shared" si="3"/>
        <v>78000</v>
      </c>
      <c r="H95" s="314">
        <f t="shared" si="4"/>
        <v>385382.40000000002</v>
      </c>
      <c r="I95" s="344" t="s">
        <v>227</v>
      </c>
      <c r="J95" s="294" t="str">
        <f>""</f>
        <v/>
      </c>
    </row>
    <row r="96" spans="1:10" x14ac:dyDescent="0.25">
      <c r="A96" s="1" t="s">
        <v>394</v>
      </c>
      <c r="B96" s="1" t="s">
        <v>400</v>
      </c>
      <c r="C96" s="1" t="s">
        <v>236</v>
      </c>
      <c r="D96" s="311">
        <v>4940</v>
      </c>
      <c r="E96" s="314">
        <f>K2*D96</f>
        <v>24407.552</v>
      </c>
      <c r="F96" s="313">
        <v>2</v>
      </c>
      <c r="G96" s="311">
        <f t="shared" si="3"/>
        <v>9880</v>
      </c>
      <c r="H96" s="314">
        <f t="shared" si="4"/>
        <v>48815.103999999999</v>
      </c>
      <c r="I96" s="344" t="s">
        <v>401</v>
      </c>
      <c r="J96" s="294" t="str">
        <f>""</f>
        <v/>
      </c>
    </row>
    <row r="97" spans="1:10" x14ac:dyDescent="0.25">
      <c r="A97" s="1" t="s">
        <v>402</v>
      </c>
      <c r="B97" s="1" t="s">
        <v>403</v>
      </c>
      <c r="C97" s="1" t="s">
        <v>404</v>
      </c>
      <c r="D97" s="311">
        <v>37050</v>
      </c>
      <c r="E97" s="314">
        <f>K2*D97</f>
        <v>183056.64000000001</v>
      </c>
      <c r="F97" s="347">
        <v>13</v>
      </c>
      <c r="G97" s="311">
        <f t="shared" si="3"/>
        <v>481650</v>
      </c>
      <c r="H97" s="314">
        <f t="shared" si="4"/>
        <v>2379736.3200000003</v>
      </c>
      <c r="I97" s="344" t="s">
        <v>405</v>
      </c>
      <c r="J97" s="294" t="str">
        <f>""</f>
        <v/>
      </c>
    </row>
    <row r="98" spans="1:10" x14ac:dyDescent="0.25">
      <c r="A98" s="1" t="s">
        <v>402</v>
      </c>
      <c r="B98" s="1" t="s">
        <v>406</v>
      </c>
      <c r="C98" s="1" t="s">
        <v>404</v>
      </c>
      <c r="D98" s="311">
        <v>33130</v>
      </c>
      <c r="E98" s="314">
        <f>K2*D98</f>
        <v>163688.704</v>
      </c>
      <c r="F98" s="347">
        <v>9</v>
      </c>
      <c r="G98" s="311">
        <f t="shared" si="3"/>
        <v>298170</v>
      </c>
      <c r="H98" s="314">
        <f t="shared" si="4"/>
        <v>1473198.3359999999</v>
      </c>
      <c r="I98" s="344" t="s">
        <v>407</v>
      </c>
      <c r="J98" s="294" t="str">
        <f>""</f>
        <v/>
      </c>
    </row>
    <row r="99" spans="1:10" x14ac:dyDescent="0.25">
      <c r="A99" s="1" t="s">
        <v>408</v>
      </c>
      <c r="B99" s="1" t="s">
        <v>409</v>
      </c>
      <c r="C99" s="1" t="s">
        <v>410</v>
      </c>
      <c r="D99" s="311">
        <v>8000</v>
      </c>
      <c r="E99" s="314">
        <f>K2*D99</f>
        <v>39526.400000000001</v>
      </c>
      <c r="F99" s="313">
        <v>1</v>
      </c>
      <c r="G99" s="311">
        <f t="shared" si="3"/>
        <v>8000</v>
      </c>
      <c r="H99" s="314">
        <f t="shared" si="4"/>
        <v>39526.400000000001</v>
      </c>
      <c r="I99" s="344" t="s">
        <v>411</v>
      </c>
      <c r="J99" s="294" t="str">
        <f>""</f>
        <v/>
      </c>
    </row>
    <row r="100" spans="1:10" x14ac:dyDescent="0.25">
      <c r="A100" s="1" t="s">
        <v>412</v>
      </c>
      <c r="B100" s="1" t="s">
        <v>413</v>
      </c>
      <c r="C100" s="1" t="s">
        <v>192</v>
      </c>
      <c r="D100" s="311">
        <v>17850</v>
      </c>
      <c r="E100" s="314">
        <f>K2*D100</f>
        <v>88193.279999999999</v>
      </c>
      <c r="F100" s="313">
        <v>1</v>
      </c>
      <c r="G100" s="311">
        <f t="shared" si="3"/>
        <v>17850</v>
      </c>
      <c r="H100" s="314">
        <f t="shared" si="4"/>
        <v>88193.279999999999</v>
      </c>
      <c r="I100" s="344" t="s">
        <v>414</v>
      </c>
      <c r="J100" s="294" t="str">
        <f>""</f>
        <v/>
      </c>
    </row>
    <row r="101" spans="1:10" x14ac:dyDescent="0.25">
      <c r="A101" s="1" t="s">
        <v>34</v>
      </c>
      <c r="B101" s="1" t="s">
        <v>138</v>
      </c>
      <c r="C101" s="1" t="s">
        <v>410</v>
      </c>
      <c r="D101" s="311"/>
      <c r="E101" s="314"/>
      <c r="F101" s="347">
        <v>11</v>
      </c>
      <c r="G101" s="311"/>
      <c r="H101" s="314"/>
      <c r="I101" s="344"/>
      <c r="J101" s="294" t="str">
        <f>""</f>
        <v/>
      </c>
    </row>
    <row r="102" spans="1:10" x14ac:dyDescent="0.25">
      <c r="A102" s="1" t="s">
        <v>34</v>
      </c>
      <c r="B102" s="1" t="s">
        <v>139</v>
      </c>
      <c r="C102" s="1" t="s">
        <v>410</v>
      </c>
      <c r="D102" s="311"/>
      <c r="E102" s="314"/>
      <c r="F102" s="346">
        <v>3</v>
      </c>
      <c r="G102" s="311"/>
      <c r="H102" s="314"/>
      <c r="I102" s="344"/>
      <c r="J102" s="294" t="str">
        <f>""</f>
        <v/>
      </c>
    </row>
    <row r="103" spans="1:10" x14ac:dyDescent="0.25">
      <c r="A103" s="1" t="s">
        <v>34</v>
      </c>
      <c r="B103" s="1" t="s">
        <v>140</v>
      </c>
      <c r="C103" s="1" t="s">
        <v>410</v>
      </c>
      <c r="D103" s="311"/>
      <c r="E103" s="314"/>
      <c r="F103" s="346">
        <v>1</v>
      </c>
      <c r="G103" s="311"/>
      <c r="H103" s="314"/>
      <c r="I103" s="344"/>
      <c r="J103" s="294" t="str">
        <f>""</f>
        <v/>
      </c>
    </row>
    <row r="104" spans="1:10" x14ac:dyDescent="0.25">
      <c r="A104" s="1" t="s">
        <v>34</v>
      </c>
      <c r="B104" s="1" t="s">
        <v>141</v>
      </c>
      <c r="C104" s="1" t="s">
        <v>410</v>
      </c>
      <c r="D104" s="311"/>
      <c r="E104" s="314"/>
      <c r="F104" s="346">
        <v>6</v>
      </c>
      <c r="G104" s="311"/>
      <c r="H104" s="314"/>
      <c r="I104" s="344"/>
      <c r="J104" s="294" t="str">
        <f>""</f>
        <v/>
      </c>
    </row>
    <row r="105" spans="1:10" x14ac:dyDescent="0.25">
      <c r="A105" s="1" t="s">
        <v>415</v>
      </c>
      <c r="B105" s="1" t="s">
        <v>416</v>
      </c>
      <c r="C105" s="1" t="s">
        <v>255</v>
      </c>
      <c r="D105" s="311">
        <v>144173</v>
      </c>
      <c r="E105" s="314">
        <f>K2*D105</f>
        <v>712329.9584</v>
      </c>
      <c r="F105" s="313">
        <v>1</v>
      </c>
      <c r="G105" s="311">
        <f t="shared" si="3"/>
        <v>144173</v>
      </c>
      <c r="H105" s="314">
        <f t="shared" ref="H105:H168" si="5">F105*E105</f>
        <v>712329.9584</v>
      </c>
      <c r="I105" s="344" t="s">
        <v>227</v>
      </c>
      <c r="J105" s="294" t="str">
        <f>""</f>
        <v/>
      </c>
    </row>
    <row r="106" spans="1:10" x14ac:dyDescent="0.25">
      <c r="A106" s="318" t="s">
        <v>417</v>
      </c>
      <c r="B106" s="318" t="s">
        <v>29</v>
      </c>
      <c r="C106" s="1" t="s">
        <v>418</v>
      </c>
      <c r="D106" s="311"/>
      <c r="E106" s="314">
        <f>K2*D106</f>
        <v>0</v>
      </c>
      <c r="F106" s="313">
        <v>1</v>
      </c>
      <c r="G106" s="311">
        <f t="shared" si="3"/>
        <v>0</v>
      </c>
      <c r="H106" s="314">
        <f t="shared" si="5"/>
        <v>0</v>
      </c>
      <c r="I106" s="344"/>
      <c r="J106" s="294" t="str">
        <f>""</f>
        <v/>
      </c>
    </row>
    <row r="107" spans="1:10" x14ac:dyDescent="0.25">
      <c r="A107" s="1" t="s">
        <v>419</v>
      </c>
      <c r="B107" s="1" t="s">
        <v>420</v>
      </c>
      <c r="C107" s="3" t="s">
        <v>221</v>
      </c>
      <c r="D107" s="320">
        <v>11100</v>
      </c>
      <c r="E107" s="314">
        <f>K2*D107</f>
        <v>54842.880000000005</v>
      </c>
      <c r="F107" s="395">
        <v>3</v>
      </c>
      <c r="G107" s="311">
        <f t="shared" si="3"/>
        <v>33300</v>
      </c>
      <c r="H107" s="314">
        <f t="shared" si="5"/>
        <v>164528.64000000001</v>
      </c>
      <c r="I107" s="344" t="s">
        <v>329</v>
      </c>
      <c r="J107" s="294" t="str">
        <f>""</f>
        <v/>
      </c>
    </row>
    <row r="108" spans="1:10" x14ac:dyDescent="0.25">
      <c r="A108" s="1" t="s">
        <v>419</v>
      </c>
      <c r="B108" s="1" t="s">
        <v>421</v>
      </c>
      <c r="C108" s="1" t="s">
        <v>422</v>
      </c>
      <c r="D108" s="311">
        <v>14175</v>
      </c>
      <c r="E108" s="314">
        <f>K2*D108</f>
        <v>70035.840000000011</v>
      </c>
      <c r="F108" s="395">
        <v>23</v>
      </c>
      <c r="G108" s="311">
        <f t="shared" si="3"/>
        <v>326025</v>
      </c>
      <c r="H108" s="314">
        <f t="shared" si="5"/>
        <v>1610824.3200000003</v>
      </c>
      <c r="I108" s="344" t="s">
        <v>423</v>
      </c>
      <c r="J108" s="294" t="str">
        <f>""</f>
        <v/>
      </c>
    </row>
    <row r="109" spans="1:10" x14ac:dyDescent="0.25">
      <c r="A109" s="1" t="s">
        <v>419</v>
      </c>
      <c r="B109" s="1" t="s">
        <v>424</v>
      </c>
      <c r="C109" s="1" t="s">
        <v>425</v>
      </c>
      <c r="D109" s="311">
        <v>3500</v>
      </c>
      <c r="E109" s="314">
        <f>K2*D109</f>
        <v>17292.8</v>
      </c>
      <c r="F109" s="346">
        <v>4</v>
      </c>
      <c r="G109" s="311">
        <f t="shared" si="3"/>
        <v>14000</v>
      </c>
      <c r="H109" s="314">
        <f t="shared" si="5"/>
        <v>69171.199999999997</v>
      </c>
      <c r="I109" s="344" t="s">
        <v>426</v>
      </c>
      <c r="J109" s="294" t="str">
        <f>""</f>
        <v/>
      </c>
    </row>
    <row r="110" spans="1:10" x14ac:dyDescent="0.25">
      <c r="A110" s="1" t="s">
        <v>419</v>
      </c>
      <c r="B110" s="1" t="s">
        <v>427</v>
      </c>
      <c r="C110" s="1" t="s">
        <v>428</v>
      </c>
      <c r="D110" s="311">
        <v>3500</v>
      </c>
      <c r="E110" s="314">
        <f>K2*D110</f>
        <v>17292.8</v>
      </c>
      <c r="F110" s="395">
        <v>2</v>
      </c>
      <c r="G110" s="311">
        <f t="shared" si="3"/>
        <v>7000</v>
      </c>
      <c r="H110" s="314">
        <f t="shared" si="5"/>
        <v>34585.599999999999</v>
      </c>
      <c r="I110" s="344" t="s">
        <v>429</v>
      </c>
      <c r="J110" s="294" t="str">
        <f>""</f>
        <v/>
      </c>
    </row>
    <row r="111" spans="1:10" x14ac:dyDescent="0.25">
      <c r="A111" s="1" t="s">
        <v>419</v>
      </c>
      <c r="B111" s="1" t="s">
        <v>430</v>
      </c>
      <c r="C111" s="3" t="s">
        <v>430</v>
      </c>
      <c r="D111" s="320">
        <v>6434.28</v>
      </c>
      <c r="E111" s="314">
        <f>K2*D111</f>
        <v>31790.490624000002</v>
      </c>
      <c r="F111" s="346">
        <v>6</v>
      </c>
      <c r="G111" s="311">
        <f t="shared" si="3"/>
        <v>38605.68</v>
      </c>
      <c r="H111" s="314">
        <f t="shared" si="5"/>
        <v>190742.94374400002</v>
      </c>
      <c r="I111" s="344" t="s">
        <v>431</v>
      </c>
      <c r="J111" s="294" t="str">
        <f>""</f>
        <v/>
      </c>
    </row>
    <row r="112" spans="1:10" x14ac:dyDescent="0.25">
      <c r="A112" s="1" t="s">
        <v>419</v>
      </c>
      <c r="B112" s="1" t="s">
        <v>432</v>
      </c>
      <c r="C112" s="3" t="s">
        <v>221</v>
      </c>
      <c r="D112" s="320">
        <v>5700</v>
      </c>
      <c r="E112" s="314">
        <f>K2*D112</f>
        <v>28162.560000000001</v>
      </c>
      <c r="F112" s="346">
        <v>2</v>
      </c>
      <c r="G112" s="311">
        <f t="shared" si="3"/>
        <v>11400</v>
      </c>
      <c r="H112" s="314">
        <f t="shared" si="5"/>
        <v>56325.120000000003</v>
      </c>
      <c r="I112" s="344" t="s">
        <v>433</v>
      </c>
      <c r="J112" s="294" t="str">
        <f>""</f>
        <v/>
      </c>
    </row>
    <row r="113" spans="1:10" x14ac:dyDescent="0.25">
      <c r="A113" s="1" t="s">
        <v>419</v>
      </c>
      <c r="B113" s="1" t="s">
        <v>434</v>
      </c>
      <c r="C113" s="3" t="s">
        <v>435</v>
      </c>
      <c r="D113" s="320">
        <v>630.70000000000005</v>
      </c>
      <c r="E113" s="314">
        <f>K2*D113</f>
        <v>3116.1625600000002</v>
      </c>
      <c r="F113" s="346">
        <v>13</v>
      </c>
      <c r="G113" s="311">
        <f t="shared" si="3"/>
        <v>8199.1</v>
      </c>
      <c r="H113" s="314">
        <f t="shared" si="5"/>
        <v>40510.113280000005</v>
      </c>
      <c r="I113" s="344" t="s">
        <v>436</v>
      </c>
      <c r="J113" s="294" t="str">
        <f>""</f>
        <v/>
      </c>
    </row>
    <row r="114" spans="1:10" x14ac:dyDescent="0.25">
      <c r="A114" s="1" t="s">
        <v>437</v>
      </c>
      <c r="B114" s="1" t="s">
        <v>438</v>
      </c>
      <c r="C114" s="3" t="s">
        <v>439</v>
      </c>
      <c r="D114" s="315">
        <v>1128.04</v>
      </c>
      <c r="E114" s="314">
        <f>K2*D114</f>
        <v>5573.420032</v>
      </c>
      <c r="F114" s="313">
        <v>2</v>
      </c>
      <c r="G114" s="311">
        <f t="shared" si="3"/>
        <v>2256.08</v>
      </c>
      <c r="H114" s="314">
        <f t="shared" si="5"/>
        <v>11146.840064</v>
      </c>
      <c r="I114" s="344" t="s">
        <v>440</v>
      </c>
      <c r="J114" s="294" t="str">
        <f>""</f>
        <v/>
      </c>
    </row>
    <row r="115" spans="1:10" x14ac:dyDescent="0.25">
      <c r="A115" s="1" t="s">
        <v>441</v>
      </c>
      <c r="B115" s="1" t="s">
        <v>441</v>
      </c>
      <c r="C115" s="1" t="s">
        <v>442</v>
      </c>
      <c r="D115" s="311">
        <v>66875</v>
      </c>
      <c r="E115" s="314">
        <f>K2*D115</f>
        <v>330416</v>
      </c>
      <c r="F115" s="313">
        <v>2</v>
      </c>
      <c r="G115" s="311">
        <f t="shared" si="3"/>
        <v>133750</v>
      </c>
      <c r="H115" s="314">
        <f t="shared" si="5"/>
        <v>660832</v>
      </c>
      <c r="I115" s="344" t="s">
        <v>443</v>
      </c>
      <c r="J115" s="294" t="str">
        <f>""</f>
        <v/>
      </c>
    </row>
    <row r="116" spans="1:10" x14ac:dyDescent="0.25">
      <c r="A116" s="1" t="s">
        <v>444</v>
      </c>
      <c r="B116" s="1" t="s">
        <v>445</v>
      </c>
      <c r="C116" s="1" t="s">
        <v>268</v>
      </c>
      <c r="D116" s="311">
        <v>95165.46</v>
      </c>
      <c r="E116" s="314">
        <f>K2*D116</f>
        <v>470193.50476800004</v>
      </c>
      <c r="F116" s="313">
        <v>1</v>
      </c>
      <c r="G116" s="311">
        <f t="shared" si="3"/>
        <v>95165.46</v>
      </c>
      <c r="H116" s="314">
        <f t="shared" si="5"/>
        <v>470193.50476800004</v>
      </c>
      <c r="I116" s="344" t="s">
        <v>446</v>
      </c>
      <c r="J116" s="294" t="str">
        <f>""</f>
        <v/>
      </c>
    </row>
    <row r="117" spans="1:10" x14ac:dyDescent="0.25">
      <c r="A117" s="318" t="s">
        <v>447</v>
      </c>
      <c r="B117" s="318" t="s">
        <v>448</v>
      </c>
      <c r="C117" s="3" t="s">
        <v>268</v>
      </c>
      <c r="D117" s="320"/>
      <c r="E117" s="314">
        <f>K2*D117</f>
        <v>0</v>
      </c>
      <c r="F117" s="313">
        <v>1</v>
      </c>
      <c r="G117" s="311">
        <f t="shared" si="3"/>
        <v>0</v>
      </c>
      <c r="H117" s="314">
        <f t="shared" si="5"/>
        <v>0</v>
      </c>
      <c r="I117" s="344"/>
      <c r="J117" s="294" t="str">
        <f>""</f>
        <v/>
      </c>
    </row>
    <row r="118" spans="1:10" x14ac:dyDescent="0.25">
      <c r="A118" s="1" t="s">
        <v>449</v>
      </c>
      <c r="B118" s="1" t="s">
        <v>450</v>
      </c>
      <c r="C118" s="1" t="s">
        <v>418</v>
      </c>
      <c r="D118" s="311">
        <v>6950</v>
      </c>
      <c r="E118" s="314">
        <f>K2*D118</f>
        <v>34338.560000000005</v>
      </c>
      <c r="F118" s="313">
        <v>1</v>
      </c>
      <c r="G118" s="311">
        <f t="shared" si="3"/>
        <v>6950</v>
      </c>
      <c r="H118" s="314">
        <f t="shared" si="5"/>
        <v>34338.560000000005</v>
      </c>
      <c r="I118" s="344" t="s">
        <v>443</v>
      </c>
      <c r="J118" s="294" t="str">
        <f>""</f>
        <v/>
      </c>
    </row>
    <row r="119" spans="1:10" x14ac:dyDescent="0.25">
      <c r="A119" s="1" t="s">
        <v>449</v>
      </c>
      <c r="B119" s="1" t="s">
        <v>451</v>
      </c>
      <c r="C119" s="3" t="s">
        <v>452</v>
      </c>
      <c r="D119" s="320">
        <v>8635</v>
      </c>
      <c r="E119" s="314">
        <f>K2*D119</f>
        <v>42663.808000000005</v>
      </c>
      <c r="F119" s="313">
        <v>1</v>
      </c>
      <c r="G119" s="311">
        <f t="shared" si="3"/>
        <v>8635</v>
      </c>
      <c r="H119" s="314">
        <f t="shared" si="5"/>
        <v>42663.808000000005</v>
      </c>
      <c r="I119" s="344" t="s">
        <v>453</v>
      </c>
      <c r="J119" s="294" t="str">
        <f>""</f>
        <v/>
      </c>
    </row>
    <row r="120" spans="1:10" x14ac:dyDescent="0.25">
      <c r="A120" s="1" t="s">
        <v>454</v>
      </c>
      <c r="B120" s="1" t="s">
        <v>455</v>
      </c>
      <c r="C120" s="1" t="s">
        <v>66</v>
      </c>
      <c r="D120" s="311">
        <v>969</v>
      </c>
      <c r="E120" s="314">
        <f>K2*D120</f>
        <v>4787.6352000000006</v>
      </c>
      <c r="F120" s="313">
        <v>2</v>
      </c>
      <c r="G120" s="311">
        <f t="shared" si="3"/>
        <v>1938</v>
      </c>
      <c r="H120" s="314">
        <f t="shared" si="5"/>
        <v>9575.2704000000012</v>
      </c>
      <c r="I120" s="344" t="s">
        <v>456</v>
      </c>
      <c r="J120" s="294" t="str">
        <f>""</f>
        <v/>
      </c>
    </row>
    <row r="121" spans="1:10" x14ac:dyDescent="0.25">
      <c r="A121" s="1" t="s">
        <v>454</v>
      </c>
      <c r="B121" s="1" t="s">
        <v>457</v>
      </c>
      <c r="C121" s="1" t="s">
        <v>66</v>
      </c>
      <c r="D121" s="311">
        <v>3405.78</v>
      </c>
      <c r="E121" s="314">
        <f>K2*D121</f>
        <v>16827.277824000001</v>
      </c>
      <c r="F121" s="313">
        <v>4</v>
      </c>
      <c r="G121" s="311">
        <f t="shared" si="3"/>
        <v>13623.12</v>
      </c>
      <c r="H121" s="314">
        <f t="shared" si="5"/>
        <v>67309.111296000003</v>
      </c>
      <c r="I121" s="344" t="s">
        <v>458</v>
      </c>
      <c r="J121" s="294" t="str">
        <f>""</f>
        <v/>
      </c>
    </row>
    <row r="122" spans="1:10" x14ac:dyDescent="0.25">
      <c r="A122" s="1" t="s">
        <v>454</v>
      </c>
      <c r="B122" s="1" t="s">
        <v>459</v>
      </c>
      <c r="C122" s="1" t="s">
        <v>66</v>
      </c>
      <c r="D122" s="311">
        <v>3277</v>
      </c>
      <c r="E122" s="314">
        <f>K2*D122</f>
        <v>16191.001600000001</v>
      </c>
      <c r="F122" s="313">
        <v>1</v>
      </c>
      <c r="G122" s="311">
        <f t="shared" si="3"/>
        <v>3277</v>
      </c>
      <c r="H122" s="314">
        <f t="shared" si="5"/>
        <v>16191.001600000001</v>
      </c>
      <c r="I122" s="344" t="s">
        <v>460</v>
      </c>
      <c r="J122" s="294" t="str">
        <f>""</f>
        <v/>
      </c>
    </row>
    <row r="123" spans="1:10" x14ac:dyDescent="0.25">
      <c r="A123" s="1" t="s">
        <v>461</v>
      </c>
      <c r="B123" s="1" t="s">
        <v>462</v>
      </c>
      <c r="C123" s="1" t="s">
        <v>66</v>
      </c>
      <c r="D123" s="315">
        <v>7858.55</v>
      </c>
      <c r="E123" s="314">
        <f>K2*D123</f>
        <v>38827.523840000002</v>
      </c>
      <c r="F123" s="346">
        <v>3</v>
      </c>
      <c r="G123" s="311">
        <f t="shared" si="3"/>
        <v>23575.65</v>
      </c>
      <c r="H123" s="314">
        <f t="shared" si="5"/>
        <v>116482.57152</v>
      </c>
      <c r="I123" s="344" t="s">
        <v>463</v>
      </c>
      <c r="J123" s="294" t="str">
        <f>""</f>
        <v/>
      </c>
    </row>
    <row r="124" spans="1:10" x14ac:dyDescent="0.25">
      <c r="A124" s="1" t="s">
        <v>464</v>
      </c>
      <c r="B124" s="1" t="s">
        <v>465</v>
      </c>
      <c r="C124" s="1" t="s">
        <v>466</v>
      </c>
      <c r="D124" s="311">
        <v>366000</v>
      </c>
      <c r="E124" s="314">
        <f>K2*D124</f>
        <v>1808332.8</v>
      </c>
      <c r="F124" s="313">
        <v>3</v>
      </c>
      <c r="G124" s="311">
        <f t="shared" si="3"/>
        <v>1098000</v>
      </c>
      <c r="H124" s="314">
        <f t="shared" si="5"/>
        <v>5424998.4000000004</v>
      </c>
      <c r="I124" s="344" t="s">
        <v>467</v>
      </c>
      <c r="J124" s="294" t="str">
        <f>""</f>
        <v/>
      </c>
    </row>
    <row r="125" spans="1:10" x14ac:dyDescent="0.25">
      <c r="A125" s="1" t="s">
        <v>468</v>
      </c>
      <c r="B125" s="1" t="s">
        <v>469</v>
      </c>
      <c r="C125" s="1" t="s">
        <v>466</v>
      </c>
      <c r="D125" s="311">
        <v>366000</v>
      </c>
      <c r="E125" s="314">
        <f>K2*D125</f>
        <v>1808332.8</v>
      </c>
      <c r="F125" s="313">
        <v>1</v>
      </c>
      <c r="G125" s="311">
        <f t="shared" si="3"/>
        <v>366000</v>
      </c>
      <c r="H125" s="314">
        <f t="shared" si="5"/>
        <v>1808332.8</v>
      </c>
      <c r="I125" s="344" t="s">
        <v>470</v>
      </c>
      <c r="J125" s="294" t="str">
        <f>""</f>
        <v/>
      </c>
    </row>
    <row r="126" spans="1:10" x14ac:dyDescent="0.25">
      <c r="A126" s="1" t="s">
        <v>471</v>
      </c>
      <c r="B126" s="1" t="s">
        <v>472</v>
      </c>
      <c r="C126" s="1" t="s">
        <v>473</v>
      </c>
      <c r="D126" s="315">
        <v>764.93</v>
      </c>
      <c r="E126" s="314">
        <f>K2*D126</f>
        <v>3779.3661440000001</v>
      </c>
      <c r="F126" s="313">
        <v>4</v>
      </c>
      <c r="G126" s="311">
        <f t="shared" si="3"/>
        <v>3059.72</v>
      </c>
      <c r="H126" s="314">
        <f t="shared" si="5"/>
        <v>15117.464576</v>
      </c>
      <c r="I126" s="345" t="s">
        <v>474</v>
      </c>
      <c r="J126" s="294" t="str">
        <f>""</f>
        <v/>
      </c>
    </row>
    <row r="127" spans="1:10" x14ac:dyDescent="0.25">
      <c r="A127" s="1" t="s">
        <v>475</v>
      </c>
      <c r="B127" s="1" t="s">
        <v>476</v>
      </c>
      <c r="C127" s="1" t="s">
        <v>477</v>
      </c>
      <c r="D127" s="315">
        <v>46.72</v>
      </c>
      <c r="E127" s="314">
        <f>K2*D127</f>
        <v>230.83417600000001</v>
      </c>
      <c r="F127" s="313">
        <v>2</v>
      </c>
      <c r="G127" s="311">
        <f t="shared" si="3"/>
        <v>93.44</v>
      </c>
      <c r="H127" s="314">
        <f t="shared" si="5"/>
        <v>461.66835200000003</v>
      </c>
      <c r="I127" s="345" t="s">
        <v>478</v>
      </c>
      <c r="J127" s="294" t="str">
        <f>""</f>
        <v/>
      </c>
    </row>
    <row r="128" spans="1:10" x14ac:dyDescent="0.25">
      <c r="A128" s="1" t="s">
        <v>479</v>
      </c>
      <c r="B128" s="1" t="s">
        <v>480</v>
      </c>
      <c r="C128" s="1" t="s">
        <v>302</v>
      </c>
      <c r="D128" s="315">
        <v>25105.89</v>
      </c>
      <c r="E128" s="314">
        <f>K2*D128</f>
        <v>124043.181312</v>
      </c>
      <c r="F128" s="313">
        <v>3</v>
      </c>
      <c r="G128" s="311">
        <f t="shared" si="3"/>
        <v>75317.67</v>
      </c>
      <c r="H128" s="314">
        <f t="shared" si="5"/>
        <v>372129.54393599997</v>
      </c>
      <c r="I128" s="344" t="s">
        <v>481</v>
      </c>
      <c r="J128" s="294" t="str">
        <f>""</f>
        <v/>
      </c>
    </row>
    <row r="129" spans="1:10" x14ac:dyDescent="0.25">
      <c r="A129" s="1" t="s">
        <v>482</v>
      </c>
      <c r="B129" s="1" t="s">
        <v>483</v>
      </c>
      <c r="C129" s="1" t="s">
        <v>484</v>
      </c>
      <c r="D129" s="311">
        <v>528</v>
      </c>
      <c r="E129" s="314">
        <f>K2*D129</f>
        <v>2608.7424000000001</v>
      </c>
      <c r="F129" s="313">
        <v>2</v>
      </c>
      <c r="G129" s="311">
        <f t="shared" si="3"/>
        <v>1056</v>
      </c>
      <c r="H129" s="314">
        <f t="shared" si="5"/>
        <v>5217.4848000000002</v>
      </c>
      <c r="I129" s="344" t="s">
        <v>485</v>
      </c>
      <c r="J129" s="294" t="str">
        <f>""</f>
        <v/>
      </c>
    </row>
    <row r="130" spans="1:10" x14ac:dyDescent="0.25">
      <c r="A130" s="1" t="s">
        <v>486</v>
      </c>
      <c r="B130" s="1" t="s">
        <v>487</v>
      </c>
      <c r="C130" s="1" t="s">
        <v>192</v>
      </c>
      <c r="D130" s="311">
        <v>22844</v>
      </c>
      <c r="E130" s="314">
        <f>K2*D130</f>
        <v>112867.6352</v>
      </c>
      <c r="F130" s="313">
        <v>5</v>
      </c>
      <c r="G130" s="311">
        <f t="shared" si="3"/>
        <v>114220</v>
      </c>
      <c r="H130" s="314">
        <f t="shared" si="5"/>
        <v>564338.17599999998</v>
      </c>
      <c r="I130" s="344" t="s">
        <v>488</v>
      </c>
      <c r="J130" s="294" t="str">
        <f>""</f>
        <v/>
      </c>
    </row>
    <row r="131" spans="1:10" x14ac:dyDescent="0.25">
      <c r="A131" s="1" t="s">
        <v>486</v>
      </c>
      <c r="B131" s="1" t="s">
        <v>489</v>
      </c>
      <c r="C131" s="1" t="s">
        <v>255</v>
      </c>
      <c r="D131" s="311">
        <v>26684.2</v>
      </c>
      <c r="E131" s="314">
        <f>K2*D131</f>
        <v>131841.29536000002</v>
      </c>
      <c r="F131" s="313">
        <v>1</v>
      </c>
      <c r="G131" s="311">
        <f t="shared" si="3"/>
        <v>26684.2</v>
      </c>
      <c r="H131" s="314">
        <f t="shared" si="5"/>
        <v>131841.29536000002</v>
      </c>
      <c r="I131" s="344" t="s">
        <v>227</v>
      </c>
      <c r="J131" s="294" t="str">
        <f>""</f>
        <v/>
      </c>
    </row>
    <row r="132" spans="1:10" ht="14.4" x14ac:dyDescent="0.3">
      <c r="A132" s="321" t="s">
        <v>490</v>
      </c>
      <c r="B132" s="321">
        <v>7160</v>
      </c>
      <c r="C132" s="321" t="s">
        <v>466</v>
      </c>
      <c r="D132" s="322">
        <v>300867</v>
      </c>
      <c r="E132" s="314">
        <f>K2*D132</f>
        <v>1486523.6736000001</v>
      </c>
      <c r="F132" s="313">
        <v>1</v>
      </c>
      <c r="G132" s="311">
        <f t="shared" si="3"/>
        <v>300867</v>
      </c>
      <c r="H132" s="314">
        <f t="shared" si="5"/>
        <v>1486523.6736000001</v>
      </c>
      <c r="I132" s="344" t="s">
        <v>491</v>
      </c>
      <c r="J132" s="294" t="str">
        <f>""</f>
        <v/>
      </c>
    </row>
    <row r="133" spans="1:10" x14ac:dyDescent="0.25">
      <c r="A133" s="1" t="s">
        <v>492</v>
      </c>
      <c r="B133" s="1" t="s">
        <v>493</v>
      </c>
      <c r="C133" s="1" t="s">
        <v>494</v>
      </c>
      <c r="D133" s="311">
        <v>80661.7</v>
      </c>
      <c r="E133" s="314">
        <f>K2*D133</f>
        <v>398533.32736</v>
      </c>
      <c r="F133" s="313">
        <v>2</v>
      </c>
      <c r="G133" s="311">
        <f t="shared" si="3"/>
        <v>161323.4</v>
      </c>
      <c r="H133" s="314">
        <f t="shared" si="5"/>
        <v>797066.65471999999</v>
      </c>
      <c r="I133" s="344" t="s">
        <v>495</v>
      </c>
      <c r="J133" s="294" t="str">
        <f>""</f>
        <v/>
      </c>
    </row>
    <row r="134" spans="1:10" x14ac:dyDescent="0.25">
      <c r="A134" s="1" t="s">
        <v>496</v>
      </c>
      <c r="B134" s="1" t="s">
        <v>497</v>
      </c>
      <c r="C134" s="1" t="s">
        <v>498</v>
      </c>
      <c r="D134" s="311">
        <v>1838</v>
      </c>
      <c r="E134" s="314">
        <f>K2*D134</f>
        <v>9081.1904000000013</v>
      </c>
      <c r="F134" s="313">
        <v>2</v>
      </c>
      <c r="G134" s="311">
        <f t="shared" si="3"/>
        <v>3676</v>
      </c>
      <c r="H134" s="314">
        <f t="shared" si="5"/>
        <v>18162.380800000003</v>
      </c>
      <c r="I134" s="345" t="s">
        <v>499</v>
      </c>
      <c r="J134" s="294" t="str">
        <f>""</f>
        <v/>
      </c>
    </row>
    <row r="135" spans="1:10" x14ac:dyDescent="0.25">
      <c r="A135" s="1" t="s">
        <v>500</v>
      </c>
      <c r="B135" s="1" t="s">
        <v>501</v>
      </c>
      <c r="C135" s="1" t="s">
        <v>291</v>
      </c>
      <c r="D135" s="311">
        <v>5255</v>
      </c>
      <c r="E135" s="314">
        <f>K2*D135</f>
        <v>25963.904000000002</v>
      </c>
      <c r="F135" s="313">
        <v>1</v>
      </c>
      <c r="G135" s="311">
        <f t="shared" si="3"/>
        <v>5255</v>
      </c>
      <c r="H135" s="314">
        <f t="shared" si="5"/>
        <v>25963.904000000002</v>
      </c>
      <c r="I135" s="344" t="s">
        <v>224</v>
      </c>
      <c r="J135" s="294" t="str">
        <f>""</f>
        <v/>
      </c>
    </row>
    <row r="136" spans="1:10" x14ac:dyDescent="0.25">
      <c r="A136" s="1" t="s">
        <v>502</v>
      </c>
      <c r="B136" s="1" t="s">
        <v>503</v>
      </c>
      <c r="C136" s="1" t="s">
        <v>504</v>
      </c>
      <c r="D136" s="311">
        <v>165</v>
      </c>
      <c r="E136" s="314">
        <f>K2*D136</f>
        <v>815.23200000000008</v>
      </c>
      <c r="F136" s="313">
        <v>3</v>
      </c>
      <c r="G136" s="311">
        <f t="shared" si="3"/>
        <v>495</v>
      </c>
      <c r="H136" s="314">
        <f t="shared" si="5"/>
        <v>2445.6960000000004</v>
      </c>
      <c r="I136" s="345" t="s">
        <v>505</v>
      </c>
      <c r="J136" s="294" t="str">
        <f>""</f>
        <v/>
      </c>
    </row>
    <row r="137" spans="1:10" x14ac:dyDescent="0.25">
      <c r="A137" s="318" t="s">
        <v>506</v>
      </c>
      <c r="B137" s="318" t="s">
        <v>507</v>
      </c>
      <c r="C137" s="1" t="s">
        <v>508</v>
      </c>
      <c r="D137" s="311"/>
      <c r="E137" s="314">
        <f>K2*D137</f>
        <v>0</v>
      </c>
      <c r="F137" s="313">
        <v>1</v>
      </c>
      <c r="G137" s="311">
        <f t="shared" ref="G137:G193" si="6">D137*F137</f>
        <v>0</v>
      </c>
      <c r="H137" s="314">
        <f t="shared" si="5"/>
        <v>0</v>
      </c>
      <c r="I137" s="344"/>
      <c r="J137" s="294" t="str">
        <f>""</f>
        <v/>
      </c>
    </row>
    <row r="138" spans="1:10" x14ac:dyDescent="0.25">
      <c r="A138" s="1" t="s">
        <v>509</v>
      </c>
      <c r="B138" s="1">
        <v>52203</v>
      </c>
      <c r="C138" s="1" t="s">
        <v>56</v>
      </c>
      <c r="D138" s="311">
        <v>530</v>
      </c>
      <c r="E138" s="314">
        <f>K2*D138</f>
        <v>2618.6240000000003</v>
      </c>
      <c r="F138" s="313">
        <v>1</v>
      </c>
      <c r="G138" s="311">
        <f t="shared" si="6"/>
        <v>530</v>
      </c>
      <c r="H138" s="314">
        <f t="shared" si="5"/>
        <v>2618.6240000000003</v>
      </c>
      <c r="I138" s="345" t="s">
        <v>510</v>
      </c>
      <c r="J138" s="294" t="str">
        <f>""</f>
        <v/>
      </c>
    </row>
    <row r="139" spans="1:10" x14ac:dyDescent="0.25">
      <c r="A139" s="1" t="s">
        <v>511</v>
      </c>
      <c r="B139" s="1" t="s">
        <v>512</v>
      </c>
      <c r="C139" s="1" t="s">
        <v>513</v>
      </c>
      <c r="D139" s="311">
        <v>41200</v>
      </c>
      <c r="E139" s="314">
        <f>K2*D139</f>
        <v>203560.96000000002</v>
      </c>
      <c r="F139" s="313">
        <v>1</v>
      </c>
      <c r="G139" s="311">
        <f t="shared" si="6"/>
        <v>41200</v>
      </c>
      <c r="H139" s="314">
        <f t="shared" si="5"/>
        <v>203560.96000000002</v>
      </c>
      <c r="I139" s="344" t="s">
        <v>514</v>
      </c>
      <c r="J139" s="294" t="str">
        <f>""</f>
        <v/>
      </c>
    </row>
    <row r="140" spans="1:10" x14ac:dyDescent="0.25">
      <c r="A140" s="1" t="s">
        <v>515</v>
      </c>
      <c r="B140" s="1" t="s">
        <v>516</v>
      </c>
      <c r="C140" s="1" t="s">
        <v>517</v>
      </c>
      <c r="D140" s="311">
        <v>84000</v>
      </c>
      <c r="E140" s="314">
        <f>K2*D140</f>
        <v>415027.20000000001</v>
      </c>
      <c r="F140" s="313">
        <v>3</v>
      </c>
      <c r="G140" s="311">
        <f t="shared" si="6"/>
        <v>252000</v>
      </c>
      <c r="H140" s="314">
        <f t="shared" si="5"/>
        <v>1245081.6000000001</v>
      </c>
      <c r="I140" s="344" t="s">
        <v>518</v>
      </c>
      <c r="J140" s="294" t="str">
        <f>""</f>
        <v/>
      </c>
    </row>
    <row r="141" spans="1:10" x14ac:dyDescent="0.25">
      <c r="A141" s="1" t="s">
        <v>519</v>
      </c>
      <c r="B141" s="1" t="s">
        <v>520</v>
      </c>
      <c r="C141" s="1" t="s">
        <v>521</v>
      </c>
      <c r="D141" s="311">
        <v>2490</v>
      </c>
      <c r="E141" s="314">
        <f>K2*D141</f>
        <v>12302.592000000001</v>
      </c>
      <c r="F141" s="313">
        <v>2</v>
      </c>
      <c r="G141" s="311">
        <f t="shared" si="6"/>
        <v>4980</v>
      </c>
      <c r="H141" s="314">
        <f t="shared" si="5"/>
        <v>24605.184000000001</v>
      </c>
      <c r="I141" s="344" t="s">
        <v>522</v>
      </c>
      <c r="J141" s="294" t="str">
        <f>""</f>
        <v/>
      </c>
    </row>
    <row r="142" spans="1:10" x14ac:dyDescent="0.25">
      <c r="A142" s="1" t="s">
        <v>523</v>
      </c>
      <c r="B142" s="1" t="s">
        <v>524</v>
      </c>
      <c r="C142" s="1" t="s">
        <v>291</v>
      </c>
      <c r="D142" s="311">
        <v>55240</v>
      </c>
      <c r="E142" s="314">
        <f>K2*D142</f>
        <v>272929.79200000002</v>
      </c>
      <c r="F142" s="395">
        <v>4</v>
      </c>
      <c r="G142" s="311">
        <f t="shared" si="6"/>
        <v>220960</v>
      </c>
      <c r="H142" s="314">
        <f t="shared" si="5"/>
        <v>1091719.1680000001</v>
      </c>
      <c r="I142" s="344" t="s">
        <v>525</v>
      </c>
      <c r="J142" s="294" t="str">
        <f>""</f>
        <v/>
      </c>
    </row>
    <row r="143" spans="1:10" x14ac:dyDescent="0.25">
      <c r="A143" s="1" t="s">
        <v>526</v>
      </c>
      <c r="B143" s="1" t="s">
        <v>527</v>
      </c>
      <c r="C143" s="1" t="s">
        <v>528</v>
      </c>
      <c r="D143" s="311">
        <v>12755</v>
      </c>
      <c r="E143" s="314">
        <f>K2*D143</f>
        <v>63019.904000000002</v>
      </c>
      <c r="F143" s="313">
        <v>6</v>
      </c>
      <c r="G143" s="311">
        <f t="shared" si="6"/>
        <v>76530</v>
      </c>
      <c r="H143" s="314">
        <f t="shared" si="5"/>
        <v>378119.424</v>
      </c>
      <c r="I143" s="344" t="s">
        <v>529</v>
      </c>
      <c r="J143" s="294" t="str">
        <f>""</f>
        <v/>
      </c>
    </row>
    <row r="144" spans="1:10" x14ac:dyDescent="0.25">
      <c r="A144" s="1" t="s">
        <v>530</v>
      </c>
      <c r="B144" s="1" t="s">
        <v>531</v>
      </c>
      <c r="C144" s="1" t="s">
        <v>291</v>
      </c>
      <c r="D144" s="311">
        <v>5730</v>
      </c>
      <c r="E144" s="314">
        <f>K2*D144</f>
        <v>28310.784000000003</v>
      </c>
      <c r="F144" s="395">
        <v>7</v>
      </c>
      <c r="G144" s="311">
        <f t="shared" si="6"/>
        <v>40110</v>
      </c>
      <c r="H144" s="314">
        <f t="shared" si="5"/>
        <v>198175.48800000001</v>
      </c>
      <c r="I144" s="344" t="s">
        <v>224</v>
      </c>
      <c r="J144" s="294" t="str">
        <f>""</f>
        <v/>
      </c>
    </row>
    <row r="145" spans="1:10" x14ac:dyDescent="0.25">
      <c r="A145" s="1" t="s">
        <v>532</v>
      </c>
      <c r="B145" s="1" t="s">
        <v>533</v>
      </c>
      <c r="C145" s="1" t="s">
        <v>534</v>
      </c>
      <c r="D145" s="311">
        <v>7505</v>
      </c>
      <c r="E145" s="314">
        <f>K2*D145</f>
        <v>37080.704000000005</v>
      </c>
      <c r="F145" s="313">
        <v>3</v>
      </c>
      <c r="G145" s="311">
        <f t="shared" si="6"/>
        <v>22515</v>
      </c>
      <c r="H145" s="314">
        <f t="shared" si="5"/>
        <v>111242.11200000002</v>
      </c>
      <c r="I145" s="344"/>
      <c r="J145" s="294" t="str">
        <f>""</f>
        <v/>
      </c>
    </row>
    <row r="146" spans="1:10" x14ac:dyDescent="0.25">
      <c r="A146" s="1" t="s">
        <v>532</v>
      </c>
      <c r="B146" s="1" t="s">
        <v>535</v>
      </c>
      <c r="C146" s="1" t="s">
        <v>536</v>
      </c>
      <c r="D146" s="311">
        <v>4100</v>
      </c>
      <c r="E146" s="314">
        <f>K2*D146</f>
        <v>20257.280000000002</v>
      </c>
      <c r="F146" s="346">
        <v>2</v>
      </c>
      <c r="G146" s="311">
        <f t="shared" si="6"/>
        <v>8200</v>
      </c>
      <c r="H146" s="314">
        <f t="shared" si="5"/>
        <v>40514.560000000005</v>
      </c>
      <c r="I146" s="344" t="s">
        <v>224</v>
      </c>
      <c r="J146" s="294" t="str">
        <f>""</f>
        <v/>
      </c>
    </row>
    <row r="147" spans="1:10" x14ac:dyDescent="0.25">
      <c r="A147" s="1" t="s">
        <v>532</v>
      </c>
      <c r="B147" s="1" t="s">
        <v>537</v>
      </c>
      <c r="C147" s="1" t="s">
        <v>291</v>
      </c>
      <c r="D147" s="311">
        <v>6085</v>
      </c>
      <c r="E147" s="314">
        <f>K2*D147</f>
        <v>30064.768</v>
      </c>
      <c r="F147" s="346">
        <v>8</v>
      </c>
      <c r="G147" s="311">
        <f t="shared" si="6"/>
        <v>48680</v>
      </c>
      <c r="H147" s="314">
        <f t="shared" si="5"/>
        <v>240518.144</v>
      </c>
      <c r="I147" s="344" t="s">
        <v>224</v>
      </c>
      <c r="J147" s="294" t="str">
        <f>""</f>
        <v/>
      </c>
    </row>
    <row r="148" spans="1:10" x14ac:dyDescent="0.25">
      <c r="A148" s="1" t="s">
        <v>532</v>
      </c>
      <c r="B148" s="1" t="s">
        <v>538</v>
      </c>
      <c r="C148" s="1" t="s">
        <v>539</v>
      </c>
      <c r="D148" s="311">
        <v>6285</v>
      </c>
      <c r="E148" s="314">
        <f>K2*D148</f>
        <v>31052.928000000004</v>
      </c>
      <c r="F148" s="346">
        <v>2</v>
      </c>
      <c r="G148" s="311">
        <f t="shared" si="6"/>
        <v>12570</v>
      </c>
      <c r="H148" s="314">
        <f t="shared" si="5"/>
        <v>62105.856000000007</v>
      </c>
      <c r="I148" s="344" t="s">
        <v>224</v>
      </c>
      <c r="J148" s="294" t="str">
        <f>""</f>
        <v/>
      </c>
    </row>
    <row r="149" spans="1:10" x14ac:dyDescent="0.25">
      <c r="A149" s="1" t="s">
        <v>540</v>
      </c>
      <c r="B149" s="1" t="s">
        <v>541</v>
      </c>
      <c r="C149" s="1" t="s">
        <v>521</v>
      </c>
      <c r="D149" s="311">
        <v>1790</v>
      </c>
      <c r="E149" s="314">
        <f>K2*D149</f>
        <v>8844.0320000000011</v>
      </c>
      <c r="F149" s="313">
        <v>2</v>
      </c>
      <c r="G149" s="311">
        <f t="shared" si="6"/>
        <v>3580</v>
      </c>
      <c r="H149" s="314">
        <f t="shared" si="5"/>
        <v>17688.064000000002</v>
      </c>
      <c r="I149" s="344" t="s">
        <v>522</v>
      </c>
      <c r="J149" s="294" t="str">
        <f>""</f>
        <v/>
      </c>
    </row>
    <row r="150" spans="1:10" x14ac:dyDescent="0.25">
      <c r="A150" s="1" t="s">
        <v>542</v>
      </c>
      <c r="B150" s="1" t="s">
        <v>543</v>
      </c>
      <c r="C150" s="1" t="s">
        <v>544</v>
      </c>
      <c r="D150" s="311">
        <v>4070</v>
      </c>
      <c r="E150" s="314">
        <f>K2*D150</f>
        <v>20109.056</v>
      </c>
      <c r="F150" s="313">
        <v>2</v>
      </c>
      <c r="G150" s="311">
        <f t="shared" si="6"/>
        <v>8140</v>
      </c>
      <c r="H150" s="314">
        <f t="shared" si="5"/>
        <v>40218.112000000001</v>
      </c>
      <c r="I150" s="344" t="s">
        <v>224</v>
      </c>
      <c r="J150" s="294" t="str">
        <f>""</f>
        <v/>
      </c>
    </row>
    <row r="151" spans="1:10" x14ac:dyDescent="0.25">
      <c r="A151" s="318" t="s">
        <v>545</v>
      </c>
      <c r="B151" s="318" t="s">
        <v>546</v>
      </c>
      <c r="C151" s="1" t="s">
        <v>547</v>
      </c>
      <c r="D151" s="311"/>
      <c r="E151" s="314">
        <f>K2*D151</f>
        <v>0</v>
      </c>
      <c r="F151" s="313">
        <v>1</v>
      </c>
      <c r="G151" s="311">
        <f t="shared" si="6"/>
        <v>0</v>
      </c>
      <c r="H151" s="314">
        <f t="shared" si="5"/>
        <v>0</v>
      </c>
      <c r="I151" s="344"/>
      <c r="J151" s="294" t="str">
        <f>""</f>
        <v/>
      </c>
    </row>
    <row r="152" spans="1:10" x14ac:dyDescent="0.25">
      <c r="A152" s="1" t="s">
        <v>548</v>
      </c>
      <c r="B152" s="1" t="s">
        <v>549</v>
      </c>
      <c r="C152" s="1" t="s">
        <v>291</v>
      </c>
      <c r="D152" s="311">
        <v>5350</v>
      </c>
      <c r="E152" s="314">
        <f>K2*D152</f>
        <v>26433.280000000002</v>
      </c>
      <c r="F152" s="395">
        <v>12</v>
      </c>
      <c r="G152" s="311">
        <f t="shared" si="6"/>
        <v>64200</v>
      </c>
      <c r="H152" s="314">
        <f t="shared" si="5"/>
        <v>317199.36000000004</v>
      </c>
      <c r="I152" s="344" t="s">
        <v>224</v>
      </c>
      <c r="J152" s="294" t="str">
        <f>""</f>
        <v/>
      </c>
    </row>
    <row r="153" spans="1:10" x14ac:dyDescent="0.25">
      <c r="A153" s="1" t="s">
        <v>550</v>
      </c>
      <c r="B153" s="1" t="s">
        <v>551</v>
      </c>
      <c r="C153" s="1" t="s">
        <v>291</v>
      </c>
      <c r="D153" s="311">
        <v>2559.36</v>
      </c>
      <c r="E153" s="314">
        <f>K2*D153</f>
        <v>12645.285888000002</v>
      </c>
      <c r="F153" s="395">
        <v>13</v>
      </c>
      <c r="G153" s="311">
        <f t="shared" si="6"/>
        <v>33271.68</v>
      </c>
      <c r="H153" s="314">
        <f t="shared" si="5"/>
        <v>164388.71654400002</v>
      </c>
      <c r="I153" s="344" t="s">
        <v>224</v>
      </c>
      <c r="J153" s="294" t="str">
        <f>""</f>
        <v/>
      </c>
    </row>
    <row r="154" spans="1:10" x14ac:dyDescent="0.25">
      <c r="A154" s="1" t="s">
        <v>552</v>
      </c>
      <c r="B154" s="1" t="s">
        <v>553</v>
      </c>
      <c r="C154" s="1" t="s">
        <v>554</v>
      </c>
      <c r="D154" s="311">
        <v>340</v>
      </c>
      <c r="E154" s="314">
        <f>K2*D154</f>
        <v>1679.8720000000001</v>
      </c>
      <c r="F154" s="313">
        <v>2</v>
      </c>
      <c r="G154" s="311">
        <f t="shared" si="6"/>
        <v>680</v>
      </c>
      <c r="H154" s="314">
        <f t="shared" si="5"/>
        <v>3359.7440000000001</v>
      </c>
      <c r="I154" s="345" t="s">
        <v>555</v>
      </c>
      <c r="J154" s="294" t="str">
        <f>""</f>
        <v/>
      </c>
    </row>
    <row r="155" spans="1:10" x14ac:dyDescent="0.25">
      <c r="A155" s="1" t="s">
        <v>556</v>
      </c>
      <c r="B155" s="1" t="s">
        <v>557</v>
      </c>
      <c r="C155" s="1" t="s">
        <v>291</v>
      </c>
      <c r="D155" s="311">
        <v>2796.04</v>
      </c>
      <c r="E155" s="314">
        <f>K2*D155</f>
        <v>13814.674432</v>
      </c>
      <c r="F155" s="313">
        <v>5</v>
      </c>
      <c r="G155" s="311">
        <f t="shared" si="6"/>
        <v>13980.2</v>
      </c>
      <c r="H155" s="314">
        <f t="shared" si="5"/>
        <v>69073.372159999999</v>
      </c>
      <c r="I155" s="344" t="s">
        <v>224</v>
      </c>
      <c r="J155" s="294" t="str">
        <f>""</f>
        <v/>
      </c>
    </row>
    <row r="156" spans="1:10" x14ac:dyDescent="0.25">
      <c r="A156" s="1" t="s">
        <v>558</v>
      </c>
      <c r="B156" s="1" t="s">
        <v>559</v>
      </c>
      <c r="C156" s="1" t="s">
        <v>291</v>
      </c>
      <c r="D156" s="311">
        <v>3655</v>
      </c>
      <c r="E156" s="314">
        <f>K2*D156</f>
        <v>18058.624</v>
      </c>
      <c r="F156" s="346">
        <v>4</v>
      </c>
      <c r="G156" s="311">
        <f t="shared" si="6"/>
        <v>14620</v>
      </c>
      <c r="H156" s="314">
        <f t="shared" si="5"/>
        <v>72234.495999999999</v>
      </c>
      <c r="I156" s="344" t="s">
        <v>224</v>
      </c>
      <c r="J156" s="294" t="str">
        <f>""</f>
        <v/>
      </c>
    </row>
    <row r="157" spans="1:10" x14ac:dyDescent="0.25">
      <c r="A157" s="1" t="s">
        <v>558</v>
      </c>
      <c r="B157" s="1" t="s">
        <v>560</v>
      </c>
      <c r="C157" s="1" t="s">
        <v>291</v>
      </c>
      <c r="D157" s="323">
        <v>4503.68</v>
      </c>
      <c r="E157" s="314">
        <f>K2*D157</f>
        <v>22251.782144000004</v>
      </c>
      <c r="F157" s="346">
        <v>7</v>
      </c>
      <c r="G157" s="311">
        <f t="shared" si="6"/>
        <v>31525.760000000002</v>
      </c>
      <c r="H157" s="314">
        <f t="shared" si="5"/>
        <v>155762.47500800004</v>
      </c>
      <c r="I157" s="344" t="s">
        <v>224</v>
      </c>
      <c r="J157" s="294" t="str">
        <f>""</f>
        <v/>
      </c>
    </row>
    <row r="158" spans="1:10" x14ac:dyDescent="0.25">
      <c r="A158" s="1" t="s">
        <v>558</v>
      </c>
      <c r="B158" s="1" t="s">
        <v>561</v>
      </c>
      <c r="C158" s="1" t="s">
        <v>291</v>
      </c>
      <c r="D158" s="311">
        <v>815</v>
      </c>
      <c r="E158" s="314">
        <f>K2*D158</f>
        <v>4026.7520000000004</v>
      </c>
      <c r="F158" s="346">
        <v>24</v>
      </c>
      <c r="G158" s="311">
        <f t="shared" si="6"/>
        <v>19560</v>
      </c>
      <c r="H158" s="314">
        <f t="shared" si="5"/>
        <v>96642.04800000001</v>
      </c>
      <c r="I158" s="344" t="s">
        <v>224</v>
      </c>
      <c r="J158" s="294" t="str">
        <f>""</f>
        <v/>
      </c>
    </row>
    <row r="159" spans="1:10" x14ac:dyDescent="0.25">
      <c r="A159" s="1" t="s">
        <v>562</v>
      </c>
      <c r="B159" s="1" t="s">
        <v>563</v>
      </c>
      <c r="C159" s="1" t="s">
        <v>564</v>
      </c>
      <c r="D159" s="311">
        <v>2991.22</v>
      </c>
      <c r="E159" s="314">
        <f>K2*D159</f>
        <v>14779.019775999999</v>
      </c>
      <c r="F159" s="313">
        <v>2</v>
      </c>
      <c r="G159" s="311">
        <f t="shared" si="6"/>
        <v>5982.44</v>
      </c>
      <c r="H159" s="314">
        <f t="shared" si="5"/>
        <v>29558.039551999998</v>
      </c>
      <c r="I159" s="344" t="s">
        <v>565</v>
      </c>
      <c r="J159" s="294" t="str">
        <f>""</f>
        <v/>
      </c>
    </row>
    <row r="160" spans="1:10" x14ac:dyDescent="0.25">
      <c r="A160" s="1" t="s">
        <v>566</v>
      </c>
      <c r="B160" s="1" t="s">
        <v>567</v>
      </c>
      <c r="C160" s="1" t="s">
        <v>539</v>
      </c>
      <c r="D160" s="311">
        <v>2420</v>
      </c>
      <c r="E160" s="314">
        <f>K2*D160</f>
        <v>11956.736000000001</v>
      </c>
      <c r="F160" s="313">
        <v>4</v>
      </c>
      <c r="G160" s="311">
        <f t="shared" si="6"/>
        <v>9680</v>
      </c>
      <c r="H160" s="314">
        <f t="shared" si="5"/>
        <v>47826.944000000003</v>
      </c>
      <c r="I160" s="344" t="s">
        <v>224</v>
      </c>
      <c r="J160" s="294" t="str">
        <f>""</f>
        <v/>
      </c>
    </row>
    <row r="161" spans="1:10" x14ac:dyDescent="0.25">
      <c r="A161" s="1" t="s">
        <v>566</v>
      </c>
      <c r="B161" s="1" t="s">
        <v>568</v>
      </c>
      <c r="C161" s="1" t="s">
        <v>536</v>
      </c>
      <c r="D161" s="311">
        <v>3730</v>
      </c>
      <c r="E161" s="314">
        <f>K2*D161</f>
        <v>18429.184000000001</v>
      </c>
      <c r="F161" s="313">
        <v>2</v>
      </c>
      <c r="G161" s="311">
        <f t="shared" si="6"/>
        <v>7460</v>
      </c>
      <c r="H161" s="314">
        <f t="shared" si="5"/>
        <v>36858.368000000002</v>
      </c>
      <c r="I161" s="344" t="s">
        <v>224</v>
      </c>
      <c r="J161" s="294" t="str">
        <f>""</f>
        <v/>
      </c>
    </row>
    <row r="162" spans="1:10" x14ac:dyDescent="0.25">
      <c r="A162" s="1" t="s">
        <v>566</v>
      </c>
      <c r="B162" s="1" t="s">
        <v>569</v>
      </c>
      <c r="C162" s="1" t="s">
        <v>536</v>
      </c>
      <c r="D162" s="311">
        <v>7390</v>
      </c>
      <c r="E162" s="314">
        <f>K2*D162</f>
        <v>36512.512000000002</v>
      </c>
      <c r="F162" s="313">
        <v>7</v>
      </c>
      <c r="G162" s="311">
        <f t="shared" si="6"/>
        <v>51730</v>
      </c>
      <c r="H162" s="314">
        <f t="shared" si="5"/>
        <v>255587.58400000003</v>
      </c>
      <c r="I162" s="344" t="s">
        <v>224</v>
      </c>
      <c r="J162" s="294" t="str">
        <f>""</f>
        <v/>
      </c>
    </row>
    <row r="163" spans="1:10" x14ac:dyDescent="0.25">
      <c r="A163" s="324" t="s">
        <v>570</v>
      </c>
      <c r="B163" s="324" t="s">
        <v>571</v>
      </c>
      <c r="C163" s="324" t="s">
        <v>572</v>
      </c>
      <c r="D163" s="315">
        <v>0</v>
      </c>
      <c r="E163" s="314">
        <f>K2*D163</f>
        <v>0</v>
      </c>
      <c r="F163" s="325">
        <v>1</v>
      </c>
      <c r="G163" s="311">
        <f>D163*F163</f>
        <v>0</v>
      </c>
      <c r="H163" s="326">
        <f t="shared" si="5"/>
        <v>0</v>
      </c>
      <c r="I163" s="344" t="s">
        <v>573</v>
      </c>
      <c r="J163" s="294" t="str">
        <f>""</f>
        <v/>
      </c>
    </row>
    <row r="164" spans="1:10" x14ac:dyDescent="0.25">
      <c r="A164" s="318" t="s">
        <v>574</v>
      </c>
      <c r="B164" s="318" t="s">
        <v>575</v>
      </c>
      <c r="C164" s="1" t="s">
        <v>576</v>
      </c>
      <c r="D164" s="311"/>
      <c r="E164" s="314">
        <f>K2*D164</f>
        <v>0</v>
      </c>
      <c r="F164" s="313">
        <v>1</v>
      </c>
      <c r="G164" s="311">
        <f t="shared" si="6"/>
        <v>0</v>
      </c>
      <c r="H164" s="314">
        <f t="shared" si="5"/>
        <v>0</v>
      </c>
      <c r="I164" s="344"/>
      <c r="J164" s="294" t="str">
        <f>""</f>
        <v/>
      </c>
    </row>
    <row r="165" spans="1:10" x14ac:dyDescent="0.25">
      <c r="A165" s="1" t="s">
        <v>577</v>
      </c>
      <c r="B165" s="1" t="s">
        <v>578</v>
      </c>
      <c r="C165" s="1" t="s">
        <v>534</v>
      </c>
      <c r="D165" s="311">
        <v>7505</v>
      </c>
      <c r="E165" s="314">
        <f>K2*D165</f>
        <v>37080.704000000005</v>
      </c>
      <c r="F165" s="313">
        <v>3</v>
      </c>
      <c r="G165" s="311">
        <f t="shared" si="6"/>
        <v>22515</v>
      </c>
      <c r="H165" s="314">
        <f t="shared" si="5"/>
        <v>111242.11200000002</v>
      </c>
      <c r="I165" s="344" t="s">
        <v>579</v>
      </c>
      <c r="J165" s="294" t="str">
        <f>""</f>
        <v/>
      </c>
    </row>
    <row r="166" spans="1:10" x14ac:dyDescent="0.25">
      <c r="A166" s="1" t="s">
        <v>580</v>
      </c>
      <c r="B166" s="1" t="s">
        <v>581</v>
      </c>
      <c r="C166" s="1" t="s">
        <v>291</v>
      </c>
      <c r="D166" s="311">
        <v>9525</v>
      </c>
      <c r="E166" s="314">
        <f>K2*D166</f>
        <v>47061.120000000003</v>
      </c>
      <c r="F166" s="313">
        <v>1</v>
      </c>
      <c r="G166" s="311">
        <f t="shared" si="6"/>
        <v>9525</v>
      </c>
      <c r="H166" s="314">
        <f t="shared" si="5"/>
        <v>47061.120000000003</v>
      </c>
      <c r="I166" s="344" t="s">
        <v>224</v>
      </c>
      <c r="J166" s="294" t="str">
        <f>""</f>
        <v/>
      </c>
    </row>
    <row r="167" spans="1:10" x14ac:dyDescent="0.25">
      <c r="A167" s="1" t="s">
        <v>582</v>
      </c>
      <c r="B167" s="1" t="s">
        <v>583</v>
      </c>
      <c r="C167" s="1" t="s">
        <v>422</v>
      </c>
      <c r="D167" s="311">
        <v>39402</v>
      </c>
      <c r="E167" s="314">
        <f>K2*D167</f>
        <v>194677.40160000001</v>
      </c>
      <c r="F167" s="313">
        <v>1</v>
      </c>
      <c r="G167" s="311">
        <f t="shared" si="6"/>
        <v>39402</v>
      </c>
      <c r="H167" s="314">
        <f t="shared" si="5"/>
        <v>194677.40160000001</v>
      </c>
      <c r="I167" s="344" t="s">
        <v>584</v>
      </c>
      <c r="J167" s="294" t="str">
        <f>""</f>
        <v/>
      </c>
    </row>
    <row r="168" spans="1:10" x14ac:dyDescent="0.25">
      <c r="A168" s="1" t="s">
        <v>582</v>
      </c>
      <c r="B168" s="1" t="s">
        <v>585</v>
      </c>
      <c r="C168" s="1" t="s">
        <v>422</v>
      </c>
      <c r="D168" s="311">
        <v>48250</v>
      </c>
      <c r="E168" s="314">
        <f>K2*D168</f>
        <v>238393.60000000001</v>
      </c>
      <c r="F168" s="313">
        <v>1</v>
      </c>
      <c r="G168" s="311">
        <f t="shared" si="6"/>
        <v>48250</v>
      </c>
      <c r="H168" s="314">
        <f t="shared" si="5"/>
        <v>238393.60000000001</v>
      </c>
      <c r="I168" s="344" t="s">
        <v>458</v>
      </c>
      <c r="J168" s="294" t="str">
        <f>""</f>
        <v/>
      </c>
    </row>
    <row r="169" spans="1:10" x14ac:dyDescent="0.25">
      <c r="A169" s="1" t="s">
        <v>582</v>
      </c>
      <c r="B169" s="1" t="s">
        <v>586</v>
      </c>
      <c r="C169" s="1" t="s">
        <v>422</v>
      </c>
      <c r="D169" s="311">
        <v>30555</v>
      </c>
      <c r="E169" s="314">
        <f>K2*D169</f>
        <v>150966.144</v>
      </c>
      <c r="F169" s="313">
        <v>2</v>
      </c>
      <c r="G169" s="311">
        <f t="shared" si="6"/>
        <v>61110</v>
      </c>
      <c r="H169" s="314">
        <f t="shared" ref="H169:H193" si="7">F169*E169</f>
        <v>301932.288</v>
      </c>
      <c r="I169" s="344" t="s">
        <v>587</v>
      </c>
      <c r="J169" s="294" t="str">
        <f>""</f>
        <v/>
      </c>
    </row>
    <row r="170" spans="1:10" x14ac:dyDescent="0.25">
      <c r="A170" s="1" t="s">
        <v>588</v>
      </c>
      <c r="B170" s="1" t="s">
        <v>589</v>
      </c>
      <c r="C170" s="1" t="s">
        <v>590</v>
      </c>
      <c r="D170" s="311">
        <v>760</v>
      </c>
      <c r="E170" s="314">
        <f>K2*D170</f>
        <v>3755.0080000000003</v>
      </c>
      <c r="F170" s="313">
        <v>3</v>
      </c>
      <c r="G170" s="311">
        <f t="shared" si="6"/>
        <v>2280</v>
      </c>
      <c r="H170" s="314">
        <f t="shared" si="7"/>
        <v>11265.024000000001</v>
      </c>
      <c r="I170" s="345" t="s">
        <v>591</v>
      </c>
      <c r="J170" s="294" t="str">
        <f>""</f>
        <v/>
      </c>
    </row>
    <row r="171" spans="1:10" x14ac:dyDescent="0.25">
      <c r="A171" s="1" t="s">
        <v>592</v>
      </c>
      <c r="B171" s="1" t="s">
        <v>593</v>
      </c>
      <c r="C171" s="1" t="s">
        <v>594</v>
      </c>
      <c r="D171" s="311">
        <v>1275</v>
      </c>
      <c r="E171" s="314">
        <f>K2*D171</f>
        <v>6299.52</v>
      </c>
      <c r="F171" s="313">
        <v>13</v>
      </c>
      <c r="G171" s="311">
        <f t="shared" si="6"/>
        <v>16575</v>
      </c>
      <c r="H171" s="314">
        <f t="shared" si="7"/>
        <v>81893.760000000009</v>
      </c>
      <c r="I171" s="344" t="s">
        <v>595</v>
      </c>
      <c r="J171" s="294" t="str">
        <f>""</f>
        <v/>
      </c>
    </row>
    <row r="172" spans="1:10" x14ac:dyDescent="0.25">
      <c r="A172" s="318" t="s">
        <v>596</v>
      </c>
      <c r="B172" s="318" t="s">
        <v>597</v>
      </c>
      <c r="C172" s="1" t="s">
        <v>498</v>
      </c>
      <c r="D172" s="311"/>
      <c r="E172" s="314">
        <f>K2*D172</f>
        <v>0</v>
      </c>
      <c r="F172" s="313">
        <v>2</v>
      </c>
      <c r="G172" s="311">
        <f t="shared" si="6"/>
        <v>0</v>
      </c>
      <c r="H172" s="314">
        <f t="shared" si="7"/>
        <v>0</v>
      </c>
      <c r="I172" s="344"/>
      <c r="J172" s="294" t="str">
        <f>""</f>
        <v/>
      </c>
    </row>
    <row r="173" spans="1:10" x14ac:dyDescent="0.25">
      <c r="A173" s="1" t="s">
        <v>598</v>
      </c>
      <c r="B173" s="1" t="s">
        <v>599</v>
      </c>
      <c r="C173" s="1" t="s">
        <v>600</v>
      </c>
      <c r="D173" s="311">
        <v>6500</v>
      </c>
      <c r="E173" s="314">
        <f>K2*D173</f>
        <v>32115.200000000001</v>
      </c>
      <c r="F173" s="313">
        <v>3</v>
      </c>
      <c r="G173" s="311">
        <f t="shared" si="6"/>
        <v>19500</v>
      </c>
      <c r="H173" s="314">
        <f t="shared" si="7"/>
        <v>96345.600000000006</v>
      </c>
      <c r="I173" s="344" t="s">
        <v>458</v>
      </c>
      <c r="J173" s="294" t="str">
        <f>""</f>
        <v/>
      </c>
    </row>
    <row r="174" spans="1:10" x14ac:dyDescent="0.25">
      <c r="A174" s="1" t="s">
        <v>601</v>
      </c>
      <c r="B174" s="1" t="s">
        <v>602</v>
      </c>
      <c r="C174" s="1" t="s">
        <v>603</v>
      </c>
      <c r="D174" s="311">
        <v>81000</v>
      </c>
      <c r="E174" s="314">
        <f>K2*D174</f>
        <v>400204.80000000005</v>
      </c>
      <c r="F174" s="313">
        <v>1</v>
      </c>
      <c r="G174" s="311">
        <f t="shared" si="6"/>
        <v>81000</v>
      </c>
      <c r="H174" s="314">
        <f t="shared" si="7"/>
        <v>400204.80000000005</v>
      </c>
      <c r="I174" s="344" t="s">
        <v>207</v>
      </c>
      <c r="J174" s="294" t="str">
        <f>""</f>
        <v/>
      </c>
    </row>
    <row r="175" spans="1:10" x14ac:dyDescent="0.25">
      <c r="A175" s="1" t="s">
        <v>601</v>
      </c>
      <c r="B175" s="1" t="s">
        <v>604</v>
      </c>
      <c r="C175" s="1" t="s">
        <v>605</v>
      </c>
      <c r="D175" s="311">
        <v>70360.58</v>
      </c>
      <c r="E175" s="314">
        <f>K2*D175</f>
        <v>347637.55366400001</v>
      </c>
      <c r="F175" s="313">
        <v>1</v>
      </c>
      <c r="G175" s="311">
        <f t="shared" si="6"/>
        <v>70360.58</v>
      </c>
      <c r="H175" s="314">
        <f t="shared" si="7"/>
        <v>347637.55366400001</v>
      </c>
      <c r="I175" s="344" t="s">
        <v>606</v>
      </c>
      <c r="J175" s="294" t="str">
        <f>""</f>
        <v/>
      </c>
    </row>
    <row r="176" spans="1:10" x14ac:dyDescent="0.25">
      <c r="A176" s="1" t="s">
        <v>601</v>
      </c>
      <c r="B176" s="1" t="s">
        <v>607</v>
      </c>
      <c r="C176" s="1" t="s">
        <v>605</v>
      </c>
      <c r="D176" s="311">
        <v>67836</v>
      </c>
      <c r="E176" s="314">
        <f>K2*D176</f>
        <v>335164.10880000005</v>
      </c>
      <c r="F176" s="313">
        <v>1</v>
      </c>
      <c r="G176" s="311">
        <f t="shared" si="6"/>
        <v>67836</v>
      </c>
      <c r="H176" s="314">
        <f t="shared" si="7"/>
        <v>335164.10880000005</v>
      </c>
      <c r="I176" s="344" t="s">
        <v>608</v>
      </c>
      <c r="J176" s="294" t="str">
        <f>""</f>
        <v/>
      </c>
    </row>
    <row r="177" spans="1:10" x14ac:dyDescent="0.25">
      <c r="A177" s="1" t="s">
        <v>601</v>
      </c>
      <c r="B177" s="1" t="s">
        <v>609</v>
      </c>
      <c r="C177" s="1" t="s">
        <v>610</v>
      </c>
      <c r="D177" s="311">
        <v>52150</v>
      </c>
      <c r="E177" s="314">
        <f>K2*D177</f>
        <v>257662.72000000003</v>
      </c>
      <c r="F177" s="313">
        <v>1</v>
      </c>
      <c r="G177" s="311">
        <f t="shared" si="6"/>
        <v>52150</v>
      </c>
      <c r="H177" s="314">
        <f t="shared" si="7"/>
        <v>257662.72000000003</v>
      </c>
      <c r="I177" s="344" t="s">
        <v>611</v>
      </c>
      <c r="J177" s="294" t="str">
        <f>""</f>
        <v/>
      </c>
    </row>
    <row r="178" spans="1:10" x14ac:dyDescent="0.25">
      <c r="A178" s="1" t="s">
        <v>612</v>
      </c>
      <c r="B178" s="1" t="s">
        <v>613</v>
      </c>
      <c r="C178" s="1" t="s">
        <v>325</v>
      </c>
      <c r="D178" s="311">
        <v>1015</v>
      </c>
      <c r="E178" s="314">
        <f>K2*D178</f>
        <v>5014.9120000000003</v>
      </c>
      <c r="F178" s="313">
        <v>2</v>
      </c>
      <c r="G178" s="311">
        <f t="shared" si="6"/>
        <v>2030</v>
      </c>
      <c r="H178" s="314">
        <f t="shared" si="7"/>
        <v>10029.824000000001</v>
      </c>
      <c r="I178" s="344" t="s">
        <v>614</v>
      </c>
      <c r="J178" s="294" t="str">
        <f>""</f>
        <v/>
      </c>
    </row>
    <row r="179" spans="1:10" x14ac:dyDescent="0.25">
      <c r="A179" s="1" t="s">
        <v>612</v>
      </c>
      <c r="B179" s="1" t="s">
        <v>615</v>
      </c>
      <c r="C179" s="3" t="s">
        <v>325</v>
      </c>
      <c r="D179" s="311">
        <v>1015</v>
      </c>
      <c r="E179" s="314">
        <f>K2*D179</f>
        <v>5014.9120000000003</v>
      </c>
      <c r="F179" s="313">
        <v>3</v>
      </c>
      <c r="G179" s="311">
        <f t="shared" si="6"/>
        <v>3045</v>
      </c>
      <c r="H179" s="314">
        <f t="shared" si="7"/>
        <v>15044.736000000001</v>
      </c>
      <c r="I179" s="344" t="s">
        <v>326</v>
      </c>
      <c r="J179" s="294" t="str">
        <f>""</f>
        <v/>
      </c>
    </row>
    <row r="180" spans="1:10" x14ac:dyDescent="0.25">
      <c r="A180" s="318" t="s">
        <v>616</v>
      </c>
      <c r="B180" s="318" t="s">
        <v>617</v>
      </c>
      <c r="C180" s="1" t="s">
        <v>618</v>
      </c>
      <c r="D180" s="311"/>
      <c r="E180" s="314">
        <f>K2*D180</f>
        <v>0</v>
      </c>
      <c r="F180" s="313">
        <v>4</v>
      </c>
      <c r="G180" s="311">
        <f t="shared" si="6"/>
        <v>0</v>
      </c>
      <c r="H180" s="314">
        <f t="shared" si="7"/>
        <v>0</v>
      </c>
      <c r="I180" s="344"/>
      <c r="J180" s="294" t="str">
        <f>""</f>
        <v/>
      </c>
    </row>
    <row r="181" spans="1:10" x14ac:dyDescent="0.25">
      <c r="A181" s="1" t="s">
        <v>619</v>
      </c>
      <c r="B181" s="1" t="s">
        <v>620</v>
      </c>
      <c r="C181" s="1" t="s">
        <v>28</v>
      </c>
      <c r="D181" s="311">
        <v>5950</v>
      </c>
      <c r="E181" s="314">
        <f>K2*D181</f>
        <v>29397.760000000002</v>
      </c>
      <c r="F181" s="313">
        <v>3</v>
      </c>
      <c r="G181" s="311">
        <f t="shared" si="6"/>
        <v>17850</v>
      </c>
      <c r="H181" s="314">
        <f t="shared" si="7"/>
        <v>88193.279999999999</v>
      </c>
      <c r="I181" s="344" t="s">
        <v>207</v>
      </c>
      <c r="J181" s="294" t="str">
        <f>""</f>
        <v/>
      </c>
    </row>
    <row r="182" spans="1:10" x14ac:dyDescent="0.25">
      <c r="A182" s="1" t="s">
        <v>621</v>
      </c>
      <c r="B182" s="1" t="s">
        <v>313</v>
      </c>
      <c r="C182" s="1" t="s">
        <v>311</v>
      </c>
      <c r="D182" s="311">
        <v>4100</v>
      </c>
      <c r="E182" s="314">
        <f>K2*D182</f>
        <v>20257.280000000002</v>
      </c>
      <c r="F182" s="313">
        <v>17</v>
      </c>
      <c r="G182" s="311">
        <f t="shared" si="6"/>
        <v>69700</v>
      </c>
      <c r="H182" s="314">
        <f t="shared" si="7"/>
        <v>344373.76000000007</v>
      </c>
      <c r="I182" s="344" t="s">
        <v>622</v>
      </c>
      <c r="J182" s="294" t="str">
        <f>""</f>
        <v/>
      </c>
    </row>
    <row r="183" spans="1:10" x14ac:dyDescent="0.25">
      <c r="A183" s="1" t="s">
        <v>623</v>
      </c>
      <c r="B183" s="1" t="s">
        <v>624</v>
      </c>
      <c r="C183" s="1" t="s">
        <v>625</v>
      </c>
      <c r="D183" s="311">
        <v>1888</v>
      </c>
      <c r="E183" s="314">
        <f>K2*D183</f>
        <v>9328.2304000000004</v>
      </c>
      <c r="F183" s="395">
        <v>3</v>
      </c>
      <c r="G183" s="311">
        <f t="shared" si="6"/>
        <v>5664</v>
      </c>
      <c r="H183" s="314">
        <f t="shared" si="7"/>
        <v>27984.691200000001</v>
      </c>
      <c r="I183" s="344" t="s">
        <v>626</v>
      </c>
      <c r="J183" s="294" t="str">
        <f>""</f>
        <v/>
      </c>
    </row>
    <row r="184" spans="1:10" x14ac:dyDescent="0.25">
      <c r="A184" s="1" t="s">
        <v>627</v>
      </c>
      <c r="B184" s="1" t="s">
        <v>628</v>
      </c>
      <c r="C184" s="1" t="s">
        <v>56</v>
      </c>
      <c r="D184" s="311">
        <v>804</v>
      </c>
      <c r="E184" s="314">
        <f>K2*D184</f>
        <v>3972.4032000000002</v>
      </c>
      <c r="F184" s="395">
        <v>18</v>
      </c>
      <c r="G184" s="311">
        <f t="shared" si="6"/>
        <v>14472</v>
      </c>
      <c r="H184" s="314">
        <f t="shared" si="7"/>
        <v>71503.257599999997</v>
      </c>
      <c r="I184" s="344" t="s">
        <v>629</v>
      </c>
      <c r="J184" s="294" t="str">
        <f>""</f>
        <v/>
      </c>
    </row>
    <row r="185" spans="1:10" x14ac:dyDescent="0.25">
      <c r="A185" s="1" t="s">
        <v>627</v>
      </c>
      <c r="B185" s="1" t="s">
        <v>630</v>
      </c>
      <c r="C185" s="1" t="s">
        <v>631</v>
      </c>
      <c r="D185" s="311">
        <v>184.22</v>
      </c>
      <c r="E185" s="314">
        <f>K2*D185</f>
        <v>910.19417600000008</v>
      </c>
      <c r="F185" s="346">
        <v>2</v>
      </c>
      <c r="G185" s="311">
        <f t="shared" si="6"/>
        <v>368.44</v>
      </c>
      <c r="H185" s="314">
        <f t="shared" si="7"/>
        <v>1820.3883520000002</v>
      </c>
      <c r="I185" s="344" t="s">
        <v>632</v>
      </c>
      <c r="J185" s="294" t="str">
        <f>""</f>
        <v/>
      </c>
    </row>
    <row r="186" spans="1:10" x14ac:dyDescent="0.25">
      <c r="A186" s="1" t="s">
        <v>633</v>
      </c>
      <c r="B186" s="1" t="s">
        <v>634</v>
      </c>
      <c r="C186" s="1" t="s">
        <v>291</v>
      </c>
      <c r="D186" s="311">
        <v>5740</v>
      </c>
      <c r="E186" s="314">
        <f>K2*D186</f>
        <v>28360.192000000003</v>
      </c>
      <c r="F186" s="313">
        <v>5</v>
      </c>
      <c r="G186" s="311">
        <f t="shared" si="6"/>
        <v>28700</v>
      </c>
      <c r="H186" s="314">
        <f t="shared" si="7"/>
        <v>141800.96000000002</v>
      </c>
      <c r="I186" s="344" t="s">
        <v>224</v>
      </c>
      <c r="J186" s="294" t="str">
        <f>""</f>
        <v/>
      </c>
    </row>
    <row r="187" spans="1:10" x14ac:dyDescent="0.25">
      <c r="A187" s="1" t="s">
        <v>635</v>
      </c>
      <c r="B187" s="1" t="s">
        <v>636</v>
      </c>
      <c r="C187" s="1" t="s">
        <v>536</v>
      </c>
      <c r="D187" s="311">
        <v>9875</v>
      </c>
      <c r="E187" s="314">
        <f>K2*D187</f>
        <v>48790.400000000001</v>
      </c>
      <c r="F187" s="313">
        <v>3</v>
      </c>
      <c r="G187" s="311">
        <f t="shared" si="6"/>
        <v>29625</v>
      </c>
      <c r="H187" s="314">
        <f t="shared" si="7"/>
        <v>146371.20000000001</v>
      </c>
      <c r="I187" s="344" t="s">
        <v>224</v>
      </c>
      <c r="J187" s="294" t="str">
        <f>""</f>
        <v/>
      </c>
    </row>
    <row r="188" spans="1:10" x14ac:dyDescent="0.25">
      <c r="A188" s="1" t="s">
        <v>637</v>
      </c>
      <c r="B188" s="1" t="s">
        <v>638</v>
      </c>
      <c r="C188" s="1" t="s">
        <v>268</v>
      </c>
      <c r="D188" s="311">
        <v>27769.95</v>
      </c>
      <c r="E188" s="314">
        <f>K2*D188</f>
        <v>137205.76896000002</v>
      </c>
      <c r="F188" s="313">
        <v>1</v>
      </c>
      <c r="G188" s="311">
        <f t="shared" si="6"/>
        <v>27769.95</v>
      </c>
      <c r="H188" s="314">
        <f t="shared" si="7"/>
        <v>137205.76896000002</v>
      </c>
      <c r="I188" s="344" t="s">
        <v>639</v>
      </c>
      <c r="J188" s="294" t="str">
        <f>""</f>
        <v/>
      </c>
    </row>
    <row r="189" spans="1:10" x14ac:dyDescent="0.25">
      <c r="A189" s="318" t="s">
        <v>637</v>
      </c>
      <c r="B189" s="318" t="s">
        <v>640</v>
      </c>
      <c r="C189" s="3" t="s">
        <v>255</v>
      </c>
      <c r="D189" s="311"/>
      <c r="E189" s="314">
        <f>K2*D189</f>
        <v>0</v>
      </c>
      <c r="F189" s="313">
        <v>1</v>
      </c>
      <c r="G189" s="311">
        <f t="shared" si="6"/>
        <v>0</v>
      </c>
      <c r="H189" s="314">
        <f t="shared" si="7"/>
        <v>0</v>
      </c>
      <c r="I189" s="344" t="s">
        <v>641</v>
      </c>
      <c r="J189" s="294" t="str">
        <f>""</f>
        <v/>
      </c>
    </row>
    <row r="190" spans="1:10" x14ac:dyDescent="0.25">
      <c r="A190" s="1" t="s">
        <v>642</v>
      </c>
      <c r="B190" s="1" t="s">
        <v>643</v>
      </c>
      <c r="C190" s="1" t="s">
        <v>644</v>
      </c>
      <c r="D190" s="311">
        <v>17202.509999999998</v>
      </c>
      <c r="E190" s="314">
        <f>K2*D190</f>
        <v>84994.161408</v>
      </c>
      <c r="F190" s="313">
        <v>3</v>
      </c>
      <c r="G190" s="311">
        <f t="shared" si="6"/>
        <v>51607.53</v>
      </c>
      <c r="H190" s="314">
        <f t="shared" si="7"/>
        <v>254982.48422400001</v>
      </c>
      <c r="I190" s="344" t="s">
        <v>645</v>
      </c>
      <c r="J190" s="294" t="str">
        <f>""</f>
        <v/>
      </c>
    </row>
    <row r="191" spans="1:10" x14ac:dyDescent="0.25">
      <c r="A191" s="1" t="s">
        <v>646</v>
      </c>
      <c r="B191" s="1" t="s">
        <v>647</v>
      </c>
      <c r="C191" s="3" t="s">
        <v>268</v>
      </c>
      <c r="D191" s="311">
        <v>27769</v>
      </c>
      <c r="E191" s="314">
        <f>K2*D191</f>
        <v>137201.07520000002</v>
      </c>
      <c r="F191" s="313">
        <v>5</v>
      </c>
      <c r="G191" s="311">
        <f t="shared" si="6"/>
        <v>138845</v>
      </c>
      <c r="H191" s="314">
        <f t="shared" si="7"/>
        <v>686005.37600000016</v>
      </c>
      <c r="I191" s="344" t="s">
        <v>648</v>
      </c>
      <c r="J191" s="294" t="str">
        <f>""</f>
        <v/>
      </c>
    </row>
    <row r="192" spans="1:10" x14ac:dyDescent="0.25">
      <c r="A192" s="1" t="s">
        <v>649</v>
      </c>
      <c r="B192" s="1" t="s">
        <v>650</v>
      </c>
      <c r="C192" s="1" t="s">
        <v>367</v>
      </c>
      <c r="D192" s="315">
        <v>1080.55</v>
      </c>
      <c r="E192" s="314">
        <f>K2*D192</f>
        <v>5338.7814399999997</v>
      </c>
      <c r="F192" s="313">
        <v>7</v>
      </c>
      <c r="G192" s="311">
        <f t="shared" si="6"/>
        <v>7563.8499999999995</v>
      </c>
      <c r="H192" s="314">
        <f t="shared" si="7"/>
        <v>37371.470079999999</v>
      </c>
      <c r="I192" s="344" t="s">
        <v>297</v>
      </c>
      <c r="J192" s="294" t="str">
        <f>""</f>
        <v/>
      </c>
    </row>
    <row r="193" spans="1:10" x14ac:dyDescent="0.25">
      <c r="A193" s="1" t="s">
        <v>651</v>
      </c>
      <c r="B193" s="1" t="s">
        <v>652</v>
      </c>
      <c r="C193" s="1" t="s">
        <v>354</v>
      </c>
      <c r="D193" s="311">
        <v>128.25</v>
      </c>
      <c r="E193" s="314">
        <f>K2*D193</f>
        <v>633.6576</v>
      </c>
      <c r="F193" s="313">
        <v>20</v>
      </c>
      <c r="G193" s="311">
        <f t="shared" si="6"/>
        <v>2565</v>
      </c>
      <c r="H193" s="314">
        <f t="shared" si="7"/>
        <v>12673.152</v>
      </c>
      <c r="I193" s="344" t="s">
        <v>653</v>
      </c>
      <c r="J193" s="294" t="str">
        <f>""</f>
        <v/>
      </c>
    </row>
    <row r="194" spans="1:10" x14ac:dyDescent="0.25">
      <c r="A194" s="1" t="s">
        <v>651</v>
      </c>
      <c r="B194" s="1" t="s">
        <v>654</v>
      </c>
      <c r="C194" s="1" t="s">
        <v>354</v>
      </c>
      <c r="D194" s="311">
        <v>128.25</v>
      </c>
      <c r="E194" s="314">
        <f>K2*D194</f>
        <v>633.6576</v>
      </c>
      <c r="F194" s="313">
        <v>39</v>
      </c>
      <c r="G194" s="311">
        <f>D194*F194</f>
        <v>5001.75</v>
      </c>
      <c r="H194" s="314">
        <f>F194*E194</f>
        <v>24712.646400000001</v>
      </c>
      <c r="I194" s="344" t="s">
        <v>481</v>
      </c>
      <c r="J194" s="294" t="str">
        <f>""</f>
        <v/>
      </c>
    </row>
    <row r="195" spans="1:10" x14ac:dyDescent="0.25">
      <c r="A195" s="318" t="s">
        <v>655</v>
      </c>
      <c r="B195" s="318" t="s">
        <v>29</v>
      </c>
      <c r="C195" s="3" t="s">
        <v>656</v>
      </c>
      <c r="D195" s="311"/>
      <c r="E195" s="314">
        <f t="shared" ref="E195:E201" si="8">K3*D195</f>
        <v>0</v>
      </c>
      <c r="F195" s="313">
        <v>5</v>
      </c>
      <c r="G195" s="311">
        <f>D195*F195</f>
        <v>0</v>
      </c>
      <c r="H195" s="314">
        <f>F195*E195</f>
        <v>0</v>
      </c>
      <c r="I195" s="344"/>
      <c r="J195" s="294" t="str">
        <f>""</f>
        <v/>
      </c>
    </row>
    <row r="196" spans="1:10" x14ac:dyDescent="0.25">
      <c r="A196" s="327" t="s">
        <v>657</v>
      </c>
      <c r="B196" s="327" t="s">
        <v>29</v>
      </c>
      <c r="C196" s="328" t="s">
        <v>656</v>
      </c>
      <c r="D196" s="311"/>
      <c r="E196" s="314">
        <f t="shared" si="8"/>
        <v>0</v>
      </c>
      <c r="F196" s="329">
        <v>1</v>
      </c>
      <c r="G196" s="311">
        <f>D196*F196</f>
        <v>0</v>
      </c>
      <c r="H196" s="330">
        <f>F196*E196</f>
        <v>0</v>
      </c>
      <c r="I196" s="344"/>
      <c r="J196" s="294" t="str">
        <f>""</f>
        <v/>
      </c>
    </row>
    <row r="197" spans="1:10" x14ac:dyDescent="0.25">
      <c r="A197" s="542" t="s">
        <v>658</v>
      </c>
      <c r="B197" s="541" t="s">
        <v>659</v>
      </c>
      <c r="C197" s="543" t="s">
        <v>660</v>
      </c>
      <c r="D197" s="311"/>
      <c r="E197" s="314">
        <f t="shared" si="8"/>
        <v>0</v>
      </c>
      <c r="F197" s="329">
        <v>1</v>
      </c>
      <c r="G197" s="311">
        <f t="shared" ref="G197:G204" si="9">D197*F197</f>
        <v>0</v>
      </c>
      <c r="H197" s="330">
        <f t="shared" ref="H197:H204" si="10">F197*E197</f>
        <v>0</v>
      </c>
      <c r="I197" s="344"/>
      <c r="J197" s="294"/>
    </row>
    <row r="198" spans="1:10" x14ac:dyDescent="0.25">
      <c r="A198" s="542" t="s">
        <v>661</v>
      </c>
      <c r="B198" s="541" t="s">
        <v>662</v>
      </c>
      <c r="C198" s="543" t="s">
        <v>663</v>
      </c>
      <c r="D198" s="311"/>
      <c r="E198" s="314">
        <f t="shared" si="8"/>
        <v>0</v>
      </c>
      <c r="F198" s="329">
        <v>1</v>
      </c>
      <c r="G198" s="311">
        <f t="shared" si="9"/>
        <v>0</v>
      </c>
      <c r="H198" s="330">
        <f t="shared" si="10"/>
        <v>0</v>
      </c>
      <c r="I198" s="344"/>
      <c r="J198" s="294"/>
    </row>
    <row r="199" spans="1:10" x14ac:dyDescent="0.25">
      <c r="A199" s="540" t="s">
        <v>664</v>
      </c>
      <c r="B199" s="544" t="s">
        <v>665</v>
      </c>
      <c r="C199" s="328" t="s">
        <v>666</v>
      </c>
      <c r="D199" s="311"/>
      <c r="E199" s="314">
        <f t="shared" si="8"/>
        <v>0</v>
      </c>
      <c r="F199" s="329">
        <v>1</v>
      </c>
      <c r="G199" s="311">
        <f t="shared" si="9"/>
        <v>0</v>
      </c>
      <c r="H199" s="330">
        <f t="shared" si="10"/>
        <v>0</v>
      </c>
      <c r="I199" s="344"/>
      <c r="J199" s="294"/>
    </row>
    <row r="200" spans="1:10" x14ac:dyDescent="0.25">
      <c r="A200" s="540" t="s">
        <v>667</v>
      </c>
      <c r="B200" s="540" t="s">
        <v>668</v>
      </c>
      <c r="C200" s="328" t="s">
        <v>669</v>
      </c>
      <c r="D200" s="311"/>
      <c r="E200" s="314">
        <f t="shared" si="8"/>
        <v>0</v>
      </c>
      <c r="F200" s="329">
        <v>1</v>
      </c>
      <c r="G200" s="311">
        <f t="shared" si="9"/>
        <v>0</v>
      </c>
      <c r="H200" s="330">
        <f t="shared" si="10"/>
        <v>0</v>
      </c>
      <c r="I200" s="344"/>
      <c r="J200" s="294"/>
    </row>
    <row r="201" spans="1:10" x14ac:dyDescent="0.25">
      <c r="A201" s="540" t="s">
        <v>670</v>
      </c>
      <c r="B201" s="540" t="s">
        <v>671</v>
      </c>
      <c r="C201" s="328" t="s">
        <v>672</v>
      </c>
      <c r="D201" s="311"/>
      <c r="E201" s="314">
        <f t="shared" si="8"/>
        <v>0</v>
      </c>
      <c r="F201" s="329">
        <v>1</v>
      </c>
      <c r="G201" s="311">
        <f t="shared" si="9"/>
        <v>0</v>
      </c>
      <c r="H201" s="330">
        <f t="shared" si="10"/>
        <v>0</v>
      </c>
      <c r="I201" s="344"/>
      <c r="J201" s="294"/>
    </row>
    <row r="202" spans="1:10" x14ac:dyDescent="0.25">
      <c r="A202" s="540" t="s">
        <v>673</v>
      </c>
      <c r="B202" s="540" t="s">
        <v>674</v>
      </c>
      <c r="C202" s="328" t="s">
        <v>663</v>
      </c>
      <c r="D202" s="311"/>
      <c r="E202" s="314">
        <f>K11*D202</f>
        <v>0</v>
      </c>
      <c r="F202" s="329">
        <v>1</v>
      </c>
      <c r="G202" s="311">
        <f t="shared" si="9"/>
        <v>0</v>
      </c>
      <c r="H202" s="330">
        <f t="shared" si="10"/>
        <v>0</v>
      </c>
      <c r="I202" s="344"/>
      <c r="J202" s="294"/>
    </row>
    <row r="203" spans="1:10" x14ac:dyDescent="0.25">
      <c r="A203" s="540" t="s">
        <v>675</v>
      </c>
      <c r="B203" s="540" t="s">
        <v>676</v>
      </c>
      <c r="C203" s="328" t="s">
        <v>663</v>
      </c>
      <c r="D203" s="311">
        <v>14028</v>
      </c>
      <c r="E203" s="314">
        <f>K$2*D203</f>
        <v>69309.542400000006</v>
      </c>
      <c r="F203" s="329">
        <v>1</v>
      </c>
      <c r="G203" s="311">
        <f t="shared" si="9"/>
        <v>14028</v>
      </c>
      <c r="H203" s="330">
        <f t="shared" si="10"/>
        <v>69309.542400000006</v>
      </c>
      <c r="I203" s="344"/>
      <c r="J203" s="294"/>
    </row>
    <row r="204" spans="1:10" x14ac:dyDescent="0.25">
      <c r="A204" s="540" t="s">
        <v>677</v>
      </c>
      <c r="B204" s="540" t="s">
        <v>662</v>
      </c>
      <c r="C204" s="328" t="s">
        <v>678</v>
      </c>
      <c r="D204" s="311"/>
      <c r="E204" s="314">
        <f>K14*D204</f>
        <v>0</v>
      </c>
      <c r="F204" s="329">
        <v>1</v>
      </c>
      <c r="G204" s="311">
        <f t="shared" si="9"/>
        <v>0</v>
      </c>
      <c r="H204" s="330">
        <f t="shared" si="10"/>
        <v>0</v>
      </c>
      <c r="I204" s="344"/>
      <c r="J204" s="294"/>
    </row>
    <row r="205" spans="1:10" x14ac:dyDescent="0.25">
      <c r="A205" s="1" t="s">
        <v>679</v>
      </c>
      <c r="B205" s="1" t="s">
        <v>680</v>
      </c>
      <c r="C205" s="1" t="s">
        <v>678</v>
      </c>
      <c r="D205" s="311"/>
      <c r="E205" s="314">
        <v>120000</v>
      </c>
      <c r="F205" s="313">
        <v>1</v>
      </c>
      <c r="G205" s="311">
        <f>$F$205*D205</f>
        <v>0</v>
      </c>
      <c r="H205" s="311">
        <f>$F$205*E205</f>
        <v>120000</v>
      </c>
      <c r="I205" s="344" t="s">
        <v>681</v>
      </c>
      <c r="J205" s="294"/>
    </row>
    <row r="206" spans="1:10" x14ac:dyDescent="0.25">
      <c r="A206" s="540" t="s">
        <v>682</v>
      </c>
      <c r="B206" s="540" t="s">
        <v>683</v>
      </c>
      <c r="C206" s="328" t="s">
        <v>684</v>
      </c>
      <c r="D206" s="311"/>
      <c r="E206" s="314"/>
      <c r="F206" s="329">
        <v>1</v>
      </c>
      <c r="G206" s="311"/>
      <c r="H206" s="330"/>
      <c r="I206" s="344"/>
      <c r="J206" s="294"/>
    </row>
    <row r="207" spans="1:10" x14ac:dyDescent="0.25">
      <c r="A207" s="540" t="s">
        <v>685</v>
      </c>
      <c r="B207" s="540" t="s">
        <v>686</v>
      </c>
      <c r="C207" s="328" t="s">
        <v>678</v>
      </c>
      <c r="D207" s="311"/>
      <c r="E207" s="314"/>
      <c r="F207" s="329">
        <v>1</v>
      </c>
      <c r="G207" s="311"/>
      <c r="H207" s="330"/>
      <c r="I207" s="344"/>
      <c r="J207" s="294"/>
    </row>
    <row r="208" spans="1:10" x14ac:dyDescent="0.25">
      <c r="A208" s="1" t="s">
        <v>687</v>
      </c>
      <c r="B208" s="1" t="s">
        <v>665</v>
      </c>
      <c r="C208" s="1" t="s">
        <v>688</v>
      </c>
      <c r="D208" s="311"/>
      <c r="E208" s="314">
        <v>350000</v>
      </c>
      <c r="F208" s="313">
        <v>1</v>
      </c>
      <c r="G208" s="311">
        <f t="shared" ref="G208:H211" si="11">$F$205*D208</f>
        <v>0</v>
      </c>
      <c r="H208" s="311">
        <f t="shared" si="11"/>
        <v>350000</v>
      </c>
      <c r="I208" s="344" t="s">
        <v>681</v>
      </c>
      <c r="J208" s="294"/>
    </row>
    <row r="209" spans="1:10" x14ac:dyDescent="0.25">
      <c r="A209" s="1" t="s">
        <v>689</v>
      </c>
      <c r="B209" s="1" t="s">
        <v>665</v>
      </c>
      <c r="C209" s="1" t="s">
        <v>690</v>
      </c>
      <c r="D209" s="311"/>
      <c r="E209" s="314">
        <v>250000</v>
      </c>
      <c r="F209" s="313">
        <v>1</v>
      </c>
      <c r="G209" s="311">
        <f t="shared" si="11"/>
        <v>0</v>
      </c>
      <c r="H209" s="311">
        <f t="shared" si="11"/>
        <v>250000</v>
      </c>
      <c r="I209" s="344" t="s">
        <v>681</v>
      </c>
      <c r="J209" s="294"/>
    </row>
    <row r="210" spans="1:10" x14ac:dyDescent="0.25">
      <c r="A210" s="1" t="s">
        <v>691</v>
      </c>
      <c r="B210" s="1" t="s">
        <v>692</v>
      </c>
      <c r="C210" s="1" t="s">
        <v>690</v>
      </c>
      <c r="D210" s="311"/>
      <c r="E210" s="314">
        <v>250000</v>
      </c>
      <c r="F210" s="313">
        <v>1</v>
      </c>
      <c r="G210" s="311">
        <f t="shared" si="11"/>
        <v>0</v>
      </c>
      <c r="H210" s="311">
        <f t="shared" si="11"/>
        <v>250000</v>
      </c>
      <c r="I210" s="344" t="s">
        <v>681</v>
      </c>
      <c r="J210" s="294"/>
    </row>
    <row r="211" spans="1:10" x14ac:dyDescent="0.25">
      <c r="A211" s="1" t="s">
        <v>693</v>
      </c>
      <c r="B211" s="1" t="s">
        <v>694</v>
      </c>
      <c r="C211" s="1" t="s">
        <v>690</v>
      </c>
      <c r="D211" s="311"/>
      <c r="E211" s="314">
        <v>250000</v>
      </c>
      <c r="F211" s="313">
        <v>1</v>
      </c>
      <c r="G211" s="311">
        <f t="shared" si="11"/>
        <v>0</v>
      </c>
      <c r="H211" s="311">
        <f t="shared" si="11"/>
        <v>250000</v>
      </c>
      <c r="I211" s="344" t="s">
        <v>681</v>
      </c>
      <c r="J211" s="294"/>
    </row>
    <row r="212" spans="1:10" x14ac:dyDescent="0.25">
      <c r="A212" s="1" t="s">
        <v>695</v>
      </c>
      <c r="B212" s="1" t="s">
        <v>696</v>
      </c>
      <c r="C212" s="1" t="s">
        <v>690</v>
      </c>
      <c r="D212" s="311"/>
      <c r="E212" s="314">
        <v>250000</v>
      </c>
      <c r="F212" s="313">
        <v>1</v>
      </c>
      <c r="G212" s="311"/>
      <c r="H212" s="311"/>
      <c r="I212" s="344"/>
      <c r="J212" s="294"/>
    </row>
    <row r="213" spans="1:10" x14ac:dyDescent="0.25">
      <c r="A213" s="1" t="s">
        <v>697</v>
      </c>
      <c r="B213" s="1" t="s">
        <v>698</v>
      </c>
      <c r="C213" s="1" t="s">
        <v>699</v>
      </c>
      <c r="D213" s="311"/>
      <c r="E213" s="314"/>
      <c r="F213" s="313">
        <v>1</v>
      </c>
      <c r="G213" s="311"/>
      <c r="H213" s="311"/>
      <c r="I213" s="344"/>
      <c r="J213" s="294"/>
    </row>
    <row r="214" spans="1:10" s="545" customFormat="1" x14ac:dyDescent="0.25">
      <c r="A214" s="1" t="s">
        <v>700</v>
      </c>
      <c r="B214" s="1" t="s">
        <v>701</v>
      </c>
      <c r="C214" s="1" t="s">
        <v>702</v>
      </c>
      <c r="D214" s="546"/>
      <c r="E214" s="314"/>
      <c r="F214" s="313">
        <v>1</v>
      </c>
      <c r="G214" s="546"/>
      <c r="H214" s="546"/>
      <c r="I214" s="548"/>
      <c r="J214" s="549"/>
    </row>
    <row r="215" spans="1:10" s="545" customFormat="1" x14ac:dyDescent="0.25">
      <c r="A215" s="1" t="s">
        <v>703</v>
      </c>
      <c r="B215" s="1" t="s">
        <v>704</v>
      </c>
      <c r="C215" s="1" t="s">
        <v>705</v>
      </c>
      <c r="D215" s="546"/>
      <c r="E215" s="314"/>
      <c r="F215" s="313">
        <v>1</v>
      </c>
      <c r="G215" s="546"/>
      <c r="H215" s="546"/>
      <c r="I215" s="548"/>
      <c r="J215" s="549"/>
    </row>
    <row r="216" spans="1:10" s="545" customFormat="1" x14ac:dyDescent="0.25">
      <c r="A216" s="1" t="s">
        <v>706</v>
      </c>
      <c r="B216" s="1" t="s">
        <v>707</v>
      </c>
      <c r="C216" s="1" t="s">
        <v>669</v>
      </c>
      <c r="D216" s="546"/>
      <c r="E216" s="314"/>
      <c r="F216" s="313">
        <v>1</v>
      </c>
      <c r="G216" s="546"/>
      <c r="H216" s="546"/>
      <c r="I216" s="548"/>
      <c r="J216" s="549"/>
    </row>
    <row r="217" spans="1:10" s="545" customFormat="1" x14ac:dyDescent="0.25">
      <c r="A217" s="1" t="s">
        <v>708</v>
      </c>
      <c r="B217" s="1" t="s">
        <v>709</v>
      </c>
      <c r="C217" s="1" t="s">
        <v>710</v>
      </c>
      <c r="D217" s="546"/>
      <c r="E217" s="314"/>
      <c r="F217" s="313">
        <v>1</v>
      </c>
      <c r="G217" s="546"/>
      <c r="H217" s="546"/>
      <c r="I217" s="548"/>
      <c r="J217" s="549"/>
    </row>
    <row r="218" spans="1:10" s="545" customFormat="1" x14ac:dyDescent="0.25">
      <c r="A218" s="1" t="s">
        <v>711</v>
      </c>
      <c r="B218" s="1" t="s">
        <v>712</v>
      </c>
      <c r="C218" s="1" t="s">
        <v>699</v>
      </c>
      <c r="D218" s="546"/>
      <c r="E218" s="314"/>
      <c r="F218" s="313">
        <v>1</v>
      </c>
      <c r="G218" s="546"/>
      <c r="H218" s="546"/>
      <c r="I218" s="548"/>
      <c r="J218" s="549"/>
    </row>
    <row r="219" spans="1:10" s="545" customFormat="1" x14ac:dyDescent="0.25">
      <c r="A219" s="1" t="s">
        <v>713</v>
      </c>
      <c r="B219" s="1" t="s">
        <v>714</v>
      </c>
      <c r="C219" s="294" t="s">
        <v>660</v>
      </c>
      <c r="D219" s="546"/>
      <c r="E219" s="314"/>
      <c r="F219" s="313">
        <v>1</v>
      </c>
      <c r="G219" s="546"/>
      <c r="H219" s="546"/>
      <c r="I219" s="548"/>
      <c r="J219" s="549"/>
    </row>
    <row r="220" spans="1:10" s="545" customFormat="1" x14ac:dyDescent="0.25">
      <c r="A220" s="1" t="s">
        <v>715</v>
      </c>
      <c r="B220" s="1" t="s">
        <v>716</v>
      </c>
      <c r="C220" s="1" t="s">
        <v>702</v>
      </c>
      <c r="D220" s="546"/>
      <c r="E220" s="314"/>
      <c r="F220" s="313">
        <v>1</v>
      </c>
      <c r="G220" s="546"/>
      <c r="H220" s="546"/>
      <c r="I220" s="548"/>
      <c r="J220" s="549"/>
    </row>
    <row r="221" spans="1:10" s="545" customFormat="1" x14ac:dyDescent="0.25">
      <c r="A221" s="1" t="s">
        <v>717</v>
      </c>
      <c r="B221" s="1" t="s">
        <v>718</v>
      </c>
      <c r="C221" s="1" t="s">
        <v>702</v>
      </c>
      <c r="D221" s="546"/>
      <c r="E221" s="314"/>
      <c r="F221" s="313">
        <v>1</v>
      </c>
      <c r="G221" s="546"/>
      <c r="H221" s="546"/>
      <c r="I221" s="548"/>
      <c r="J221" s="549"/>
    </row>
    <row r="222" spans="1:10" s="545" customFormat="1" x14ac:dyDescent="0.25">
      <c r="A222" s="1" t="s">
        <v>719</v>
      </c>
      <c r="B222" s="1" t="s">
        <v>720</v>
      </c>
      <c r="C222" s="1" t="s">
        <v>721</v>
      </c>
      <c r="D222" s="546"/>
      <c r="E222" s="314">
        <v>50000</v>
      </c>
      <c r="F222" s="313">
        <v>5</v>
      </c>
      <c r="G222" s="546"/>
      <c r="H222" s="546"/>
      <c r="I222" s="548"/>
      <c r="J222" s="549"/>
    </row>
    <row r="223" spans="1:10" s="545" customFormat="1" x14ac:dyDescent="0.25">
      <c r="A223" s="1" t="s">
        <v>722</v>
      </c>
      <c r="B223" s="1" t="s">
        <v>723</v>
      </c>
      <c r="C223" s="1" t="s">
        <v>721</v>
      </c>
      <c r="D223" s="546"/>
      <c r="E223" s="314">
        <v>50000</v>
      </c>
      <c r="F223" s="313">
        <v>5</v>
      </c>
      <c r="G223" s="546"/>
      <c r="H223" s="546"/>
      <c r="I223" s="548"/>
      <c r="J223" s="549"/>
    </row>
    <row r="224" spans="1:10" s="545" customFormat="1" x14ac:dyDescent="0.25">
      <c r="A224" s="1" t="s">
        <v>722</v>
      </c>
      <c r="B224" s="1" t="s">
        <v>724</v>
      </c>
      <c r="C224" s="1" t="s">
        <v>721</v>
      </c>
      <c r="D224" s="546"/>
      <c r="E224" s="314">
        <v>25000</v>
      </c>
      <c r="F224" s="313">
        <v>5</v>
      </c>
      <c r="G224" s="546"/>
      <c r="H224" s="546"/>
      <c r="I224" s="548"/>
      <c r="J224" s="549"/>
    </row>
    <row r="225" spans="1:10" s="545" customFormat="1" x14ac:dyDescent="0.25">
      <c r="A225" s="1" t="s">
        <v>87</v>
      </c>
      <c r="B225" s="1"/>
      <c r="C225" s="1" t="s">
        <v>721</v>
      </c>
      <c r="D225" s="546"/>
      <c r="E225" s="314">
        <v>120000</v>
      </c>
      <c r="F225" s="313">
        <v>1</v>
      </c>
      <c r="G225" s="546"/>
      <c r="H225" s="546"/>
      <c r="I225" s="548"/>
      <c r="J225" s="549"/>
    </row>
    <row r="226" spans="1:10" s="545" customFormat="1" x14ac:dyDescent="0.25">
      <c r="A226" s="1" t="s">
        <v>87</v>
      </c>
      <c r="B226" s="1"/>
      <c r="C226" s="1" t="s">
        <v>725</v>
      </c>
      <c r="D226" s="546"/>
      <c r="E226" s="314">
        <v>120000</v>
      </c>
      <c r="F226" s="313">
        <v>1</v>
      </c>
      <c r="G226" s="546"/>
      <c r="H226" s="546"/>
      <c r="I226" s="548"/>
      <c r="J226" s="549"/>
    </row>
    <row r="227" spans="1:10" s="545" customFormat="1" x14ac:dyDescent="0.25">
      <c r="A227" s="1" t="s">
        <v>89</v>
      </c>
      <c r="B227" s="1"/>
      <c r="C227" s="1" t="s">
        <v>90</v>
      </c>
      <c r="D227" s="546"/>
      <c r="E227" s="314">
        <v>100000</v>
      </c>
      <c r="F227" s="313">
        <v>1</v>
      </c>
      <c r="G227" s="546"/>
      <c r="H227" s="546"/>
      <c r="I227" s="548"/>
      <c r="J227" s="549"/>
    </row>
    <row r="228" spans="1:10" s="545" customFormat="1" x14ac:dyDescent="0.25">
      <c r="A228" s="1"/>
      <c r="B228" s="1"/>
      <c r="C228" s="1"/>
      <c r="D228" s="546"/>
      <c r="E228" s="314"/>
      <c r="F228" s="313"/>
      <c r="G228" s="546"/>
      <c r="H228" s="546"/>
      <c r="I228" s="548"/>
      <c r="J228" s="549"/>
    </row>
    <row r="229" spans="1:10" s="545" customFormat="1" x14ac:dyDescent="0.25">
      <c r="A229" s="1"/>
      <c r="B229" s="1"/>
      <c r="C229" s="1"/>
      <c r="D229" s="546"/>
      <c r="E229" s="314"/>
      <c r="F229" s="547"/>
      <c r="G229" s="546"/>
      <c r="H229" s="546"/>
      <c r="I229" s="548"/>
      <c r="J229" s="549"/>
    </row>
    <row r="230" spans="1:10" s="545" customFormat="1" x14ac:dyDescent="0.25">
      <c r="A230" s="1"/>
      <c r="B230" s="1"/>
      <c r="C230" s="1"/>
      <c r="D230" s="546"/>
      <c r="E230" s="314"/>
      <c r="F230" s="547"/>
      <c r="G230" s="546"/>
      <c r="H230" s="546"/>
      <c r="I230" s="548"/>
      <c r="J230" s="549"/>
    </row>
    <row r="231" spans="1:10" s="545" customFormat="1" x14ac:dyDescent="0.25">
      <c r="A231" s="1"/>
      <c r="B231" s="1"/>
      <c r="C231" s="1"/>
      <c r="D231" s="546"/>
      <c r="E231" s="314"/>
      <c r="F231" s="547"/>
      <c r="G231" s="546"/>
      <c r="H231" s="546"/>
      <c r="I231" s="548"/>
      <c r="J231" s="549"/>
    </row>
    <row r="232" spans="1:10" s="545" customFormat="1" x14ac:dyDescent="0.25">
      <c r="A232" s="1"/>
      <c r="B232" s="1"/>
      <c r="C232" s="1"/>
      <c r="D232" s="546"/>
      <c r="E232" s="314"/>
      <c r="F232" s="547"/>
      <c r="G232" s="546"/>
      <c r="H232" s="546"/>
      <c r="I232" s="548"/>
      <c r="J232" s="549"/>
    </row>
    <row r="233" spans="1:10" s="545" customFormat="1" x14ac:dyDescent="0.25">
      <c r="A233" s="1"/>
      <c r="B233" s="1"/>
      <c r="C233" s="1"/>
      <c r="D233" s="546"/>
      <c r="E233" s="314"/>
      <c r="F233" s="547"/>
      <c r="G233" s="546"/>
      <c r="H233" s="546"/>
      <c r="I233" s="548"/>
      <c r="J233" s="549"/>
    </row>
    <row r="234" spans="1:10" s="545" customFormat="1" x14ac:dyDescent="0.25">
      <c r="A234" s="1"/>
      <c r="B234" s="1"/>
      <c r="C234" s="1"/>
      <c r="D234" s="546"/>
      <c r="E234" s="314"/>
      <c r="F234" s="547"/>
      <c r="G234" s="546"/>
      <c r="H234" s="546"/>
      <c r="I234" s="548"/>
      <c r="J234" s="549"/>
    </row>
    <row r="235" spans="1:10" s="545" customFormat="1" x14ac:dyDescent="0.25">
      <c r="A235" s="1"/>
      <c r="B235" s="1"/>
      <c r="C235" s="1"/>
      <c r="D235" s="546"/>
      <c r="E235" s="314"/>
      <c r="F235" s="547"/>
      <c r="G235" s="546"/>
      <c r="H235" s="546"/>
      <c r="I235" s="548"/>
      <c r="J235" s="549"/>
    </row>
    <row r="236" spans="1:10" ht="14.4" x14ac:dyDescent="0.3">
      <c r="A236" s="331"/>
      <c r="B236" s="332"/>
      <c r="C236" s="333" t="s">
        <v>726</v>
      </c>
      <c r="D236" s="334">
        <f>SUM(D2:D196)</f>
        <v>4113896.060000001</v>
      </c>
      <c r="E236" s="335">
        <f>SUM(E2:E196)</f>
        <v>20325937.65324802</v>
      </c>
      <c r="F236" s="336">
        <f>SUM(F2:F196)</f>
        <v>990</v>
      </c>
      <c r="G236" s="337">
        <f>SUM(G2:G196)</f>
        <v>13416107.759999996</v>
      </c>
      <c r="H236" s="338">
        <f>SUM(H2:H196)</f>
        <v>66271753.181184039</v>
      </c>
      <c r="I236" s="339"/>
      <c r="J236" s="294" t="str">
        <f>""</f>
        <v/>
      </c>
    </row>
    <row r="237" spans="1:10" x14ac:dyDescent="0.25">
      <c r="A237" s="294"/>
      <c r="B237" s="294"/>
      <c r="C237" s="294"/>
      <c r="D237" s="319"/>
      <c r="E237" s="294"/>
      <c r="F237" s="294"/>
      <c r="G237" s="340"/>
      <c r="H237" s="294"/>
      <c r="I237" s="294"/>
      <c r="J237" s="294"/>
    </row>
    <row r="238" spans="1:10" x14ac:dyDescent="0.25">
      <c r="A238" s="294"/>
      <c r="B238" s="294"/>
      <c r="C238" s="294"/>
      <c r="D238" s="319"/>
      <c r="E238" s="294" t="s">
        <v>727</v>
      </c>
      <c r="F238" s="294"/>
      <c r="G238" s="294"/>
      <c r="H238" s="294"/>
      <c r="I238" s="294"/>
      <c r="J238" s="294"/>
    </row>
    <row r="239" spans="1:10" x14ac:dyDescent="0.25">
      <c r="A239" s="294"/>
      <c r="B239" s="294"/>
      <c r="C239" s="294"/>
      <c r="D239" s="319"/>
      <c r="E239" s="294"/>
      <c r="F239" s="294"/>
      <c r="G239" s="341">
        <f>G236*K2</f>
        <v>66286305.220607981</v>
      </c>
      <c r="H239" s="342">
        <f>H236/K2</f>
        <v>13413162.480000008</v>
      </c>
      <c r="I239" s="294"/>
      <c r="J239" s="294"/>
    </row>
    <row r="240" spans="1:10" x14ac:dyDescent="0.25">
      <c r="A240" s="294"/>
      <c r="B240" s="294"/>
      <c r="C240" s="294"/>
      <c r="D240" s="319"/>
      <c r="E240" s="294"/>
      <c r="F240" s="294"/>
      <c r="G240" s="294"/>
      <c r="H240" s="294"/>
      <c r="I240" s="294"/>
      <c r="J240" s="294"/>
    </row>
  </sheetData>
  <autoFilter ref="A1:J240" xr:uid="{AEC0C5CA-815D-4D80-B607-9FEF1D0A5107}"/>
  <hyperlinks>
    <hyperlink ref="I154" r:id="rId1" xr:uid="{1AED963A-82B6-4418-B050-04F89C6D11B2}"/>
    <hyperlink ref="I170" r:id="rId2" xr:uid="{F62D4BE4-8B50-461F-9824-7DF81DC5C21D}"/>
    <hyperlink ref="I138" r:id="rId3" xr:uid="{DD3B8B35-4110-41C0-B55C-97BDCF70FEFE}"/>
    <hyperlink ref="I136" r:id="rId4" xr:uid="{8B5B87E2-7CEC-42D7-A83B-AB4206256BF7}"/>
    <hyperlink ref="I127" r:id="rId5" xr:uid="{0072F55F-ACB2-4FEA-B6E7-7F42E484FA21}"/>
    <hyperlink ref="I126" r:id="rId6" xr:uid="{6E91C174-DF64-45A3-93B0-EC651BFD23F6}"/>
    <hyperlink ref="I57" r:id="rId7" xr:uid="{FAA8E80C-BA3A-4A96-A0AA-8A247CFE7721}"/>
    <hyperlink ref="I134" r:id="rId8" display="https://www.ysi.com/prodss" xr:uid="{D9159C30-35F0-47D1-B6D7-D1215344D434}"/>
    <hyperlink ref="I15" r:id="rId9" display="https://loja.akso.com.br/produto/802---agitador-magnetico-com-aquecimento-25" xr:uid="{ED462CE2-1805-4382-88AE-047FAB955A64}"/>
    <hyperlink ref="I74" r:id="rId10" xr:uid="{F8A08731-57F0-46F0-AEAF-D9BA324FB8F3}"/>
  </hyperlinks>
  <pageMargins left="0.7" right="0.7" top="0.75" bottom="0.75" header="0.3" footer="0.3"/>
  <legacyDrawing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453277-3889-4B23-80A0-FEDFC6E6CB8F}">
  <ds:schemaRefs>
    <ds:schemaRef ds:uri="http://purl.org/dc/dcmitype/"/>
    <ds:schemaRef ds:uri="5fcf6e91-9d2c-4fbe-b73e-6e1cc1240b3e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97A8435-61DF-48F6-80B3-AF71EDC9E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74D587-402A-435E-A166-1D8DC3F97A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INICIAL</vt:lpstr>
      <vt:lpstr>NOVA</vt:lpstr>
      <vt:lpstr>PREÇOS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2023-04-27T17:44:58Z</dcterms:created>
  <dcterms:modified xsi:type="dcterms:W3CDTF">2023-05-24T13:01:55Z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